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hallock_n_mohler_civ_us_navy_mil/Documents/Desktop/"/>
    </mc:Choice>
  </mc:AlternateContent>
  <xr:revisionPtr revIDLastSave="0" documentId="8_{29769292-578A-4486-8525-7B50377D6048}" xr6:coauthVersionLast="47" xr6:coauthVersionMax="47" xr10:uidLastSave="{00000000-0000-0000-0000-000000000000}"/>
  <bookViews>
    <workbookView xWindow="-120" yWindow="90" windowWidth="29040" windowHeight="15630" firstSheet="7" activeTab="7" xr2:uid="{00000000-000D-0000-FFFF-FFFF00000000}"/>
  </bookViews>
  <sheets>
    <sheet name="Course Counts" sheetId="8" state="hidden" r:id="rId1"/>
    <sheet name="Plan vs Need v1" sheetId="11" state="hidden" r:id="rId2"/>
    <sheet name="Instructor Totals- Days" sheetId="15" state="hidden" r:id="rId3"/>
    <sheet name="Instructor Totals-Weeks" sheetId="14" state="hidden" r:id="rId4"/>
    <sheet name="Location Count" sheetId="9" state="hidden" r:id="rId5"/>
    <sheet name="Data" sheetId="3" state="hidden" r:id="rId6"/>
    <sheet name="Sheet2" sheetId="23" state="hidden" r:id="rId7"/>
    <sheet name="FY24 Status" sheetId="17" r:id="rId8"/>
    <sheet name="Sheet1" sheetId="28" state="hidden" r:id="rId9"/>
    <sheet name="Sheet4" sheetId="27" state="hidden" r:id="rId10"/>
    <sheet name="Sheet3" sheetId="26" state="hidden" r:id="rId11"/>
    <sheet name="Bi-Weekly" sheetId="25" state="hidden" r:id="rId12"/>
    <sheet name="%" sheetId="20" state="hidden" r:id="rId13"/>
    <sheet name="FY24 Canceled" sheetId="22" state="hidden" r:id="rId14"/>
    <sheet name="Sheet5" sheetId="29" state="hidden" r:id="rId15"/>
    <sheet name="Sheet6" sheetId="30" state="hidden" r:id="rId16"/>
    <sheet name="FY 2024 Chron" sheetId="1" r:id="rId17"/>
    <sheet name="Sheet7" sheetId="31" state="hidden" r:id="rId18"/>
  </sheets>
  <definedNames>
    <definedName name="_xlnm._FilterDatabase" localSheetId="13" hidden="1">'FY24 Canceled'!$A$1:$H$1</definedName>
    <definedName name="_xlnm._FilterDatabase" localSheetId="2" hidden="1">'Instructor Totals- Days'!$A$1:$E$1</definedName>
    <definedName name="_xlnm._FilterDatabase" localSheetId="3" hidden="1">'Instructor Totals-Weeks'!$A$1:$E$1</definedName>
    <definedName name="_xlnm._FilterDatabase" localSheetId="1" hidden="1">'Plan vs Need v1'!$A$43:$D$43</definedName>
    <definedName name="CIN">Data!$B$2:$B$53</definedName>
    <definedName name="Class">Data!$A$2:$A$53</definedName>
    <definedName name="Courses">Data!$A$2:$C$53</definedName>
    <definedName name="HighlightRow" localSheetId="16">2</definedName>
    <definedName name="HighlightRow">10</definedName>
    <definedName name="Instructor">Data!$F$2:$F$21</definedName>
    <definedName name="Location">Data!$J$2:$J$89</definedName>
    <definedName name="_xlnm.Print_Area" localSheetId="16">'FY 2024 Chron'!$A$1:$AF$466</definedName>
    <definedName name="_xlnm.Print_Area" localSheetId="7">'FY24 Status'!$B$3:$AA$41</definedName>
    <definedName name="_xlnm.Print_Area" localSheetId="2">'Instructor Totals- Days'!$A$1:$E$20</definedName>
    <definedName name="_xlnm.Print_Area" localSheetId="3">'Instructor Totals-Weeks'!$A$1:$E$20</definedName>
    <definedName name="_xlnm.Print_Area" localSheetId="1">'Plan vs Need v1'!$A$3:$I$52</definedName>
    <definedName name="Roster">Data!$L$2:$L$5</definedName>
  </definedNames>
  <calcPr calcId="191028"/>
  <pivotCaches>
    <pivotCache cacheId="0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5" i="22" l="1"/>
  <c r="C2" i="22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D76" i="1"/>
  <c r="AI422" i="1"/>
  <c r="AH422" i="1"/>
  <c r="AG422" i="1"/>
  <c r="D422" i="1"/>
  <c r="C422" i="1"/>
  <c r="AI442" i="1"/>
  <c r="AH442" i="1"/>
  <c r="AG442" i="1"/>
  <c r="D442" i="1"/>
  <c r="C442" i="1"/>
  <c r="AI460" i="1"/>
  <c r="AH460" i="1"/>
  <c r="AG460" i="1"/>
  <c r="D460" i="1"/>
  <c r="C460" i="1"/>
  <c r="AE465" i="1"/>
  <c r="AD465" i="1"/>
  <c r="AC465" i="1"/>
  <c r="AB465" i="1"/>
  <c r="AA465" i="1"/>
  <c r="C444" i="1"/>
  <c r="D444" i="1"/>
  <c r="AG444" i="1"/>
  <c r="AH444" i="1"/>
  <c r="AI444" i="1"/>
  <c r="C436" i="1"/>
  <c r="D436" i="1"/>
  <c r="AG436" i="1"/>
  <c r="AH436" i="1"/>
  <c r="AI436" i="1"/>
  <c r="C428" i="1"/>
  <c r="D428" i="1"/>
  <c r="AG428" i="1"/>
  <c r="AH428" i="1"/>
  <c r="AI428" i="1"/>
  <c r="C134" i="1"/>
  <c r="D134" i="1"/>
  <c r="AG134" i="1"/>
  <c r="AH134" i="1"/>
  <c r="AI134" i="1"/>
  <c r="C385" i="1"/>
  <c r="D385" i="1"/>
  <c r="AG385" i="1"/>
  <c r="AH385" i="1"/>
  <c r="AI385" i="1"/>
  <c r="D151" i="22"/>
  <c r="C151" i="22"/>
  <c r="C419" i="1"/>
  <c r="D419" i="1"/>
  <c r="AG419" i="1"/>
  <c r="AH419" i="1"/>
  <c r="AI419" i="1"/>
  <c r="K43" i="25"/>
  <c r="L43" i="25"/>
  <c r="M43" i="25"/>
  <c r="N43" i="25"/>
  <c r="C46" i="30"/>
  <c r="C15" i="1"/>
  <c r="C307" i="1"/>
  <c r="D307" i="1"/>
  <c r="AG307" i="1"/>
  <c r="AH307" i="1"/>
  <c r="AI307" i="1"/>
  <c r="C150" i="22"/>
  <c r="C149" i="22"/>
  <c r="C148" i="22"/>
  <c r="C147" i="22"/>
  <c r="C146" i="22"/>
  <c r="C144" i="22"/>
  <c r="C143" i="22"/>
  <c r="C435" i="1"/>
  <c r="D435" i="1"/>
  <c r="AG435" i="1"/>
  <c r="AH435" i="1"/>
  <c r="AI435" i="1"/>
  <c r="C342" i="1"/>
  <c r="D342" i="1"/>
  <c r="AG342" i="1"/>
  <c r="AH342" i="1"/>
  <c r="AI342" i="1"/>
  <c r="C371" i="1"/>
  <c r="D371" i="1"/>
  <c r="AG371" i="1"/>
  <c r="AH371" i="1"/>
  <c r="AI371" i="1"/>
  <c r="C358" i="1"/>
  <c r="D358" i="1"/>
  <c r="AG358" i="1"/>
  <c r="AH358" i="1"/>
  <c r="AI358" i="1"/>
  <c r="C142" i="22"/>
  <c r="C141" i="22"/>
  <c r="C424" i="1"/>
  <c r="D424" i="1"/>
  <c r="AG424" i="1"/>
  <c r="AH424" i="1"/>
  <c r="AI424" i="1"/>
  <c r="C425" i="1"/>
  <c r="D425" i="1"/>
  <c r="AG425" i="1"/>
  <c r="AH425" i="1"/>
  <c r="AI425" i="1"/>
  <c r="D140" i="22"/>
  <c r="C140" i="22"/>
  <c r="D139" i="22"/>
  <c r="C139" i="22"/>
  <c r="C265" i="1"/>
  <c r="D265" i="1"/>
  <c r="AG265" i="1"/>
  <c r="AH265" i="1"/>
  <c r="AI265" i="1"/>
  <c r="C401" i="1"/>
  <c r="D401" i="1"/>
  <c r="AG401" i="1"/>
  <c r="AH401" i="1"/>
  <c r="AI401" i="1"/>
  <c r="C138" i="22"/>
  <c r="C137" i="22"/>
  <c r="C136" i="22"/>
  <c r="C135" i="22"/>
  <c r="C134" i="22"/>
  <c r="C133" i="22"/>
  <c r="C132" i="22"/>
  <c r="C447" i="1"/>
  <c r="D447" i="1"/>
  <c r="AG447" i="1"/>
  <c r="AH447" i="1"/>
  <c r="AI447" i="1"/>
  <c r="C129" i="22"/>
  <c r="AI198" i="1"/>
  <c r="AH198" i="1"/>
  <c r="AG198" i="1"/>
  <c r="D198" i="1"/>
  <c r="C198" i="1"/>
  <c r="AI194" i="1"/>
  <c r="AH194" i="1"/>
  <c r="AG194" i="1"/>
  <c r="D194" i="1"/>
  <c r="C194" i="1"/>
  <c r="C168" i="1"/>
  <c r="D168" i="1"/>
  <c r="AG168" i="1"/>
  <c r="AH168" i="1"/>
  <c r="AI168" i="1"/>
  <c r="C127" i="22"/>
  <c r="C455" i="1"/>
  <c r="D455" i="1"/>
  <c r="AG455" i="1"/>
  <c r="AH455" i="1"/>
  <c r="AI455" i="1"/>
  <c r="C406" i="1"/>
  <c r="D406" i="1"/>
  <c r="AG406" i="1"/>
  <c r="AH406" i="1"/>
  <c r="AI406" i="1"/>
  <c r="C322" i="1"/>
  <c r="D322" i="1"/>
  <c r="AG322" i="1"/>
  <c r="AH322" i="1"/>
  <c r="AI322" i="1"/>
  <c r="AG178" i="1"/>
  <c r="AH178" i="1"/>
  <c r="AI178" i="1"/>
  <c r="C126" i="22"/>
  <c r="C125" i="22"/>
  <c r="C380" i="1"/>
  <c r="D380" i="1"/>
  <c r="AG380" i="1"/>
  <c r="AH380" i="1"/>
  <c r="AI380" i="1"/>
  <c r="AI245" i="1"/>
  <c r="AH245" i="1"/>
  <c r="AG245" i="1"/>
  <c r="D245" i="1"/>
  <c r="C245" i="1"/>
  <c r="C123" i="22"/>
  <c r="AI195" i="1"/>
  <c r="AH195" i="1"/>
  <c r="AG195" i="1"/>
  <c r="W195" i="1"/>
  <c r="V195" i="1"/>
  <c r="D195" i="1"/>
  <c r="C195" i="1"/>
  <c r="C97" i="1"/>
  <c r="C120" i="22"/>
  <c r="D119" i="22"/>
  <c r="C119" i="22"/>
  <c r="C118" i="22"/>
  <c r="D118" i="22"/>
  <c r="W61" i="1"/>
  <c r="W37" i="1"/>
  <c r="W27" i="1"/>
  <c r="V37" i="1"/>
  <c r="V27" i="1"/>
  <c r="C14" i="22"/>
  <c r="C360" i="1"/>
  <c r="D360" i="1"/>
  <c r="AG360" i="1"/>
  <c r="AH360" i="1"/>
  <c r="AI360" i="1"/>
  <c r="C421" i="1"/>
  <c r="D421" i="1"/>
  <c r="AG421" i="1"/>
  <c r="AH421" i="1"/>
  <c r="AI421" i="1"/>
  <c r="C397" i="1"/>
  <c r="D397" i="1"/>
  <c r="AG397" i="1"/>
  <c r="AH397" i="1"/>
  <c r="AI397" i="1"/>
  <c r="C443" i="1"/>
  <c r="D443" i="1"/>
  <c r="AG443" i="1"/>
  <c r="AH443" i="1"/>
  <c r="AI443" i="1"/>
  <c r="C317" i="1"/>
  <c r="D317" i="1"/>
  <c r="AG317" i="1"/>
  <c r="AH317" i="1"/>
  <c r="AI317" i="1"/>
  <c r="C459" i="1"/>
  <c r="D459" i="1"/>
  <c r="AG459" i="1"/>
  <c r="AH459" i="1"/>
  <c r="AI459" i="1"/>
  <c r="C457" i="1"/>
  <c r="D457" i="1"/>
  <c r="AG457" i="1"/>
  <c r="AH457" i="1"/>
  <c r="AI457" i="1"/>
  <c r="C464" i="1"/>
  <c r="D464" i="1"/>
  <c r="AG464" i="1"/>
  <c r="AH464" i="1"/>
  <c r="AI464" i="1"/>
  <c r="C303" i="1"/>
  <c r="D303" i="1"/>
  <c r="AG303" i="1"/>
  <c r="AH303" i="1"/>
  <c r="AI303" i="1"/>
  <c r="D42" i="22"/>
  <c r="C42" i="22"/>
  <c r="D34" i="22"/>
  <c r="C34" i="22"/>
  <c r="D420" i="1"/>
  <c r="C420" i="1"/>
  <c r="D98" i="22"/>
  <c r="C98" i="22"/>
  <c r="C140" i="1"/>
  <c r="D140" i="1"/>
  <c r="V140" i="1"/>
  <c r="W140" i="1"/>
  <c r="AG140" i="1"/>
  <c r="AH140" i="1"/>
  <c r="AI140" i="1"/>
  <c r="D56" i="22"/>
  <c r="C56" i="22"/>
  <c r="D79" i="22"/>
  <c r="C79" i="22"/>
  <c r="C85" i="22"/>
  <c r="D81" i="22"/>
  <c r="C81" i="22"/>
  <c r="D72" i="22"/>
  <c r="C72" i="22"/>
  <c r="D102" i="22"/>
  <c r="C102" i="22"/>
  <c r="D80" i="22"/>
  <c r="C80" i="22"/>
  <c r="D101" i="22"/>
  <c r="C101" i="22"/>
  <c r="C110" i="22"/>
  <c r="C112" i="22"/>
  <c r="D96" i="22"/>
  <c r="C96" i="22"/>
  <c r="D365" i="1"/>
  <c r="C365" i="1"/>
  <c r="D48" i="22"/>
  <c r="C48" i="22"/>
  <c r="D109" i="22"/>
  <c r="C109" i="22"/>
  <c r="D82" i="22"/>
  <c r="C82" i="22"/>
  <c r="D37" i="22"/>
  <c r="C37" i="22"/>
  <c r="C172" i="1"/>
  <c r="D172" i="1"/>
  <c r="AG172" i="1"/>
  <c r="AH172" i="1"/>
  <c r="AI172" i="1"/>
  <c r="D95" i="22"/>
  <c r="C95" i="22"/>
  <c r="J43" i="25" l="1"/>
  <c r="B3" i="25"/>
  <c r="C37" i="1" l="1"/>
  <c r="D37" i="1"/>
  <c r="AG37" i="1"/>
  <c r="AH37" i="1"/>
  <c r="AI37" i="1"/>
  <c r="C59" i="1"/>
  <c r="D59" i="1"/>
  <c r="AG59" i="1"/>
  <c r="AH59" i="1"/>
  <c r="AI59" i="1"/>
  <c r="C49" i="1"/>
  <c r="D49" i="1"/>
  <c r="AG49" i="1"/>
  <c r="AH49" i="1"/>
  <c r="AI49" i="1"/>
  <c r="C47" i="1"/>
  <c r="D47" i="1"/>
  <c r="AG47" i="1"/>
  <c r="AH47" i="1"/>
  <c r="AI47" i="1"/>
  <c r="C10" i="22"/>
  <c r="C5" i="22"/>
  <c r="C17" i="1"/>
  <c r="D17" i="1"/>
  <c r="AG17" i="1"/>
  <c r="AH17" i="1"/>
  <c r="AI17" i="1"/>
  <c r="C36" i="1"/>
  <c r="D36" i="1"/>
  <c r="AG36" i="1"/>
  <c r="AH36" i="1"/>
  <c r="AI36" i="1"/>
  <c r="C63" i="1"/>
  <c r="D63" i="1"/>
  <c r="AG63" i="1"/>
  <c r="AH63" i="1"/>
  <c r="AI63" i="1"/>
  <c r="AI12" i="1"/>
  <c r="AH12" i="1"/>
  <c r="AG12" i="1"/>
  <c r="D12" i="1"/>
  <c r="C12" i="1"/>
  <c r="C316" i="1"/>
  <c r="D316" i="1"/>
  <c r="AG316" i="1"/>
  <c r="AH316" i="1"/>
  <c r="AI316" i="1"/>
  <c r="C7" i="1"/>
  <c r="D7" i="1"/>
  <c r="AG7" i="1"/>
  <c r="AH7" i="1"/>
  <c r="AI7" i="1"/>
  <c r="C222" i="1"/>
  <c r="D222" i="1"/>
  <c r="AG222" i="1"/>
  <c r="AH222" i="1"/>
  <c r="AI222" i="1"/>
  <c r="C431" i="1"/>
  <c r="D431" i="1"/>
  <c r="AG431" i="1"/>
  <c r="AH431" i="1"/>
  <c r="AI431" i="1"/>
  <c r="AG11" i="1"/>
  <c r="AG4" i="1"/>
  <c r="AG35" i="1"/>
  <c r="AG6" i="1"/>
  <c r="AG122" i="1"/>
  <c r="AG150" i="1"/>
  <c r="AG10" i="1"/>
  <c r="AG34" i="1"/>
  <c r="AG13" i="1"/>
  <c r="AG14" i="1"/>
  <c r="AG15" i="1"/>
  <c r="AG16" i="1"/>
  <c r="AG211" i="1"/>
  <c r="AG18" i="1"/>
  <c r="AG256" i="1"/>
  <c r="AG291" i="1"/>
  <c r="AG306" i="1"/>
  <c r="AG23" i="1"/>
  <c r="AG24" i="1"/>
  <c r="AG387" i="1"/>
  <c r="AG445" i="1"/>
  <c r="AG83" i="1"/>
  <c r="AG26" i="1"/>
  <c r="AG28" i="1"/>
  <c r="AG33" i="1"/>
  <c r="AG106" i="1"/>
  <c r="AG160" i="1"/>
  <c r="AG190" i="1"/>
  <c r="AG235" i="1"/>
  <c r="AG272" i="1"/>
  <c r="AG259" i="1"/>
  <c r="AG318" i="1"/>
  <c r="AG266" i="1"/>
  <c r="AG38" i="1"/>
  <c r="AG138" i="1"/>
  <c r="AG327" i="1"/>
  <c r="AG352" i="1"/>
  <c r="AG388" i="1"/>
  <c r="AG129" i="1"/>
  <c r="AG50" i="1"/>
  <c r="AG66" i="1"/>
  <c r="AG43" i="1"/>
  <c r="AG46" i="1"/>
  <c r="AG44" i="1"/>
  <c r="AG45" i="1"/>
  <c r="AG48" i="1"/>
  <c r="AG212" i="1"/>
  <c r="AG304" i="1"/>
  <c r="AG53" i="1"/>
  <c r="AG52" i="1"/>
  <c r="AG433" i="1"/>
  <c r="AG5" i="1"/>
  <c r="AG57" i="1"/>
  <c r="AG19" i="1"/>
  <c r="AG39" i="1"/>
  <c r="AG62" i="1"/>
  <c r="AG88" i="1"/>
  <c r="AG67" i="1"/>
  <c r="AG68" i="1"/>
  <c r="AG69" i="1"/>
  <c r="AG107" i="1"/>
  <c r="AG123" i="1"/>
  <c r="AG70" i="1"/>
  <c r="AG137" i="1"/>
  <c r="AG151" i="1"/>
  <c r="AG161" i="1"/>
  <c r="AG171" i="1"/>
  <c r="AG75" i="1"/>
  <c r="AG77" i="1"/>
  <c r="AG180" i="1"/>
  <c r="AG79" i="1"/>
  <c r="AG80" i="1"/>
  <c r="AG82" i="1"/>
  <c r="AG191" i="1"/>
  <c r="AG200" i="1"/>
  <c r="AG85" i="1"/>
  <c r="AG201" i="1"/>
  <c r="AG87" i="1"/>
  <c r="AG399" i="1"/>
  <c r="AG225" i="1"/>
  <c r="AG226" i="1"/>
  <c r="AG89" i="1"/>
  <c r="AG236" i="1"/>
  <c r="AG81" i="1"/>
  <c r="AG234" i="1"/>
  <c r="AG289" i="1"/>
  <c r="AG96" i="1"/>
  <c r="AG92" i="1"/>
  <c r="AG93" i="1"/>
  <c r="AG341" i="1"/>
  <c r="AG97" i="1"/>
  <c r="AG98" i="1"/>
  <c r="AG100" i="1"/>
  <c r="AG99" i="1"/>
  <c r="AG278" i="1"/>
  <c r="AG292" i="1"/>
  <c r="AG293" i="1"/>
  <c r="AG102" i="1"/>
  <c r="AG319" i="1"/>
  <c r="AG321" i="1"/>
  <c r="AG361" i="1"/>
  <c r="AG362" i="1"/>
  <c r="AG108" i="1"/>
  <c r="AG374" i="1"/>
  <c r="AG112" i="1"/>
  <c r="AG375" i="1"/>
  <c r="AG408" i="1"/>
  <c r="AG409" i="1"/>
  <c r="AG116" i="1"/>
  <c r="AG117" i="1"/>
  <c r="AG109" i="1"/>
  <c r="AG429" i="1"/>
  <c r="AG118" i="1"/>
  <c r="AG446" i="1"/>
  <c r="AG29" i="1"/>
  <c r="AG223" i="1"/>
  <c r="AG124" i="1"/>
  <c r="AG40" i="1"/>
  <c r="AG127" i="1"/>
  <c r="AG125" i="1"/>
  <c r="AG128" i="1"/>
  <c r="AG130" i="1"/>
  <c r="AG60" i="1"/>
  <c r="AG71" i="1"/>
  <c r="AG131" i="1"/>
  <c r="AG120" i="1"/>
  <c r="AG135" i="1"/>
  <c r="AG136" i="1"/>
  <c r="AG90" i="1"/>
  <c r="AG110" i="1"/>
  <c r="AG152" i="1"/>
  <c r="AG181" i="1"/>
  <c r="AG193" i="1"/>
  <c r="AG227" i="1"/>
  <c r="AG144" i="1"/>
  <c r="AG146" i="1"/>
  <c r="AG147" i="1"/>
  <c r="AG149" i="1"/>
  <c r="AG148" i="1"/>
  <c r="AG240" i="1"/>
  <c r="AG282" i="1"/>
  <c r="AG308" i="1"/>
  <c r="AG329" i="1"/>
  <c r="AG366" i="1"/>
  <c r="AG174" i="1"/>
  <c r="AG154" i="1"/>
  <c r="AG156" i="1"/>
  <c r="AG157" i="1"/>
  <c r="AG412" i="1"/>
  <c r="AG441" i="1"/>
  <c r="AG121" i="1"/>
  <c r="AG448" i="1"/>
  <c r="AG72" i="1"/>
  <c r="AG162" i="1"/>
  <c r="AG163" i="1"/>
  <c r="AG294" i="1"/>
  <c r="AG164" i="1"/>
  <c r="AG165" i="1"/>
  <c r="AG91" i="1"/>
  <c r="AG101" i="1"/>
  <c r="AG170" i="1"/>
  <c r="AG169" i="1"/>
  <c r="AG111" i="1"/>
  <c r="AG173" i="1"/>
  <c r="AG126" i="1"/>
  <c r="AG175" i="1"/>
  <c r="AG139" i="1"/>
  <c r="AG179" i="1"/>
  <c r="AG153" i="1"/>
  <c r="AG182" i="1"/>
  <c r="AG203" i="1"/>
  <c r="AG228" i="1"/>
  <c r="AG250" i="1"/>
  <c r="AG273" i="1"/>
  <c r="AG186" i="1"/>
  <c r="AG296" i="1"/>
  <c r="AG188" i="1"/>
  <c r="AG330" i="1"/>
  <c r="AG353" i="1"/>
  <c r="AG377" i="1"/>
  <c r="AG192" i="1"/>
  <c r="AG413" i="1"/>
  <c r="AG197" i="1"/>
  <c r="AG199" i="1"/>
  <c r="AG449" i="1"/>
  <c r="AG27" i="1"/>
  <c r="AG202" i="1"/>
  <c r="AG189" i="1"/>
  <c r="AG204" i="1"/>
  <c r="AG58" i="1"/>
  <c r="AG61" i="1"/>
  <c r="AG206" i="1"/>
  <c r="AG207" i="1"/>
  <c r="AG78" i="1"/>
  <c r="AG208" i="1"/>
  <c r="AG210" i="1"/>
  <c r="AG119" i="1"/>
  <c r="AG158" i="1"/>
  <c r="AG216" i="1"/>
  <c r="AG214" i="1"/>
  <c r="AG423" i="1"/>
  <c r="AG215" i="1"/>
  <c r="AG217" i="1"/>
  <c r="AG218" i="1"/>
  <c r="AG219" i="1"/>
  <c r="AG220" i="1"/>
  <c r="AG221" i="1"/>
  <c r="AG209" i="1"/>
  <c r="AG246" i="1"/>
  <c r="AG269" i="1"/>
  <c r="AG287" i="1"/>
  <c r="AG323" i="1"/>
  <c r="AG345" i="1"/>
  <c r="AG382" i="1"/>
  <c r="AG230" i="1"/>
  <c r="AG232" i="1"/>
  <c r="AG233" i="1"/>
  <c r="AG438" i="1"/>
  <c r="AG237" i="1"/>
  <c r="AG30" i="1"/>
  <c r="AG103" i="1"/>
  <c r="AG132" i="1"/>
  <c r="AG238" i="1"/>
  <c r="AG241" i="1"/>
  <c r="AG183" i="1"/>
  <c r="AG229" i="1"/>
  <c r="AG270" i="1"/>
  <c r="AG297" i="1"/>
  <c r="AG247" i="1"/>
  <c r="AG239" i="1"/>
  <c r="AG332" i="1"/>
  <c r="AG258" i="1"/>
  <c r="AG213" i="1"/>
  <c r="AG249" i="1"/>
  <c r="AG391" i="1"/>
  <c r="AG451" i="1"/>
  <c r="AG251" i="1"/>
  <c r="AG254" i="1"/>
  <c r="AG8" i="1"/>
  <c r="AG20" i="1"/>
  <c r="AG257" i="1"/>
  <c r="AG313" i="1"/>
  <c r="AG31" i="1"/>
  <c r="AG41" i="1"/>
  <c r="AG54" i="1"/>
  <c r="AG263" i="1"/>
  <c r="AG264" i="1"/>
  <c r="AG248" i="1"/>
  <c r="AG267" i="1"/>
  <c r="AG268" i="1"/>
  <c r="AG255" i="1"/>
  <c r="AG64" i="1"/>
  <c r="AG73" i="1"/>
  <c r="AG94" i="1"/>
  <c r="AG113" i="1"/>
  <c r="AG141" i="1"/>
  <c r="AG155" i="1"/>
  <c r="AG184" i="1"/>
  <c r="AG275" i="1"/>
  <c r="AG274" i="1"/>
  <c r="AG276" i="1"/>
  <c r="AG277" i="1"/>
  <c r="AG325" i="1"/>
  <c r="AG242" i="1"/>
  <c r="AG279" i="1"/>
  <c r="AG280" i="1"/>
  <c r="AG281" i="1"/>
  <c r="AG260" i="1"/>
  <c r="AG286" i="1"/>
  <c r="AG285" i="1"/>
  <c r="AG298" i="1"/>
  <c r="AG309" i="1"/>
  <c r="AG398" i="1"/>
  <c r="AG331" i="1"/>
  <c r="AG450" i="1"/>
  <c r="AG290" i="1"/>
  <c r="AG333" i="1"/>
  <c r="AG368" i="1"/>
  <c r="AG392" i="1"/>
  <c r="AG414" i="1"/>
  <c r="AG452" i="1"/>
  <c r="AG295" i="1"/>
  <c r="AG84" i="1"/>
  <c r="AG133" i="1"/>
  <c r="AG177" i="1"/>
  <c r="AG301" i="1"/>
  <c r="AG224" i="1"/>
  <c r="AG261" i="1"/>
  <c r="AG305" i="1"/>
  <c r="AG302" i="1"/>
  <c r="AG338" i="1"/>
  <c r="AG396" i="1"/>
  <c r="AG314" i="1"/>
  <c r="AG311" i="1"/>
  <c r="AG312" i="1"/>
  <c r="AG315" i="1"/>
  <c r="AG461" i="1"/>
  <c r="AG320" i="1"/>
  <c r="AG456" i="1"/>
  <c r="AG9" i="1"/>
  <c r="AG21" i="1"/>
  <c r="AG32" i="1"/>
  <c r="AG42" i="1"/>
  <c r="AG326" i="1"/>
  <c r="AG55" i="1"/>
  <c r="AG65" i="1"/>
  <c r="AG74" i="1"/>
  <c r="AG328" i="1"/>
  <c r="AG95" i="1"/>
  <c r="AG114" i="1"/>
  <c r="AG142" i="1"/>
  <c r="AG166" i="1"/>
  <c r="AG185" i="1"/>
  <c r="AG336" i="1"/>
  <c r="AG205" i="1"/>
  <c r="AG337" i="1"/>
  <c r="AG339" i="1"/>
  <c r="AG340" i="1"/>
  <c r="AG344" i="1"/>
  <c r="AG243" i="1"/>
  <c r="AG346" i="1"/>
  <c r="AG347" i="1"/>
  <c r="AG440" i="1"/>
  <c r="AG262" i="1"/>
  <c r="AG348" i="1"/>
  <c r="AG349" i="1"/>
  <c r="AG350" i="1"/>
  <c r="AG351" i="1"/>
  <c r="AG283" i="1"/>
  <c r="AG299" i="1"/>
  <c r="AG359" i="1"/>
  <c r="AG357" i="1"/>
  <c r="AG354" i="1"/>
  <c r="AG355" i="1"/>
  <c r="AG310" i="1"/>
  <c r="AG159" i="1"/>
  <c r="AG363" i="1"/>
  <c r="AG334" i="1"/>
  <c r="AG369" i="1"/>
  <c r="AG393" i="1"/>
  <c r="AG364" i="1"/>
  <c r="AG376" i="1"/>
  <c r="AG415" i="1"/>
  <c r="AG367" i="1"/>
  <c r="AG453" i="1"/>
  <c r="AG22" i="1"/>
  <c r="AG372" i="1"/>
  <c r="AG373" i="1"/>
  <c r="AG51" i="1"/>
  <c r="AG56" i="1"/>
  <c r="AG104" i="1"/>
  <c r="AG143" i="1"/>
  <c r="AG176" i="1"/>
  <c r="AG196" i="1"/>
  <c r="AG381" i="1"/>
  <c r="AG383" i="1"/>
  <c r="AG384" i="1"/>
  <c r="AG386" i="1"/>
  <c r="AG244" i="1"/>
  <c r="AG271" i="1"/>
  <c r="AG288" i="1"/>
  <c r="AG300" i="1"/>
  <c r="AG389" i="1"/>
  <c r="AG335" i="1"/>
  <c r="AG394" i="1"/>
  <c r="AG395" i="1"/>
  <c r="AG370" i="1"/>
  <c r="AG400" i="1"/>
  <c r="AG402" i="1"/>
  <c r="AG403" i="1"/>
  <c r="AG405" i="1"/>
  <c r="AG407" i="1"/>
  <c r="AG434" i="1"/>
  <c r="AG76" i="1"/>
  <c r="AG86" i="1"/>
  <c r="AG105" i="1"/>
  <c r="AG145" i="1"/>
  <c r="AG167" i="1"/>
  <c r="AG187" i="1"/>
  <c r="AG416" i="1"/>
  <c r="AG417" i="1"/>
  <c r="AG432" i="1"/>
  <c r="AG404" i="1"/>
  <c r="AG390" i="1"/>
  <c r="AG439" i="1"/>
  <c r="AG427" i="1"/>
  <c r="AG231" i="1"/>
  <c r="AG252" i="1"/>
  <c r="AG430" i="1"/>
  <c r="AG410" i="1"/>
  <c r="AG411" i="1"/>
  <c r="AG284" i="1"/>
  <c r="AG324" i="1"/>
  <c r="AG437" i="1"/>
  <c r="AG343" i="1"/>
  <c r="AG356" i="1"/>
  <c r="AG378" i="1"/>
  <c r="AG418" i="1"/>
  <c r="AG454" i="1"/>
  <c r="AG25" i="1"/>
  <c r="AG115" i="1"/>
  <c r="AG253" i="1"/>
  <c r="AG379" i="1"/>
  <c r="AG458" i="1"/>
  <c r="AG462" i="1"/>
  <c r="AG463" i="1"/>
  <c r="AG426" i="1"/>
  <c r="AI11" i="1"/>
  <c r="AI4" i="1"/>
  <c r="AI35" i="1"/>
  <c r="AI6" i="1"/>
  <c r="AI122" i="1"/>
  <c r="AI150" i="1"/>
  <c r="AI10" i="1"/>
  <c r="AI34" i="1"/>
  <c r="AI13" i="1"/>
  <c r="AI14" i="1"/>
  <c r="AI15" i="1"/>
  <c r="AI16" i="1"/>
  <c r="AI211" i="1"/>
  <c r="AI18" i="1"/>
  <c r="AI256" i="1"/>
  <c r="AI291" i="1"/>
  <c r="AI306" i="1"/>
  <c r="AI23" i="1"/>
  <c r="AI24" i="1"/>
  <c r="AI387" i="1"/>
  <c r="AI445" i="1"/>
  <c r="AI83" i="1"/>
  <c r="AI26" i="1"/>
  <c r="AI28" i="1"/>
  <c r="AI33" i="1"/>
  <c r="AI106" i="1"/>
  <c r="AI160" i="1"/>
  <c r="AI190" i="1"/>
  <c r="AI235" i="1"/>
  <c r="AI272" i="1"/>
  <c r="AI259" i="1"/>
  <c r="AI318" i="1"/>
  <c r="AI266" i="1"/>
  <c r="AI38" i="1"/>
  <c r="AI138" i="1"/>
  <c r="AI327" i="1"/>
  <c r="AI352" i="1"/>
  <c r="AI388" i="1"/>
  <c r="AI129" i="1"/>
  <c r="AI50" i="1"/>
  <c r="AI66" i="1"/>
  <c r="AI43" i="1"/>
  <c r="AI46" i="1"/>
  <c r="AI44" i="1"/>
  <c r="AI45" i="1"/>
  <c r="AI48" i="1"/>
  <c r="AI212" i="1"/>
  <c r="AI304" i="1"/>
  <c r="AI53" i="1"/>
  <c r="AI52" i="1"/>
  <c r="AI433" i="1"/>
  <c r="AI5" i="1"/>
  <c r="AI57" i="1"/>
  <c r="AI19" i="1"/>
  <c r="AI39" i="1"/>
  <c r="AI62" i="1"/>
  <c r="AI88" i="1"/>
  <c r="AI67" i="1"/>
  <c r="AI68" i="1"/>
  <c r="AI69" i="1"/>
  <c r="AI107" i="1"/>
  <c r="AI123" i="1"/>
  <c r="AI70" i="1"/>
  <c r="AI137" i="1"/>
  <c r="AI151" i="1"/>
  <c r="AI161" i="1"/>
  <c r="AI171" i="1"/>
  <c r="AI75" i="1"/>
  <c r="AI77" i="1"/>
  <c r="AI180" i="1"/>
  <c r="AI79" i="1"/>
  <c r="AI80" i="1"/>
  <c r="AI82" i="1"/>
  <c r="AI191" i="1"/>
  <c r="AI200" i="1"/>
  <c r="AI85" i="1"/>
  <c r="AI201" i="1"/>
  <c r="AI87" i="1"/>
  <c r="AI399" i="1"/>
  <c r="AI225" i="1"/>
  <c r="AI226" i="1"/>
  <c r="AI89" i="1"/>
  <c r="AI236" i="1"/>
  <c r="AI81" i="1"/>
  <c r="AI234" i="1"/>
  <c r="AI289" i="1"/>
  <c r="AI96" i="1"/>
  <c r="AI92" i="1"/>
  <c r="AI93" i="1"/>
  <c r="AI341" i="1"/>
  <c r="AI97" i="1"/>
  <c r="AI98" i="1"/>
  <c r="AI100" i="1"/>
  <c r="AI99" i="1"/>
  <c r="AI278" i="1"/>
  <c r="AI292" i="1"/>
  <c r="AI293" i="1"/>
  <c r="AI102" i="1"/>
  <c r="AI319" i="1"/>
  <c r="AI321" i="1"/>
  <c r="AI361" i="1"/>
  <c r="AI362" i="1"/>
  <c r="AI108" i="1"/>
  <c r="AI374" i="1"/>
  <c r="AI112" i="1"/>
  <c r="AI375" i="1"/>
  <c r="AI408" i="1"/>
  <c r="AI409" i="1"/>
  <c r="AI116" i="1"/>
  <c r="AI117" i="1"/>
  <c r="AI109" i="1"/>
  <c r="AI429" i="1"/>
  <c r="AI118" i="1"/>
  <c r="AI446" i="1"/>
  <c r="AI29" i="1"/>
  <c r="AI223" i="1"/>
  <c r="AI124" i="1"/>
  <c r="AI40" i="1"/>
  <c r="AI127" i="1"/>
  <c r="AI125" i="1"/>
  <c r="AI128" i="1"/>
  <c r="AI130" i="1"/>
  <c r="AI60" i="1"/>
  <c r="AI71" i="1"/>
  <c r="AI131" i="1"/>
  <c r="AI120" i="1"/>
  <c r="AI135" i="1"/>
  <c r="AI136" i="1"/>
  <c r="AI90" i="1"/>
  <c r="AI110" i="1"/>
  <c r="AI152" i="1"/>
  <c r="AI181" i="1"/>
  <c r="AI193" i="1"/>
  <c r="AI227" i="1"/>
  <c r="AI144" i="1"/>
  <c r="AI146" i="1"/>
  <c r="AI147" i="1"/>
  <c r="AI149" i="1"/>
  <c r="AI148" i="1"/>
  <c r="AI240" i="1"/>
  <c r="AI282" i="1"/>
  <c r="AI308" i="1"/>
  <c r="AI329" i="1"/>
  <c r="AI366" i="1"/>
  <c r="AI174" i="1"/>
  <c r="AI154" i="1"/>
  <c r="AI156" i="1"/>
  <c r="AI157" i="1"/>
  <c r="AI412" i="1"/>
  <c r="AI441" i="1"/>
  <c r="AI121" i="1"/>
  <c r="AI448" i="1"/>
  <c r="AI72" i="1"/>
  <c r="AI162" i="1"/>
  <c r="AI163" i="1"/>
  <c r="AI294" i="1"/>
  <c r="AI164" i="1"/>
  <c r="AI165" i="1"/>
  <c r="AI91" i="1"/>
  <c r="AI101" i="1"/>
  <c r="AI170" i="1"/>
  <c r="AI169" i="1"/>
  <c r="AI111" i="1"/>
  <c r="AI173" i="1"/>
  <c r="AI126" i="1"/>
  <c r="AI175" i="1"/>
  <c r="AI139" i="1"/>
  <c r="AI179" i="1"/>
  <c r="AI153" i="1"/>
  <c r="AI182" i="1"/>
  <c r="AI203" i="1"/>
  <c r="AI228" i="1"/>
  <c r="AI250" i="1"/>
  <c r="AI273" i="1"/>
  <c r="AI186" i="1"/>
  <c r="AI296" i="1"/>
  <c r="AI188" i="1"/>
  <c r="AI330" i="1"/>
  <c r="AI353" i="1"/>
  <c r="AI377" i="1"/>
  <c r="AI192" i="1"/>
  <c r="AI413" i="1"/>
  <c r="AI197" i="1"/>
  <c r="AI199" i="1"/>
  <c r="AI449" i="1"/>
  <c r="AI27" i="1"/>
  <c r="AI202" i="1"/>
  <c r="AI189" i="1"/>
  <c r="AI204" i="1"/>
  <c r="AI58" i="1"/>
  <c r="AI61" i="1"/>
  <c r="AI206" i="1"/>
  <c r="AI207" i="1"/>
  <c r="AI78" i="1"/>
  <c r="AI208" i="1"/>
  <c r="AI210" i="1"/>
  <c r="AI119" i="1"/>
  <c r="AI158" i="1"/>
  <c r="AI216" i="1"/>
  <c r="AI214" i="1"/>
  <c r="AI423" i="1"/>
  <c r="AI215" i="1"/>
  <c r="AI217" i="1"/>
  <c r="AI218" i="1"/>
  <c r="AI219" i="1"/>
  <c r="AI220" i="1"/>
  <c r="AI221" i="1"/>
  <c r="AI209" i="1"/>
  <c r="AI246" i="1"/>
  <c r="AI269" i="1"/>
  <c r="AI287" i="1"/>
  <c r="AI323" i="1"/>
  <c r="AI345" i="1"/>
  <c r="AI382" i="1"/>
  <c r="AI230" i="1"/>
  <c r="AI232" i="1"/>
  <c r="AI233" i="1"/>
  <c r="AI438" i="1"/>
  <c r="AI237" i="1"/>
  <c r="AI30" i="1"/>
  <c r="AI103" i="1"/>
  <c r="AI132" i="1"/>
  <c r="AI238" i="1"/>
  <c r="AI241" i="1"/>
  <c r="AI183" i="1"/>
  <c r="AI229" i="1"/>
  <c r="AI270" i="1"/>
  <c r="AI297" i="1"/>
  <c r="AI247" i="1"/>
  <c r="AI239" i="1"/>
  <c r="AI332" i="1"/>
  <c r="AI258" i="1"/>
  <c r="AI213" i="1"/>
  <c r="AI249" i="1"/>
  <c r="AI391" i="1"/>
  <c r="AI451" i="1"/>
  <c r="AI251" i="1"/>
  <c r="AI254" i="1"/>
  <c r="AI8" i="1"/>
  <c r="AI20" i="1"/>
  <c r="AI257" i="1"/>
  <c r="AI313" i="1"/>
  <c r="AI31" i="1"/>
  <c r="AI41" i="1"/>
  <c r="AI54" i="1"/>
  <c r="AI263" i="1"/>
  <c r="AI264" i="1"/>
  <c r="AI248" i="1"/>
  <c r="AI267" i="1"/>
  <c r="AI268" i="1"/>
  <c r="AI255" i="1"/>
  <c r="AI64" i="1"/>
  <c r="AI73" i="1"/>
  <c r="AI94" i="1"/>
  <c r="AI113" i="1"/>
  <c r="AI141" i="1"/>
  <c r="AI155" i="1"/>
  <c r="AI184" i="1"/>
  <c r="AI275" i="1"/>
  <c r="AI274" i="1"/>
  <c r="AI276" i="1"/>
  <c r="AI277" i="1"/>
  <c r="AI325" i="1"/>
  <c r="AI242" i="1"/>
  <c r="AI279" i="1"/>
  <c r="AI280" i="1"/>
  <c r="AI281" i="1"/>
  <c r="AI260" i="1"/>
  <c r="AI286" i="1"/>
  <c r="AI285" i="1"/>
  <c r="AI298" i="1"/>
  <c r="AI309" i="1"/>
  <c r="AI398" i="1"/>
  <c r="AI331" i="1"/>
  <c r="AI450" i="1"/>
  <c r="AI290" i="1"/>
  <c r="AI333" i="1"/>
  <c r="AI368" i="1"/>
  <c r="AI392" i="1"/>
  <c r="AI414" i="1"/>
  <c r="AI452" i="1"/>
  <c r="AI295" i="1"/>
  <c r="AI84" i="1"/>
  <c r="AI133" i="1"/>
  <c r="AI177" i="1"/>
  <c r="AI301" i="1"/>
  <c r="AI224" i="1"/>
  <c r="AI261" i="1"/>
  <c r="AI305" i="1"/>
  <c r="AI302" i="1"/>
  <c r="AI338" i="1"/>
  <c r="AI396" i="1"/>
  <c r="AI314" i="1"/>
  <c r="AI311" i="1"/>
  <c r="AI312" i="1"/>
  <c r="AI315" i="1"/>
  <c r="AI461" i="1"/>
  <c r="AI320" i="1"/>
  <c r="AI456" i="1"/>
  <c r="AI9" i="1"/>
  <c r="AI21" i="1"/>
  <c r="AI32" i="1"/>
  <c r="AI42" i="1"/>
  <c r="AI326" i="1"/>
  <c r="AI55" i="1"/>
  <c r="AI65" i="1"/>
  <c r="AI74" i="1"/>
  <c r="AI328" i="1"/>
  <c r="AI95" i="1"/>
  <c r="AI114" i="1"/>
  <c r="AI142" i="1"/>
  <c r="AI166" i="1"/>
  <c r="AI185" i="1"/>
  <c r="AI336" i="1"/>
  <c r="AI205" i="1"/>
  <c r="AI337" i="1"/>
  <c r="AI339" i="1"/>
  <c r="AI340" i="1"/>
  <c r="AI344" i="1"/>
  <c r="AI243" i="1"/>
  <c r="AI346" i="1"/>
  <c r="AI347" i="1"/>
  <c r="AI440" i="1"/>
  <c r="AI262" i="1"/>
  <c r="AI348" i="1"/>
  <c r="AI349" i="1"/>
  <c r="AI350" i="1"/>
  <c r="AI351" i="1"/>
  <c r="AI283" i="1"/>
  <c r="AI299" i="1"/>
  <c r="AI359" i="1"/>
  <c r="AI357" i="1"/>
  <c r="AI354" i="1"/>
  <c r="AI355" i="1"/>
  <c r="AI310" i="1"/>
  <c r="AI159" i="1"/>
  <c r="AI363" i="1"/>
  <c r="AI334" i="1"/>
  <c r="AI369" i="1"/>
  <c r="AI393" i="1"/>
  <c r="AI364" i="1"/>
  <c r="AI376" i="1"/>
  <c r="AI415" i="1"/>
  <c r="AI367" i="1"/>
  <c r="AI453" i="1"/>
  <c r="AI22" i="1"/>
  <c r="AI372" i="1"/>
  <c r="AI373" i="1"/>
  <c r="AI51" i="1"/>
  <c r="AI56" i="1"/>
  <c r="AI104" i="1"/>
  <c r="AI143" i="1"/>
  <c r="AI176" i="1"/>
  <c r="AI196" i="1"/>
  <c r="AI381" i="1"/>
  <c r="AI383" i="1"/>
  <c r="AI384" i="1"/>
  <c r="AI386" i="1"/>
  <c r="AI244" i="1"/>
  <c r="AI271" i="1"/>
  <c r="AI288" i="1"/>
  <c r="AI300" i="1"/>
  <c r="AI389" i="1"/>
  <c r="AI335" i="1"/>
  <c r="AI394" i="1"/>
  <c r="AI395" i="1"/>
  <c r="AI370" i="1"/>
  <c r="AI400" i="1"/>
  <c r="AI402" i="1"/>
  <c r="AI403" i="1"/>
  <c r="AI405" i="1"/>
  <c r="AI407" i="1"/>
  <c r="AI434" i="1"/>
  <c r="AI76" i="1"/>
  <c r="AI86" i="1"/>
  <c r="AI105" i="1"/>
  <c r="AI145" i="1"/>
  <c r="AI167" i="1"/>
  <c r="AI187" i="1"/>
  <c r="AI416" i="1"/>
  <c r="AI417" i="1"/>
  <c r="AI432" i="1"/>
  <c r="AI404" i="1"/>
  <c r="AI390" i="1"/>
  <c r="AI439" i="1"/>
  <c r="AI427" i="1"/>
  <c r="AI231" i="1"/>
  <c r="AI252" i="1"/>
  <c r="AI430" i="1"/>
  <c r="AI410" i="1"/>
  <c r="AI411" i="1"/>
  <c r="AI284" i="1"/>
  <c r="AI324" i="1"/>
  <c r="AI437" i="1"/>
  <c r="AI343" i="1"/>
  <c r="AI356" i="1"/>
  <c r="AI378" i="1"/>
  <c r="AI418" i="1"/>
  <c r="AI454" i="1"/>
  <c r="AI25" i="1"/>
  <c r="AI115" i="1"/>
  <c r="AI253" i="1"/>
  <c r="AI379" i="1"/>
  <c r="AI458" i="1"/>
  <c r="AI462" i="1"/>
  <c r="AI463" i="1"/>
  <c r="AI426" i="1"/>
  <c r="AH4" i="1"/>
  <c r="AH35" i="1"/>
  <c r="AH6" i="1"/>
  <c r="AH122" i="1"/>
  <c r="AH150" i="1"/>
  <c r="AH10" i="1"/>
  <c r="AH34" i="1"/>
  <c r="AH13" i="1"/>
  <c r="AH14" i="1"/>
  <c r="AH15" i="1"/>
  <c r="AH16" i="1"/>
  <c r="AH211" i="1"/>
  <c r="AH18" i="1"/>
  <c r="AH256" i="1"/>
  <c r="AH291" i="1"/>
  <c r="AH306" i="1"/>
  <c r="AH23" i="1"/>
  <c r="AH24" i="1"/>
  <c r="AH387" i="1"/>
  <c r="AH445" i="1"/>
  <c r="AH83" i="1"/>
  <c r="AH26" i="1"/>
  <c r="AH28" i="1"/>
  <c r="AH33" i="1"/>
  <c r="AH106" i="1"/>
  <c r="AH160" i="1"/>
  <c r="AH190" i="1"/>
  <c r="AH235" i="1"/>
  <c r="AH272" i="1"/>
  <c r="AH259" i="1"/>
  <c r="AH318" i="1"/>
  <c r="AH266" i="1"/>
  <c r="AH38" i="1"/>
  <c r="AH138" i="1"/>
  <c r="AH327" i="1"/>
  <c r="AH352" i="1"/>
  <c r="AH388" i="1"/>
  <c r="AH129" i="1"/>
  <c r="AH50" i="1"/>
  <c r="AH66" i="1"/>
  <c r="AH43" i="1"/>
  <c r="AH46" i="1"/>
  <c r="AH44" i="1"/>
  <c r="AH45" i="1"/>
  <c r="AH48" i="1"/>
  <c r="AH212" i="1"/>
  <c r="AH304" i="1"/>
  <c r="AH53" i="1"/>
  <c r="AH52" i="1"/>
  <c r="AH433" i="1"/>
  <c r="AH5" i="1"/>
  <c r="AH57" i="1"/>
  <c r="AH19" i="1"/>
  <c r="AH39" i="1"/>
  <c r="AH62" i="1"/>
  <c r="AH88" i="1"/>
  <c r="AH67" i="1"/>
  <c r="AH68" i="1"/>
  <c r="AH69" i="1"/>
  <c r="AH107" i="1"/>
  <c r="AH123" i="1"/>
  <c r="AH70" i="1"/>
  <c r="AH137" i="1"/>
  <c r="AH151" i="1"/>
  <c r="AH161" i="1"/>
  <c r="AH171" i="1"/>
  <c r="AH75" i="1"/>
  <c r="AH77" i="1"/>
  <c r="AH180" i="1"/>
  <c r="AH79" i="1"/>
  <c r="AH80" i="1"/>
  <c r="AH82" i="1"/>
  <c r="AH191" i="1"/>
  <c r="AH200" i="1"/>
  <c r="AH85" i="1"/>
  <c r="AH201" i="1"/>
  <c r="AH87" i="1"/>
  <c r="AH399" i="1"/>
  <c r="AH225" i="1"/>
  <c r="AH226" i="1"/>
  <c r="AH89" i="1"/>
  <c r="AH236" i="1"/>
  <c r="AH81" i="1"/>
  <c r="AH234" i="1"/>
  <c r="AH289" i="1"/>
  <c r="AH96" i="1"/>
  <c r="AH92" i="1"/>
  <c r="AH93" i="1"/>
  <c r="AH341" i="1"/>
  <c r="AH97" i="1"/>
  <c r="AH98" i="1"/>
  <c r="AH100" i="1"/>
  <c r="AH99" i="1"/>
  <c r="AH278" i="1"/>
  <c r="AH292" i="1"/>
  <c r="AH293" i="1"/>
  <c r="AH102" i="1"/>
  <c r="AH319" i="1"/>
  <c r="AH321" i="1"/>
  <c r="AH361" i="1"/>
  <c r="AH362" i="1"/>
  <c r="AH108" i="1"/>
  <c r="AH374" i="1"/>
  <c r="AH112" i="1"/>
  <c r="AH375" i="1"/>
  <c r="AH408" i="1"/>
  <c r="AH409" i="1"/>
  <c r="AH116" i="1"/>
  <c r="AH117" i="1"/>
  <c r="AH109" i="1"/>
  <c r="AH429" i="1"/>
  <c r="AH118" i="1"/>
  <c r="AH446" i="1"/>
  <c r="AH29" i="1"/>
  <c r="AH223" i="1"/>
  <c r="AH124" i="1"/>
  <c r="AH40" i="1"/>
  <c r="AH127" i="1"/>
  <c r="AH125" i="1"/>
  <c r="AH128" i="1"/>
  <c r="AH130" i="1"/>
  <c r="AH60" i="1"/>
  <c r="AH71" i="1"/>
  <c r="AH131" i="1"/>
  <c r="AH120" i="1"/>
  <c r="AH135" i="1"/>
  <c r="AH136" i="1"/>
  <c r="AH90" i="1"/>
  <c r="AH110" i="1"/>
  <c r="AH152" i="1"/>
  <c r="AH181" i="1"/>
  <c r="AH193" i="1"/>
  <c r="AH227" i="1"/>
  <c r="AH144" i="1"/>
  <c r="AH146" i="1"/>
  <c r="AH147" i="1"/>
  <c r="AH149" i="1"/>
  <c r="AH148" i="1"/>
  <c r="AH240" i="1"/>
  <c r="AH282" i="1"/>
  <c r="AH308" i="1"/>
  <c r="AH329" i="1"/>
  <c r="AH366" i="1"/>
  <c r="AH174" i="1"/>
  <c r="AH154" i="1"/>
  <c r="AH156" i="1"/>
  <c r="AH157" i="1"/>
  <c r="AH412" i="1"/>
  <c r="AH441" i="1"/>
  <c r="AH121" i="1"/>
  <c r="AH448" i="1"/>
  <c r="AH72" i="1"/>
  <c r="AH162" i="1"/>
  <c r="AH163" i="1"/>
  <c r="AH294" i="1"/>
  <c r="AH164" i="1"/>
  <c r="AH165" i="1"/>
  <c r="AH91" i="1"/>
  <c r="AH101" i="1"/>
  <c r="AH170" i="1"/>
  <c r="AH169" i="1"/>
  <c r="AH111" i="1"/>
  <c r="AH173" i="1"/>
  <c r="AH126" i="1"/>
  <c r="AH175" i="1"/>
  <c r="AH139" i="1"/>
  <c r="AH179" i="1"/>
  <c r="AH153" i="1"/>
  <c r="AH182" i="1"/>
  <c r="AH203" i="1"/>
  <c r="AH228" i="1"/>
  <c r="AH250" i="1"/>
  <c r="AH273" i="1"/>
  <c r="AH186" i="1"/>
  <c r="AH296" i="1"/>
  <c r="AH188" i="1"/>
  <c r="AH330" i="1"/>
  <c r="AH353" i="1"/>
  <c r="AH377" i="1"/>
  <c r="AH192" i="1"/>
  <c r="AH413" i="1"/>
  <c r="AH197" i="1"/>
  <c r="AH199" i="1"/>
  <c r="AH449" i="1"/>
  <c r="AH27" i="1"/>
  <c r="AH202" i="1"/>
  <c r="AH189" i="1"/>
  <c r="AH204" i="1"/>
  <c r="AH58" i="1"/>
  <c r="AH61" i="1"/>
  <c r="AH206" i="1"/>
  <c r="AH207" i="1"/>
  <c r="AH78" i="1"/>
  <c r="AH208" i="1"/>
  <c r="AH210" i="1"/>
  <c r="AH119" i="1"/>
  <c r="AH158" i="1"/>
  <c r="AH216" i="1"/>
  <c r="AH214" i="1"/>
  <c r="AH423" i="1"/>
  <c r="AH215" i="1"/>
  <c r="AH217" i="1"/>
  <c r="AH218" i="1"/>
  <c r="AH219" i="1"/>
  <c r="AH220" i="1"/>
  <c r="AH221" i="1"/>
  <c r="AH209" i="1"/>
  <c r="AH246" i="1"/>
  <c r="AH269" i="1"/>
  <c r="AH287" i="1"/>
  <c r="AH323" i="1"/>
  <c r="AH345" i="1"/>
  <c r="AH382" i="1"/>
  <c r="AH230" i="1"/>
  <c r="AH232" i="1"/>
  <c r="AH233" i="1"/>
  <c r="AH438" i="1"/>
  <c r="AH237" i="1"/>
  <c r="AH30" i="1"/>
  <c r="AH103" i="1"/>
  <c r="AH132" i="1"/>
  <c r="AH238" i="1"/>
  <c r="AH241" i="1"/>
  <c r="AH183" i="1"/>
  <c r="AH229" i="1"/>
  <c r="AH270" i="1"/>
  <c r="AH297" i="1"/>
  <c r="AH247" i="1"/>
  <c r="AH239" i="1"/>
  <c r="AH332" i="1"/>
  <c r="AH258" i="1"/>
  <c r="AH213" i="1"/>
  <c r="AH249" i="1"/>
  <c r="AH391" i="1"/>
  <c r="AH451" i="1"/>
  <c r="AH251" i="1"/>
  <c r="AH254" i="1"/>
  <c r="AH8" i="1"/>
  <c r="AH20" i="1"/>
  <c r="AH257" i="1"/>
  <c r="AH313" i="1"/>
  <c r="AH31" i="1"/>
  <c r="AH41" i="1"/>
  <c r="AH54" i="1"/>
  <c r="AH263" i="1"/>
  <c r="AH264" i="1"/>
  <c r="AH248" i="1"/>
  <c r="AH267" i="1"/>
  <c r="AH268" i="1"/>
  <c r="AH255" i="1"/>
  <c r="AH64" i="1"/>
  <c r="AH73" i="1"/>
  <c r="AH94" i="1"/>
  <c r="AH113" i="1"/>
  <c r="AH141" i="1"/>
  <c r="AH155" i="1"/>
  <c r="AH184" i="1"/>
  <c r="AH275" i="1"/>
  <c r="AH274" i="1"/>
  <c r="AH276" i="1"/>
  <c r="AH277" i="1"/>
  <c r="AH325" i="1"/>
  <c r="AH242" i="1"/>
  <c r="AH279" i="1"/>
  <c r="AH280" i="1"/>
  <c r="AH281" i="1"/>
  <c r="AH260" i="1"/>
  <c r="AH286" i="1"/>
  <c r="AH285" i="1"/>
  <c r="AH298" i="1"/>
  <c r="AH309" i="1"/>
  <c r="AH398" i="1"/>
  <c r="AH331" i="1"/>
  <c r="AH450" i="1"/>
  <c r="AH290" i="1"/>
  <c r="AH333" i="1"/>
  <c r="AH368" i="1"/>
  <c r="AH392" i="1"/>
  <c r="AH414" i="1"/>
  <c r="AH452" i="1"/>
  <c r="AH295" i="1"/>
  <c r="AH84" i="1"/>
  <c r="AH133" i="1"/>
  <c r="AH177" i="1"/>
  <c r="AH301" i="1"/>
  <c r="AH224" i="1"/>
  <c r="AH261" i="1"/>
  <c r="AH305" i="1"/>
  <c r="AH302" i="1"/>
  <c r="AH338" i="1"/>
  <c r="AH396" i="1"/>
  <c r="AH314" i="1"/>
  <c r="AH311" i="1"/>
  <c r="AH312" i="1"/>
  <c r="AH315" i="1"/>
  <c r="AH461" i="1"/>
  <c r="AH320" i="1"/>
  <c r="AH456" i="1"/>
  <c r="AH9" i="1"/>
  <c r="AH21" i="1"/>
  <c r="AH32" i="1"/>
  <c r="AH42" i="1"/>
  <c r="AH326" i="1"/>
  <c r="AH55" i="1"/>
  <c r="AH65" i="1"/>
  <c r="AH74" i="1"/>
  <c r="AH328" i="1"/>
  <c r="AH95" i="1"/>
  <c r="AH114" i="1"/>
  <c r="AH142" i="1"/>
  <c r="AH166" i="1"/>
  <c r="AH185" i="1"/>
  <c r="AH336" i="1"/>
  <c r="AH205" i="1"/>
  <c r="AH337" i="1"/>
  <c r="AH339" i="1"/>
  <c r="AH340" i="1"/>
  <c r="AH344" i="1"/>
  <c r="AH243" i="1"/>
  <c r="AH346" i="1"/>
  <c r="AH347" i="1"/>
  <c r="AH440" i="1"/>
  <c r="AH262" i="1"/>
  <c r="AH348" i="1"/>
  <c r="AH349" i="1"/>
  <c r="AH350" i="1"/>
  <c r="AH351" i="1"/>
  <c r="AH283" i="1"/>
  <c r="AH299" i="1"/>
  <c r="AH359" i="1"/>
  <c r="AH357" i="1"/>
  <c r="AH354" i="1"/>
  <c r="AH355" i="1"/>
  <c r="AH310" i="1"/>
  <c r="AH159" i="1"/>
  <c r="AH363" i="1"/>
  <c r="AH334" i="1"/>
  <c r="AH369" i="1"/>
  <c r="AH393" i="1"/>
  <c r="AH364" i="1"/>
  <c r="AH376" i="1"/>
  <c r="AH415" i="1"/>
  <c r="AH367" i="1"/>
  <c r="AH453" i="1"/>
  <c r="AH22" i="1"/>
  <c r="AH372" i="1"/>
  <c r="AH373" i="1"/>
  <c r="AH51" i="1"/>
  <c r="AH56" i="1"/>
  <c r="AH104" i="1"/>
  <c r="AH143" i="1"/>
  <c r="AH176" i="1"/>
  <c r="AH196" i="1"/>
  <c r="AH381" i="1"/>
  <c r="AH383" i="1"/>
  <c r="AH384" i="1"/>
  <c r="AH386" i="1"/>
  <c r="AH244" i="1"/>
  <c r="AH271" i="1"/>
  <c r="AH288" i="1"/>
  <c r="AH300" i="1"/>
  <c r="AH389" i="1"/>
  <c r="AH335" i="1"/>
  <c r="AH394" i="1"/>
  <c r="AH395" i="1"/>
  <c r="AH370" i="1"/>
  <c r="AH400" i="1"/>
  <c r="AH402" i="1"/>
  <c r="AH403" i="1"/>
  <c r="AH405" i="1"/>
  <c r="AH407" i="1"/>
  <c r="AH434" i="1"/>
  <c r="AH76" i="1"/>
  <c r="AH86" i="1"/>
  <c r="AH105" i="1"/>
  <c r="AH145" i="1"/>
  <c r="AH167" i="1"/>
  <c r="AH187" i="1"/>
  <c r="AH416" i="1"/>
  <c r="AH417" i="1"/>
  <c r="AH432" i="1"/>
  <c r="AH404" i="1"/>
  <c r="AH390" i="1"/>
  <c r="AH439" i="1"/>
  <c r="AH427" i="1"/>
  <c r="AH231" i="1"/>
  <c r="AH252" i="1"/>
  <c r="AH430" i="1"/>
  <c r="AH410" i="1"/>
  <c r="AH411" i="1"/>
  <c r="AH284" i="1"/>
  <c r="AH324" i="1"/>
  <c r="AH437" i="1"/>
  <c r="AH343" i="1"/>
  <c r="AH356" i="1"/>
  <c r="AH378" i="1"/>
  <c r="AH418" i="1"/>
  <c r="AH454" i="1"/>
  <c r="AH25" i="1"/>
  <c r="AH115" i="1"/>
  <c r="AH253" i="1"/>
  <c r="AH379" i="1"/>
  <c r="AH458" i="1"/>
  <c r="AH462" i="1"/>
  <c r="AH463" i="1"/>
  <c r="AH426" i="1"/>
  <c r="AH11" i="1"/>
  <c r="V13" i="1"/>
  <c r="W13" i="1"/>
  <c r="V14" i="1"/>
  <c r="W14" i="1"/>
  <c r="V15" i="1"/>
  <c r="W15" i="1"/>
  <c r="V16" i="1"/>
  <c r="W16" i="1"/>
  <c r="V211" i="1"/>
  <c r="W211" i="1"/>
  <c r="V18" i="1"/>
  <c r="W18" i="1"/>
  <c r="V256" i="1"/>
  <c r="W256" i="1"/>
  <c r="V291" i="1"/>
  <c r="W291" i="1"/>
  <c r="V306" i="1"/>
  <c r="W306" i="1"/>
  <c r="V23" i="1"/>
  <c r="W23" i="1"/>
  <c r="V24" i="1"/>
  <c r="W24" i="1"/>
  <c r="V387" i="1"/>
  <c r="W387" i="1"/>
  <c r="V445" i="1"/>
  <c r="W445" i="1"/>
  <c r="V83" i="1"/>
  <c r="W83" i="1"/>
  <c r="V26" i="1"/>
  <c r="W26" i="1"/>
  <c r="V28" i="1"/>
  <c r="W28" i="1"/>
  <c r="V33" i="1"/>
  <c r="W33" i="1"/>
  <c r="V106" i="1"/>
  <c r="W106" i="1"/>
  <c r="V160" i="1"/>
  <c r="W160" i="1"/>
  <c r="V190" i="1"/>
  <c r="W190" i="1"/>
  <c r="V235" i="1"/>
  <c r="W235" i="1"/>
  <c r="V272" i="1"/>
  <c r="W272" i="1"/>
  <c r="V259" i="1"/>
  <c r="W259" i="1"/>
  <c r="V318" i="1"/>
  <c r="W318" i="1"/>
  <c r="V266" i="1"/>
  <c r="W266" i="1"/>
  <c r="V38" i="1"/>
  <c r="W38" i="1"/>
  <c r="V138" i="1"/>
  <c r="W138" i="1"/>
  <c r="V327" i="1"/>
  <c r="W327" i="1"/>
  <c r="V352" i="1"/>
  <c r="W352" i="1"/>
  <c r="V388" i="1"/>
  <c r="W388" i="1"/>
  <c r="V129" i="1"/>
  <c r="V50" i="1"/>
  <c r="W50" i="1"/>
  <c r="V66" i="1"/>
  <c r="W66" i="1"/>
  <c r="V43" i="1"/>
  <c r="W43" i="1"/>
  <c r="V46" i="1"/>
  <c r="W46" i="1"/>
  <c r="V44" i="1"/>
  <c r="W44" i="1"/>
  <c r="V45" i="1"/>
  <c r="W45" i="1"/>
  <c r="V48" i="1"/>
  <c r="W48" i="1"/>
  <c r="V212" i="1"/>
  <c r="W212" i="1"/>
  <c r="V304" i="1"/>
  <c r="W304" i="1"/>
  <c r="V53" i="1"/>
  <c r="W53" i="1"/>
  <c r="V52" i="1"/>
  <c r="W52" i="1"/>
  <c r="V433" i="1"/>
  <c r="W433" i="1"/>
  <c r="V5" i="1"/>
  <c r="W5" i="1"/>
  <c r="V57" i="1"/>
  <c r="W57" i="1"/>
  <c r="V19" i="1"/>
  <c r="W19" i="1"/>
  <c r="V39" i="1"/>
  <c r="W39" i="1"/>
  <c r="V62" i="1"/>
  <c r="W62" i="1"/>
  <c r="V88" i="1"/>
  <c r="W88" i="1"/>
  <c r="V67" i="1"/>
  <c r="W67" i="1"/>
  <c r="V68" i="1"/>
  <c r="W68" i="1"/>
  <c r="V69" i="1"/>
  <c r="W69" i="1"/>
  <c r="V107" i="1"/>
  <c r="W107" i="1"/>
  <c r="V123" i="1"/>
  <c r="W123" i="1"/>
  <c r="V70" i="1"/>
  <c r="W70" i="1"/>
  <c r="V137" i="1"/>
  <c r="W137" i="1"/>
  <c r="V151" i="1"/>
  <c r="W151" i="1"/>
  <c r="V161" i="1"/>
  <c r="W161" i="1"/>
  <c r="V171" i="1"/>
  <c r="W171" i="1"/>
  <c r="V75" i="1"/>
  <c r="W75" i="1"/>
  <c r="V77" i="1"/>
  <c r="W77" i="1"/>
  <c r="V180" i="1"/>
  <c r="W180" i="1"/>
  <c r="V79" i="1"/>
  <c r="W79" i="1"/>
  <c r="V80" i="1"/>
  <c r="W80" i="1"/>
  <c r="V82" i="1"/>
  <c r="W82" i="1"/>
  <c r="V191" i="1"/>
  <c r="W191" i="1"/>
  <c r="V200" i="1"/>
  <c r="W200" i="1"/>
  <c r="V85" i="1"/>
  <c r="W85" i="1"/>
  <c r="V201" i="1"/>
  <c r="W201" i="1"/>
  <c r="V87" i="1"/>
  <c r="W87" i="1"/>
  <c r="V399" i="1"/>
  <c r="W399" i="1"/>
  <c r="V225" i="1"/>
  <c r="W225" i="1"/>
  <c r="V226" i="1"/>
  <c r="W226" i="1"/>
  <c r="V89" i="1"/>
  <c r="W89" i="1"/>
  <c r="V236" i="1"/>
  <c r="W236" i="1"/>
  <c r="V81" i="1"/>
  <c r="W81" i="1"/>
  <c r="V234" i="1"/>
  <c r="W234" i="1"/>
  <c r="V289" i="1"/>
  <c r="W289" i="1"/>
  <c r="V96" i="1"/>
  <c r="V92" i="1"/>
  <c r="W92" i="1"/>
  <c r="V93" i="1"/>
  <c r="W93" i="1"/>
  <c r="V341" i="1"/>
  <c r="W341" i="1"/>
  <c r="V97" i="1"/>
  <c r="W97" i="1"/>
  <c r="V98" i="1"/>
  <c r="W98" i="1"/>
  <c r="V100" i="1"/>
  <c r="W100" i="1"/>
  <c r="V99" i="1"/>
  <c r="W99" i="1"/>
  <c r="V278" i="1"/>
  <c r="W278" i="1"/>
  <c r="V292" i="1"/>
  <c r="W292" i="1"/>
  <c r="V293" i="1"/>
  <c r="W293" i="1"/>
  <c r="V102" i="1"/>
  <c r="W102" i="1"/>
  <c r="V319" i="1"/>
  <c r="W319" i="1"/>
  <c r="V321" i="1"/>
  <c r="W321" i="1"/>
  <c r="V361" i="1"/>
  <c r="W361" i="1"/>
  <c r="V362" i="1"/>
  <c r="W362" i="1"/>
  <c r="V108" i="1"/>
  <c r="W108" i="1"/>
  <c r="V374" i="1"/>
  <c r="W374" i="1"/>
  <c r="V112" i="1"/>
  <c r="W112" i="1"/>
  <c r="V375" i="1"/>
  <c r="W375" i="1"/>
  <c r="V408" i="1"/>
  <c r="W408" i="1"/>
  <c r="V409" i="1"/>
  <c r="W409" i="1"/>
  <c r="V116" i="1"/>
  <c r="W116" i="1"/>
  <c r="V117" i="1"/>
  <c r="W117" i="1"/>
  <c r="V109" i="1"/>
  <c r="V429" i="1"/>
  <c r="W429" i="1"/>
  <c r="V118" i="1"/>
  <c r="W118" i="1"/>
  <c r="V446" i="1"/>
  <c r="W446" i="1"/>
  <c r="V29" i="1"/>
  <c r="W29" i="1"/>
  <c r="V223" i="1"/>
  <c r="W223" i="1"/>
  <c r="V124" i="1"/>
  <c r="W124" i="1"/>
  <c r="V40" i="1"/>
  <c r="W40" i="1"/>
  <c r="V127" i="1"/>
  <c r="W127" i="1"/>
  <c r="V125" i="1"/>
  <c r="W125" i="1"/>
  <c r="V128" i="1"/>
  <c r="W128" i="1"/>
  <c r="V130" i="1"/>
  <c r="W130" i="1"/>
  <c r="V60" i="1"/>
  <c r="W60" i="1"/>
  <c r="V71" i="1"/>
  <c r="W71" i="1"/>
  <c r="V131" i="1"/>
  <c r="W131" i="1"/>
  <c r="V120" i="1"/>
  <c r="V135" i="1"/>
  <c r="W135" i="1"/>
  <c r="V136" i="1"/>
  <c r="W136" i="1"/>
  <c r="V90" i="1"/>
  <c r="W90" i="1"/>
  <c r="V110" i="1"/>
  <c r="W110" i="1"/>
  <c r="V152" i="1"/>
  <c r="W152" i="1"/>
  <c r="V181" i="1"/>
  <c r="W181" i="1"/>
  <c r="V193" i="1"/>
  <c r="W193" i="1"/>
  <c r="V227" i="1"/>
  <c r="W227" i="1"/>
  <c r="V144" i="1"/>
  <c r="W144" i="1"/>
  <c r="V146" i="1"/>
  <c r="W146" i="1"/>
  <c r="V147" i="1"/>
  <c r="W147" i="1"/>
  <c r="V149" i="1"/>
  <c r="W149" i="1"/>
  <c r="V148" i="1"/>
  <c r="W148" i="1"/>
  <c r="V240" i="1"/>
  <c r="W240" i="1"/>
  <c r="V282" i="1"/>
  <c r="W282" i="1"/>
  <c r="V308" i="1"/>
  <c r="W308" i="1"/>
  <c r="V329" i="1"/>
  <c r="W329" i="1"/>
  <c r="V366" i="1"/>
  <c r="W366" i="1"/>
  <c r="V174" i="1"/>
  <c r="W174" i="1"/>
  <c r="V154" i="1"/>
  <c r="W154" i="1"/>
  <c r="V156" i="1"/>
  <c r="W156" i="1"/>
  <c r="V157" i="1"/>
  <c r="W157" i="1"/>
  <c r="V412" i="1"/>
  <c r="W412" i="1"/>
  <c r="V441" i="1"/>
  <c r="W441" i="1"/>
  <c r="V121" i="1"/>
  <c r="W121" i="1"/>
  <c r="V448" i="1"/>
  <c r="W448" i="1"/>
  <c r="V72" i="1"/>
  <c r="W72" i="1"/>
  <c r="V162" i="1"/>
  <c r="W162" i="1"/>
  <c r="V163" i="1"/>
  <c r="W163" i="1"/>
  <c r="V294" i="1"/>
  <c r="W294" i="1"/>
  <c r="V164" i="1"/>
  <c r="W164" i="1"/>
  <c r="V165" i="1"/>
  <c r="W165" i="1"/>
  <c r="V91" i="1"/>
  <c r="W91" i="1"/>
  <c r="V101" i="1"/>
  <c r="W101" i="1"/>
  <c r="V170" i="1"/>
  <c r="W170" i="1"/>
  <c r="V169" i="1"/>
  <c r="W169" i="1"/>
  <c r="V111" i="1"/>
  <c r="W111" i="1"/>
  <c r="V173" i="1"/>
  <c r="W173" i="1"/>
  <c r="V126" i="1"/>
  <c r="W126" i="1"/>
  <c r="V175" i="1"/>
  <c r="W175" i="1"/>
  <c r="V139" i="1"/>
  <c r="W139" i="1"/>
  <c r="V179" i="1"/>
  <c r="W179" i="1"/>
  <c r="V153" i="1"/>
  <c r="W153" i="1"/>
  <c r="V182" i="1"/>
  <c r="W182" i="1"/>
  <c r="V203" i="1"/>
  <c r="W203" i="1"/>
  <c r="V228" i="1"/>
  <c r="W228" i="1"/>
  <c r="V250" i="1"/>
  <c r="W250" i="1"/>
  <c r="V273" i="1"/>
  <c r="W273" i="1"/>
  <c r="V186" i="1"/>
  <c r="W186" i="1"/>
  <c r="V296" i="1"/>
  <c r="W296" i="1"/>
  <c r="V188" i="1"/>
  <c r="W188" i="1"/>
  <c r="V330" i="1"/>
  <c r="W330" i="1"/>
  <c r="V353" i="1"/>
  <c r="W353" i="1"/>
  <c r="V377" i="1"/>
  <c r="W377" i="1"/>
  <c r="V192" i="1"/>
  <c r="W192" i="1"/>
  <c r="V413" i="1"/>
  <c r="W413" i="1"/>
  <c r="V197" i="1"/>
  <c r="W197" i="1"/>
  <c r="V199" i="1"/>
  <c r="W199" i="1"/>
  <c r="V449" i="1"/>
  <c r="W449" i="1"/>
  <c r="V202" i="1"/>
  <c r="W202" i="1"/>
  <c r="V189" i="1"/>
  <c r="V204" i="1"/>
  <c r="W204" i="1"/>
  <c r="V58" i="1"/>
  <c r="W58" i="1"/>
  <c r="V61" i="1"/>
  <c r="V206" i="1"/>
  <c r="W206" i="1"/>
  <c r="V207" i="1"/>
  <c r="W207" i="1"/>
  <c r="V78" i="1"/>
  <c r="W78" i="1"/>
  <c r="V208" i="1"/>
  <c r="W208" i="1"/>
  <c r="V210" i="1"/>
  <c r="W210" i="1"/>
  <c r="V119" i="1"/>
  <c r="W119" i="1"/>
  <c r="V158" i="1"/>
  <c r="W158" i="1"/>
  <c r="V216" i="1"/>
  <c r="V214" i="1"/>
  <c r="W214" i="1"/>
  <c r="V423" i="1"/>
  <c r="W423" i="1"/>
  <c r="V215" i="1"/>
  <c r="W215" i="1"/>
  <c r="V217" i="1"/>
  <c r="W217" i="1"/>
  <c r="V218" i="1"/>
  <c r="W218" i="1"/>
  <c r="V219" i="1"/>
  <c r="W219" i="1"/>
  <c r="V220" i="1"/>
  <c r="W220" i="1"/>
  <c r="V221" i="1"/>
  <c r="W221" i="1"/>
  <c r="V209" i="1"/>
  <c r="W209" i="1"/>
  <c r="V246" i="1"/>
  <c r="W246" i="1"/>
  <c r="V269" i="1"/>
  <c r="W269" i="1"/>
  <c r="V287" i="1"/>
  <c r="W287" i="1"/>
  <c r="V323" i="1"/>
  <c r="W323" i="1"/>
  <c r="V345" i="1"/>
  <c r="W345" i="1"/>
  <c r="V382" i="1"/>
  <c r="W382" i="1"/>
  <c r="V230" i="1"/>
  <c r="W230" i="1"/>
  <c r="V232" i="1"/>
  <c r="W232" i="1"/>
  <c r="V233" i="1"/>
  <c r="V438" i="1"/>
  <c r="W438" i="1"/>
  <c r="V237" i="1"/>
  <c r="W237" i="1"/>
  <c r="V30" i="1"/>
  <c r="W30" i="1"/>
  <c r="V103" i="1"/>
  <c r="W103" i="1"/>
  <c r="V132" i="1"/>
  <c r="W132" i="1"/>
  <c r="V238" i="1"/>
  <c r="W238" i="1"/>
  <c r="V241" i="1"/>
  <c r="W241" i="1"/>
  <c r="V183" i="1"/>
  <c r="W183" i="1"/>
  <c r="V229" i="1"/>
  <c r="W229" i="1"/>
  <c r="V270" i="1"/>
  <c r="W270" i="1"/>
  <c r="V297" i="1"/>
  <c r="W297" i="1"/>
  <c r="V247" i="1"/>
  <c r="W247" i="1"/>
  <c r="V239" i="1"/>
  <c r="W239" i="1"/>
  <c r="V332" i="1"/>
  <c r="W332" i="1"/>
  <c r="V258" i="1"/>
  <c r="W258" i="1"/>
  <c r="V213" i="1"/>
  <c r="W213" i="1"/>
  <c r="V249" i="1"/>
  <c r="W249" i="1"/>
  <c r="V391" i="1"/>
  <c r="W391" i="1"/>
  <c r="V451" i="1"/>
  <c r="W451" i="1"/>
  <c r="V251" i="1"/>
  <c r="W251" i="1"/>
  <c r="V254" i="1"/>
  <c r="W254" i="1"/>
  <c r="V8" i="1"/>
  <c r="W8" i="1"/>
  <c r="V20" i="1"/>
  <c r="W20" i="1"/>
  <c r="V257" i="1"/>
  <c r="W257" i="1"/>
  <c r="V313" i="1"/>
  <c r="V31" i="1"/>
  <c r="W31" i="1"/>
  <c r="V41" i="1"/>
  <c r="W41" i="1"/>
  <c r="V54" i="1"/>
  <c r="W54" i="1"/>
  <c r="V263" i="1"/>
  <c r="W263" i="1"/>
  <c r="V264" i="1"/>
  <c r="W264" i="1"/>
  <c r="V248" i="1"/>
  <c r="V267" i="1"/>
  <c r="W267" i="1"/>
  <c r="V268" i="1"/>
  <c r="W268" i="1"/>
  <c r="V255" i="1"/>
  <c r="V64" i="1"/>
  <c r="W64" i="1"/>
  <c r="V73" i="1"/>
  <c r="W73" i="1"/>
  <c r="V94" i="1"/>
  <c r="W94" i="1"/>
  <c r="V113" i="1"/>
  <c r="W113" i="1"/>
  <c r="V141" i="1"/>
  <c r="W141" i="1"/>
  <c r="V155" i="1"/>
  <c r="W155" i="1"/>
  <c r="V184" i="1"/>
  <c r="W184" i="1"/>
  <c r="V275" i="1"/>
  <c r="W275" i="1"/>
  <c r="V274" i="1"/>
  <c r="W274" i="1"/>
  <c r="V276" i="1"/>
  <c r="V277" i="1"/>
  <c r="W277" i="1"/>
  <c r="V325" i="1"/>
  <c r="V242" i="1"/>
  <c r="W242" i="1"/>
  <c r="V279" i="1"/>
  <c r="W279" i="1"/>
  <c r="V280" i="1"/>
  <c r="W280" i="1"/>
  <c r="V281" i="1"/>
  <c r="W281" i="1"/>
  <c r="V260" i="1"/>
  <c r="W260" i="1"/>
  <c r="V286" i="1"/>
  <c r="W286" i="1"/>
  <c r="V285" i="1"/>
  <c r="V298" i="1"/>
  <c r="W298" i="1"/>
  <c r="V309" i="1"/>
  <c r="W309" i="1"/>
  <c r="V398" i="1"/>
  <c r="W398" i="1"/>
  <c r="V331" i="1"/>
  <c r="W331" i="1"/>
  <c r="V450" i="1"/>
  <c r="W450" i="1"/>
  <c r="V290" i="1"/>
  <c r="W290" i="1"/>
  <c r="V333" i="1"/>
  <c r="W333" i="1"/>
  <c r="V368" i="1"/>
  <c r="W368" i="1"/>
  <c r="V392" i="1"/>
  <c r="W392" i="1"/>
  <c r="V414" i="1"/>
  <c r="W414" i="1"/>
  <c r="V452" i="1"/>
  <c r="W452" i="1"/>
  <c r="V295" i="1"/>
  <c r="W295" i="1"/>
  <c r="V84" i="1"/>
  <c r="W84" i="1"/>
  <c r="V133" i="1"/>
  <c r="W133" i="1"/>
  <c r="V177" i="1"/>
  <c r="W177" i="1"/>
  <c r="V301" i="1"/>
  <c r="W301" i="1"/>
  <c r="V224" i="1"/>
  <c r="W224" i="1"/>
  <c r="V261" i="1"/>
  <c r="W261" i="1"/>
  <c r="V305" i="1"/>
  <c r="W305" i="1"/>
  <c r="V302" i="1"/>
  <c r="W302" i="1"/>
  <c r="V338" i="1"/>
  <c r="W338" i="1"/>
  <c r="V396" i="1"/>
  <c r="W396" i="1"/>
  <c r="V314" i="1"/>
  <c r="W314" i="1"/>
  <c r="V311" i="1"/>
  <c r="W311" i="1"/>
  <c r="V312" i="1"/>
  <c r="W312" i="1"/>
  <c r="V315" i="1"/>
  <c r="W315" i="1"/>
  <c r="V461" i="1"/>
  <c r="W461" i="1"/>
  <c r="V320" i="1"/>
  <c r="W320" i="1"/>
  <c r="V456" i="1"/>
  <c r="W456" i="1"/>
  <c r="V9" i="1"/>
  <c r="W9" i="1"/>
  <c r="V21" i="1"/>
  <c r="W21" i="1"/>
  <c r="V32" i="1"/>
  <c r="W32" i="1"/>
  <c r="V42" i="1"/>
  <c r="W42" i="1"/>
  <c r="V326" i="1"/>
  <c r="W326" i="1"/>
  <c r="V55" i="1"/>
  <c r="W55" i="1"/>
  <c r="V65" i="1"/>
  <c r="W65" i="1"/>
  <c r="V74" i="1"/>
  <c r="W74" i="1"/>
  <c r="V328" i="1"/>
  <c r="W328" i="1"/>
  <c r="V95" i="1"/>
  <c r="W95" i="1"/>
  <c r="V114" i="1"/>
  <c r="W114" i="1"/>
  <c r="V142" i="1"/>
  <c r="W142" i="1"/>
  <c r="V166" i="1"/>
  <c r="W166" i="1"/>
  <c r="V185" i="1"/>
  <c r="W185" i="1"/>
  <c r="V336" i="1"/>
  <c r="V205" i="1"/>
  <c r="W205" i="1"/>
  <c r="V337" i="1"/>
  <c r="W337" i="1"/>
  <c r="V339" i="1"/>
  <c r="V340" i="1"/>
  <c r="W340" i="1"/>
  <c r="V344" i="1"/>
  <c r="W344" i="1"/>
  <c r="V243" i="1"/>
  <c r="W243" i="1"/>
  <c r="V346" i="1"/>
  <c r="W346" i="1"/>
  <c r="V347" i="1"/>
  <c r="W347" i="1"/>
  <c r="V440" i="1"/>
  <c r="V262" i="1"/>
  <c r="W262" i="1"/>
  <c r="V348" i="1"/>
  <c r="W348" i="1"/>
  <c r="V349" i="1"/>
  <c r="W349" i="1"/>
  <c r="V350" i="1"/>
  <c r="V351" i="1"/>
  <c r="W351" i="1"/>
  <c r="V283" i="1"/>
  <c r="W283" i="1"/>
  <c r="V299" i="1"/>
  <c r="W299" i="1"/>
  <c r="V359" i="1"/>
  <c r="W359" i="1"/>
  <c r="V357" i="1"/>
  <c r="V354" i="1"/>
  <c r="W354" i="1"/>
  <c r="V355" i="1"/>
  <c r="W355" i="1"/>
  <c r="V310" i="1"/>
  <c r="W310" i="1"/>
  <c r="V159" i="1"/>
  <c r="W159" i="1"/>
  <c r="V363" i="1"/>
  <c r="W363" i="1"/>
  <c r="V334" i="1"/>
  <c r="W334" i="1"/>
  <c r="V369" i="1"/>
  <c r="W369" i="1"/>
  <c r="V393" i="1"/>
  <c r="W393" i="1"/>
  <c r="V364" i="1"/>
  <c r="W364" i="1"/>
  <c r="V376" i="1"/>
  <c r="V415" i="1"/>
  <c r="W415" i="1"/>
  <c r="V367" i="1"/>
  <c r="W367" i="1"/>
  <c r="V453" i="1"/>
  <c r="W453" i="1"/>
  <c r="V22" i="1"/>
  <c r="W22" i="1"/>
  <c r="V372" i="1"/>
  <c r="W372" i="1"/>
  <c r="V373" i="1"/>
  <c r="W373" i="1"/>
  <c r="V51" i="1"/>
  <c r="W51" i="1"/>
  <c r="V56" i="1"/>
  <c r="W56" i="1"/>
  <c r="V104" i="1"/>
  <c r="W104" i="1"/>
  <c r="V143" i="1"/>
  <c r="W143" i="1"/>
  <c r="V176" i="1"/>
  <c r="W176" i="1"/>
  <c r="V196" i="1"/>
  <c r="W196" i="1"/>
  <c r="V381" i="1"/>
  <c r="W381" i="1"/>
  <c r="V383" i="1"/>
  <c r="W383" i="1"/>
  <c r="V384" i="1"/>
  <c r="W384" i="1"/>
  <c r="V386" i="1"/>
  <c r="W386" i="1"/>
  <c r="V244" i="1"/>
  <c r="W244" i="1"/>
  <c r="V271" i="1"/>
  <c r="W271" i="1"/>
  <c r="V288" i="1"/>
  <c r="W288" i="1"/>
  <c r="V300" i="1"/>
  <c r="W300" i="1"/>
  <c r="V389" i="1"/>
  <c r="W389" i="1"/>
  <c r="V335" i="1"/>
  <c r="W335" i="1"/>
  <c r="V394" i="1"/>
  <c r="W394" i="1"/>
  <c r="V395" i="1"/>
  <c r="W395" i="1"/>
  <c r="V370" i="1"/>
  <c r="W370" i="1"/>
  <c r="V400" i="1"/>
  <c r="W400" i="1"/>
  <c r="V402" i="1"/>
  <c r="W402" i="1"/>
  <c r="V403" i="1"/>
  <c r="W403" i="1"/>
  <c r="V405" i="1"/>
  <c r="W405" i="1"/>
  <c r="V407" i="1"/>
  <c r="W407" i="1"/>
  <c r="V434" i="1"/>
  <c r="W434" i="1"/>
  <c r="V76" i="1"/>
  <c r="W76" i="1"/>
  <c r="V86" i="1"/>
  <c r="W86" i="1"/>
  <c r="V105" i="1"/>
  <c r="W105" i="1"/>
  <c r="V145" i="1"/>
  <c r="W145" i="1"/>
  <c r="V167" i="1"/>
  <c r="W167" i="1"/>
  <c r="V187" i="1"/>
  <c r="W187" i="1"/>
  <c r="V416" i="1"/>
  <c r="W416" i="1"/>
  <c r="V417" i="1"/>
  <c r="V432" i="1"/>
  <c r="W432" i="1"/>
  <c r="V404" i="1"/>
  <c r="V390" i="1"/>
  <c r="W390" i="1"/>
  <c r="V439" i="1"/>
  <c r="W439" i="1"/>
  <c r="V427" i="1"/>
  <c r="W427" i="1"/>
  <c r="V231" i="1"/>
  <c r="W231" i="1"/>
  <c r="V252" i="1"/>
  <c r="W252" i="1"/>
  <c r="V430" i="1"/>
  <c r="W430" i="1"/>
  <c r="V410" i="1"/>
  <c r="W410" i="1"/>
  <c r="V411" i="1"/>
  <c r="W411" i="1"/>
  <c r="V284" i="1"/>
  <c r="W284" i="1"/>
  <c r="V324" i="1"/>
  <c r="W324" i="1"/>
  <c r="V437" i="1"/>
  <c r="W437" i="1"/>
  <c r="V343" i="1"/>
  <c r="W343" i="1"/>
  <c r="V356" i="1"/>
  <c r="W356" i="1"/>
  <c r="V378" i="1"/>
  <c r="W378" i="1"/>
  <c r="V418" i="1"/>
  <c r="W418" i="1"/>
  <c r="V454" i="1"/>
  <c r="W454" i="1"/>
  <c r="V25" i="1"/>
  <c r="W25" i="1"/>
  <c r="V115" i="1"/>
  <c r="W115" i="1"/>
  <c r="V253" i="1"/>
  <c r="W253" i="1"/>
  <c r="V379" i="1"/>
  <c r="W379" i="1"/>
  <c r="V458" i="1"/>
  <c r="W458" i="1"/>
  <c r="V462" i="1"/>
  <c r="W462" i="1"/>
  <c r="V463" i="1"/>
  <c r="W463" i="1"/>
  <c r="V426" i="1"/>
  <c r="W426" i="1"/>
  <c r="V4" i="1"/>
  <c r="W4" i="1"/>
  <c r="V35" i="1"/>
  <c r="W35" i="1"/>
  <c r="V6" i="1"/>
  <c r="W6" i="1"/>
  <c r="V122" i="1"/>
  <c r="W122" i="1"/>
  <c r="V150" i="1"/>
  <c r="W150" i="1"/>
  <c r="V10" i="1"/>
  <c r="W10" i="1"/>
  <c r="V34" i="1"/>
  <c r="W34" i="1"/>
  <c r="W11" i="1"/>
  <c r="V11" i="1"/>
  <c r="D11" i="1"/>
  <c r="D4" i="1"/>
  <c r="D35" i="1"/>
  <c r="D6" i="1"/>
  <c r="D122" i="1"/>
  <c r="D150" i="1"/>
  <c r="D10" i="1"/>
  <c r="D34" i="1"/>
  <c r="D13" i="1"/>
  <c r="D14" i="1"/>
  <c r="D15" i="1"/>
  <c r="D16" i="1"/>
  <c r="D211" i="1"/>
  <c r="D18" i="1"/>
  <c r="D256" i="1"/>
  <c r="D291" i="1"/>
  <c r="D306" i="1"/>
  <c r="D23" i="1"/>
  <c r="D24" i="1"/>
  <c r="D387" i="1"/>
  <c r="D445" i="1"/>
  <c r="D83" i="1"/>
  <c r="D26" i="1"/>
  <c r="D28" i="1"/>
  <c r="D33" i="1"/>
  <c r="D106" i="1"/>
  <c r="D160" i="1"/>
  <c r="D190" i="1"/>
  <c r="D235" i="1"/>
  <c r="D272" i="1"/>
  <c r="D259" i="1"/>
  <c r="D318" i="1"/>
  <c r="D266" i="1"/>
  <c r="D38" i="1"/>
  <c r="D138" i="1"/>
  <c r="D327" i="1"/>
  <c r="D352" i="1"/>
  <c r="D388" i="1"/>
  <c r="D129" i="1"/>
  <c r="D50" i="1"/>
  <c r="D66" i="1"/>
  <c r="D43" i="1"/>
  <c r="D46" i="1"/>
  <c r="D44" i="1"/>
  <c r="D45" i="1"/>
  <c r="D48" i="1"/>
  <c r="D212" i="1"/>
  <c r="D304" i="1"/>
  <c r="D52" i="1"/>
  <c r="D433" i="1"/>
  <c r="D5" i="1"/>
  <c r="D57" i="1"/>
  <c r="D19" i="1"/>
  <c r="D39" i="1"/>
  <c r="D62" i="1"/>
  <c r="D88" i="1"/>
  <c r="D67" i="1"/>
  <c r="D68" i="1"/>
  <c r="D69" i="1"/>
  <c r="D107" i="1"/>
  <c r="D123" i="1"/>
  <c r="D70" i="1"/>
  <c r="D137" i="1"/>
  <c r="D151" i="1"/>
  <c r="D161" i="1"/>
  <c r="D171" i="1"/>
  <c r="D75" i="1"/>
  <c r="D77" i="1"/>
  <c r="D180" i="1"/>
  <c r="D79" i="1"/>
  <c r="D80" i="1"/>
  <c r="D82" i="1"/>
  <c r="D191" i="1"/>
  <c r="D200" i="1"/>
  <c r="D85" i="1"/>
  <c r="D201" i="1"/>
  <c r="D87" i="1"/>
  <c r="D399" i="1"/>
  <c r="D225" i="1"/>
  <c r="D226" i="1"/>
  <c r="D89" i="1"/>
  <c r="D236" i="1"/>
  <c r="D81" i="1"/>
  <c r="D234" i="1"/>
  <c r="D289" i="1"/>
  <c r="D96" i="1"/>
  <c r="D92" i="1"/>
  <c r="D93" i="1"/>
  <c r="D341" i="1"/>
  <c r="D97" i="1"/>
  <c r="D98" i="1"/>
  <c r="D100" i="1"/>
  <c r="D99" i="1"/>
  <c r="D278" i="1"/>
  <c r="D292" i="1"/>
  <c r="D293" i="1"/>
  <c r="D102" i="1"/>
  <c r="D319" i="1"/>
  <c r="D321" i="1"/>
  <c r="D361" i="1"/>
  <c r="D362" i="1"/>
  <c r="D108" i="1"/>
  <c r="D374" i="1"/>
  <c r="D112" i="1"/>
  <c r="D375" i="1"/>
  <c r="D408" i="1"/>
  <c r="D409" i="1"/>
  <c r="D116" i="1"/>
  <c r="D117" i="1"/>
  <c r="D109" i="1"/>
  <c r="D429" i="1"/>
  <c r="D118" i="1"/>
  <c r="D446" i="1"/>
  <c r="D29" i="1"/>
  <c r="D223" i="1"/>
  <c r="D124" i="1"/>
  <c r="D40" i="1"/>
  <c r="D127" i="1"/>
  <c r="D125" i="1"/>
  <c r="D128" i="1"/>
  <c r="D130" i="1"/>
  <c r="D60" i="1"/>
  <c r="D71" i="1"/>
  <c r="D131" i="1"/>
  <c r="D120" i="1"/>
  <c r="D135" i="1"/>
  <c r="D136" i="1"/>
  <c r="D90" i="1"/>
  <c r="D110" i="1"/>
  <c r="D152" i="1"/>
  <c r="D181" i="1"/>
  <c r="D193" i="1"/>
  <c r="D227" i="1"/>
  <c r="D144" i="1"/>
  <c r="D146" i="1"/>
  <c r="D147" i="1"/>
  <c r="D149" i="1"/>
  <c r="D148" i="1"/>
  <c r="D240" i="1"/>
  <c r="D282" i="1"/>
  <c r="D308" i="1"/>
  <c r="D329" i="1"/>
  <c r="D366" i="1"/>
  <c r="D174" i="1"/>
  <c r="D154" i="1"/>
  <c r="D156" i="1"/>
  <c r="D157" i="1"/>
  <c r="D412" i="1"/>
  <c r="D441" i="1"/>
  <c r="D121" i="1"/>
  <c r="D448" i="1"/>
  <c r="D72" i="1"/>
  <c r="D162" i="1"/>
  <c r="D163" i="1"/>
  <c r="D294" i="1"/>
  <c r="D164" i="1"/>
  <c r="D165" i="1"/>
  <c r="D91" i="1"/>
  <c r="D101" i="1"/>
  <c r="D170" i="1"/>
  <c r="D169" i="1"/>
  <c r="D111" i="1"/>
  <c r="D173" i="1"/>
  <c r="D126" i="1"/>
  <c r="D175" i="1"/>
  <c r="D139" i="1"/>
  <c r="D179" i="1"/>
  <c r="D153" i="1"/>
  <c r="D182" i="1"/>
  <c r="D203" i="1"/>
  <c r="D228" i="1"/>
  <c r="D250" i="1"/>
  <c r="D273" i="1"/>
  <c r="D186" i="1"/>
  <c r="D296" i="1"/>
  <c r="D188" i="1"/>
  <c r="D330" i="1"/>
  <c r="D353" i="1"/>
  <c r="D377" i="1"/>
  <c r="D192" i="1"/>
  <c r="D413" i="1"/>
  <c r="D197" i="1"/>
  <c r="D199" i="1"/>
  <c r="D449" i="1"/>
  <c r="D27" i="1"/>
  <c r="D202" i="1"/>
  <c r="D189" i="1"/>
  <c r="D204" i="1"/>
  <c r="D58" i="1"/>
  <c r="D61" i="1"/>
  <c r="D206" i="1"/>
  <c r="D207" i="1"/>
  <c r="D78" i="1"/>
  <c r="D208" i="1"/>
  <c r="D210" i="1"/>
  <c r="D119" i="1"/>
  <c r="D158" i="1"/>
  <c r="D216" i="1"/>
  <c r="D214" i="1"/>
  <c r="D423" i="1"/>
  <c r="D215" i="1"/>
  <c r="D217" i="1"/>
  <c r="D218" i="1"/>
  <c r="D219" i="1"/>
  <c r="D220" i="1"/>
  <c r="D221" i="1"/>
  <c r="D209" i="1"/>
  <c r="D246" i="1"/>
  <c r="D269" i="1"/>
  <c r="D287" i="1"/>
  <c r="D323" i="1"/>
  <c r="D345" i="1"/>
  <c r="D382" i="1"/>
  <c r="D230" i="1"/>
  <c r="D232" i="1"/>
  <c r="D233" i="1"/>
  <c r="D438" i="1"/>
  <c r="D237" i="1"/>
  <c r="D30" i="1"/>
  <c r="D103" i="1"/>
  <c r="D132" i="1"/>
  <c r="D238" i="1"/>
  <c r="D241" i="1"/>
  <c r="D183" i="1"/>
  <c r="D229" i="1"/>
  <c r="D270" i="1"/>
  <c r="D297" i="1"/>
  <c r="D247" i="1"/>
  <c r="D239" i="1"/>
  <c r="D332" i="1"/>
  <c r="D258" i="1"/>
  <c r="D213" i="1"/>
  <c r="D249" i="1"/>
  <c r="D391" i="1"/>
  <c r="D451" i="1"/>
  <c r="D251" i="1"/>
  <c r="D254" i="1"/>
  <c r="D8" i="1"/>
  <c r="D20" i="1"/>
  <c r="D257" i="1"/>
  <c r="D313" i="1"/>
  <c r="D31" i="1"/>
  <c r="D41" i="1"/>
  <c r="D54" i="1"/>
  <c r="D263" i="1"/>
  <c r="D264" i="1"/>
  <c r="D248" i="1"/>
  <c r="D267" i="1"/>
  <c r="D268" i="1"/>
  <c r="D255" i="1"/>
  <c r="D64" i="1"/>
  <c r="D73" i="1"/>
  <c r="D94" i="1"/>
  <c r="D113" i="1"/>
  <c r="D141" i="1"/>
  <c r="D155" i="1"/>
  <c r="D184" i="1"/>
  <c r="D275" i="1"/>
  <c r="D274" i="1"/>
  <c r="D276" i="1"/>
  <c r="D277" i="1"/>
  <c r="D325" i="1"/>
  <c r="D242" i="1"/>
  <c r="D279" i="1"/>
  <c r="D280" i="1"/>
  <c r="D281" i="1"/>
  <c r="D260" i="1"/>
  <c r="D286" i="1"/>
  <c r="D285" i="1"/>
  <c r="D298" i="1"/>
  <c r="D309" i="1"/>
  <c r="D398" i="1"/>
  <c r="D331" i="1"/>
  <c r="D450" i="1"/>
  <c r="D290" i="1"/>
  <c r="D333" i="1"/>
  <c r="D368" i="1"/>
  <c r="D392" i="1"/>
  <c r="D414" i="1"/>
  <c r="D452" i="1"/>
  <c r="D295" i="1"/>
  <c r="D84" i="1"/>
  <c r="D133" i="1"/>
  <c r="D177" i="1"/>
  <c r="D301" i="1"/>
  <c r="D224" i="1"/>
  <c r="D261" i="1"/>
  <c r="D305" i="1"/>
  <c r="D302" i="1"/>
  <c r="D338" i="1"/>
  <c r="D396" i="1"/>
  <c r="D314" i="1"/>
  <c r="D311" i="1"/>
  <c r="D312" i="1"/>
  <c r="D315" i="1"/>
  <c r="D461" i="1"/>
  <c r="D320" i="1"/>
  <c r="D456" i="1"/>
  <c r="D9" i="1"/>
  <c r="D21" i="1"/>
  <c r="D32" i="1"/>
  <c r="D42" i="1"/>
  <c r="D326" i="1"/>
  <c r="D55" i="1"/>
  <c r="D65" i="1"/>
  <c r="D74" i="1"/>
  <c r="D328" i="1"/>
  <c r="D95" i="1"/>
  <c r="D114" i="1"/>
  <c r="D142" i="1"/>
  <c r="D166" i="1"/>
  <c r="D185" i="1"/>
  <c r="D336" i="1"/>
  <c r="D205" i="1"/>
  <c r="D337" i="1"/>
  <c r="D339" i="1"/>
  <c r="D340" i="1"/>
  <c r="D344" i="1"/>
  <c r="D243" i="1"/>
  <c r="D346" i="1"/>
  <c r="D347" i="1"/>
  <c r="D440" i="1"/>
  <c r="D262" i="1"/>
  <c r="D348" i="1"/>
  <c r="D349" i="1"/>
  <c r="D350" i="1"/>
  <c r="D351" i="1"/>
  <c r="D283" i="1"/>
  <c r="D299" i="1"/>
  <c r="D359" i="1"/>
  <c r="D357" i="1"/>
  <c r="D354" i="1"/>
  <c r="D355" i="1"/>
  <c r="D310" i="1"/>
  <c r="D159" i="1"/>
  <c r="D363" i="1"/>
  <c r="D334" i="1"/>
  <c r="D369" i="1"/>
  <c r="D393" i="1"/>
  <c r="D364" i="1"/>
  <c r="D376" i="1"/>
  <c r="D415" i="1"/>
  <c r="D367" i="1"/>
  <c r="D453" i="1"/>
  <c r="D22" i="1"/>
  <c r="D372" i="1"/>
  <c r="D373" i="1"/>
  <c r="D56" i="1"/>
  <c r="D104" i="1"/>
  <c r="D143" i="1"/>
  <c r="D176" i="1"/>
  <c r="D196" i="1"/>
  <c r="D381" i="1"/>
  <c r="D383" i="1"/>
  <c r="D384" i="1"/>
  <c r="D386" i="1"/>
  <c r="D244" i="1"/>
  <c r="D271" i="1"/>
  <c r="D288" i="1"/>
  <c r="D300" i="1"/>
  <c r="D389" i="1"/>
  <c r="D335" i="1"/>
  <c r="D394" i="1"/>
  <c r="D395" i="1"/>
  <c r="D370" i="1"/>
  <c r="D400" i="1"/>
  <c r="D402" i="1"/>
  <c r="D403" i="1"/>
  <c r="D405" i="1"/>
  <c r="D407" i="1"/>
  <c r="D434" i="1"/>
  <c r="D86" i="1"/>
  <c r="D105" i="1"/>
  <c r="D145" i="1"/>
  <c r="D167" i="1"/>
  <c r="D187" i="1"/>
  <c r="D416" i="1"/>
  <c r="D417" i="1"/>
  <c r="D432" i="1"/>
  <c r="D404" i="1"/>
  <c r="D390" i="1"/>
  <c r="D439" i="1"/>
  <c r="D427" i="1"/>
  <c r="D231" i="1"/>
  <c r="D252" i="1"/>
  <c r="D430" i="1"/>
  <c r="D410" i="1"/>
  <c r="D411" i="1"/>
  <c r="D284" i="1"/>
  <c r="D324" i="1"/>
  <c r="D437" i="1"/>
  <c r="D343" i="1"/>
  <c r="D356" i="1"/>
  <c r="D378" i="1"/>
  <c r="D418" i="1"/>
  <c r="D454" i="1"/>
  <c r="D25" i="1"/>
  <c r="D115" i="1"/>
  <c r="D253" i="1"/>
  <c r="D379" i="1"/>
  <c r="D458" i="1"/>
  <c r="D462" i="1"/>
  <c r="D463" i="1"/>
  <c r="D426" i="1"/>
  <c r="C4" i="1"/>
  <c r="C5" i="1"/>
  <c r="C6" i="1"/>
  <c r="C11" i="1"/>
  <c r="C8" i="1"/>
  <c r="C9" i="1"/>
  <c r="C10" i="1"/>
  <c r="C34" i="1"/>
  <c r="C13" i="1"/>
  <c r="C14" i="1"/>
  <c r="C16" i="1"/>
  <c r="C19" i="1"/>
  <c r="C18" i="1"/>
  <c r="C20" i="1"/>
  <c r="C21" i="1"/>
  <c r="C22" i="1"/>
  <c r="C23" i="1"/>
  <c r="C24" i="1"/>
  <c r="C25" i="1"/>
  <c r="C27" i="1"/>
  <c r="C26" i="1"/>
  <c r="C28" i="1"/>
  <c r="C33" i="1"/>
  <c r="C29" i="1"/>
  <c r="C30" i="1"/>
  <c r="C31" i="1"/>
  <c r="C32" i="1"/>
  <c r="C35" i="1"/>
  <c r="C259" i="1"/>
  <c r="C266" i="1"/>
  <c r="C38" i="1"/>
  <c r="C138" i="1"/>
  <c r="C39" i="1"/>
  <c r="C40" i="1"/>
  <c r="C129" i="1"/>
  <c r="C41" i="1"/>
  <c r="C42" i="1"/>
  <c r="C43" i="1"/>
  <c r="C46" i="1"/>
  <c r="C44" i="1"/>
  <c r="C45" i="1"/>
  <c r="C48" i="1"/>
  <c r="C51" i="1"/>
  <c r="C50" i="1"/>
  <c r="C53" i="1"/>
  <c r="C52" i="1"/>
  <c r="C57" i="1"/>
  <c r="C54" i="1"/>
  <c r="C55" i="1"/>
  <c r="C56" i="1"/>
  <c r="C58" i="1"/>
  <c r="C60" i="1"/>
  <c r="C61" i="1"/>
  <c r="C62" i="1"/>
  <c r="C64" i="1"/>
  <c r="C65" i="1"/>
  <c r="C66" i="1"/>
  <c r="C67" i="1"/>
  <c r="C68" i="1"/>
  <c r="C69" i="1"/>
  <c r="C71" i="1"/>
  <c r="C70" i="1"/>
  <c r="C72" i="1"/>
  <c r="C73" i="1"/>
  <c r="C74" i="1"/>
  <c r="C76" i="1"/>
  <c r="C75" i="1"/>
  <c r="C77" i="1"/>
  <c r="C78" i="1"/>
  <c r="C79" i="1"/>
  <c r="C80" i="1"/>
  <c r="C82" i="1"/>
  <c r="C83" i="1"/>
  <c r="C84" i="1"/>
  <c r="C85" i="1"/>
  <c r="C86" i="1"/>
  <c r="C87" i="1"/>
  <c r="C399" i="1"/>
  <c r="C88" i="1"/>
  <c r="C89" i="1"/>
  <c r="C90" i="1"/>
  <c r="C81" i="1"/>
  <c r="C91" i="1"/>
  <c r="C289" i="1"/>
  <c r="C96" i="1"/>
  <c r="C92" i="1"/>
  <c r="C94" i="1"/>
  <c r="C93" i="1"/>
  <c r="C95" i="1"/>
  <c r="C98" i="1"/>
  <c r="C100" i="1"/>
  <c r="C99" i="1"/>
  <c r="C101" i="1"/>
  <c r="C103" i="1"/>
  <c r="C104" i="1"/>
  <c r="C102" i="1"/>
  <c r="C105" i="1"/>
  <c r="C106" i="1"/>
  <c r="C107" i="1"/>
  <c r="C110" i="1"/>
  <c r="C108" i="1"/>
  <c r="C111" i="1"/>
  <c r="C112" i="1"/>
  <c r="C113" i="1"/>
  <c r="C114" i="1"/>
  <c r="C115" i="1"/>
  <c r="C116" i="1"/>
  <c r="C117" i="1"/>
  <c r="C109" i="1"/>
  <c r="C119" i="1"/>
  <c r="C118" i="1"/>
  <c r="C122" i="1"/>
  <c r="C123" i="1"/>
  <c r="C223" i="1"/>
  <c r="C124" i="1"/>
  <c r="C126" i="1"/>
  <c r="C127" i="1"/>
  <c r="C125" i="1"/>
  <c r="C128" i="1"/>
  <c r="C130" i="1"/>
  <c r="C132" i="1"/>
  <c r="C133" i="1"/>
  <c r="C131" i="1"/>
  <c r="C120" i="1"/>
  <c r="C135" i="1"/>
  <c r="C136" i="1"/>
  <c r="C137" i="1"/>
  <c r="C139" i="1"/>
  <c r="C141" i="1"/>
  <c r="C142" i="1"/>
  <c r="C143" i="1"/>
  <c r="C145" i="1"/>
  <c r="C144" i="1"/>
  <c r="C146" i="1"/>
  <c r="C147" i="1"/>
  <c r="C149" i="1"/>
  <c r="C148" i="1"/>
  <c r="C150" i="1"/>
  <c r="C151" i="1"/>
  <c r="C152" i="1"/>
  <c r="C153" i="1"/>
  <c r="C155" i="1"/>
  <c r="C174" i="1"/>
  <c r="C154" i="1"/>
  <c r="C156" i="1"/>
  <c r="C157" i="1"/>
  <c r="C158" i="1"/>
  <c r="C441" i="1"/>
  <c r="C121" i="1"/>
  <c r="C160" i="1"/>
  <c r="C161" i="1"/>
  <c r="C162" i="1"/>
  <c r="C163" i="1"/>
  <c r="C294" i="1"/>
  <c r="C164" i="1"/>
  <c r="C165" i="1"/>
  <c r="C166" i="1"/>
  <c r="C167" i="1"/>
  <c r="C170" i="1"/>
  <c r="C169" i="1"/>
  <c r="C171" i="1"/>
  <c r="C173" i="1"/>
  <c r="C176" i="1"/>
  <c r="C175" i="1"/>
  <c r="C177" i="1"/>
  <c r="C179" i="1"/>
  <c r="C180" i="1"/>
  <c r="C181" i="1"/>
  <c r="C182" i="1"/>
  <c r="C183" i="1"/>
  <c r="C184" i="1"/>
  <c r="C185" i="1"/>
  <c r="C186" i="1"/>
  <c r="C187" i="1"/>
  <c r="C188" i="1"/>
  <c r="C190" i="1"/>
  <c r="C191" i="1"/>
  <c r="C193" i="1"/>
  <c r="C192" i="1"/>
  <c r="C196" i="1"/>
  <c r="C197" i="1"/>
  <c r="C199" i="1"/>
  <c r="C200" i="1"/>
  <c r="C201" i="1"/>
  <c r="C202" i="1"/>
  <c r="C203" i="1"/>
  <c r="C189" i="1"/>
  <c r="C204" i="1"/>
  <c r="C205" i="1"/>
  <c r="C206" i="1"/>
  <c r="C207" i="1"/>
  <c r="C209" i="1"/>
  <c r="C208" i="1"/>
  <c r="C210" i="1"/>
  <c r="C211" i="1"/>
  <c r="C212" i="1"/>
  <c r="C216" i="1"/>
  <c r="C214" i="1"/>
  <c r="C423" i="1"/>
  <c r="C215" i="1"/>
  <c r="C217" i="1"/>
  <c r="C218" i="1"/>
  <c r="C219" i="1"/>
  <c r="C220" i="1"/>
  <c r="C221" i="1"/>
  <c r="C224" i="1"/>
  <c r="C225" i="1"/>
  <c r="C226" i="1"/>
  <c r="C227" i="1"/>
  <c r="C228" i="1"/>
  <c r="C229" i="1"/>
  <c r="C231" i="1"/>
  <c r="C230" i="1"/>
  <c r="C232" i="1"/>
  <c r="C233" i="1"/>
  <c r="C235" i="1"/>
  <c r="C237" i="1"/>
  <c r="C236" i="1"/>
  <c r="C234" i="1"/>
  <c r="C240" i="1"/>
  <c r="C238" i="1"/>
  <c r="C241" i="1"/>
  <c r="C242" i="1"/>
  <c r="C243" i="1"/>
  <c r="C244" i="1"/>
  <c r="C246" i="1"/>
  <c r="C247" i="1"/>
  <c r="C239" i="1"/>
  <c r="C250" i="1"/>
  <c r="C258" i="1"/>
  <c r="C213" i="1"/>
  <c r="C249" i="1"/>
  <c r="C252" i="1"/>
  <c r="C253" i="1"/>
  <c r="C251" i="1"/>
  <c r="C254" i="1"/>
  <c r="C256" i="1"/>
  <c r="C257" i="1"/>
  <c r="C313" i="1"/>
  <c r="C260" i="1"/>
  <c r="C261" i="1"/>
  <c r="C262" i="1"/>
  <c r="C263" i="1"/>
  <c r="C264" i="1"/>
  <c r="C248" i="1"/>
  <c r="C267" i="1"/>
  <c r="C268" i="1"/>
  <c r="C255" i="1"/>
  <c r="C269" i="1"/>
  <c r="C270" i="1"/>
  <c r="C271" i="1"/>
  <c r="C272" i="1"/>
  <c r="C341" i="1"/>
  <c r="C273" i="1"/>
  <c r="C275" i="1"/>
  <c r="C274" i="1"/>
  <c r="C276" i="1"/>
  <c r="C277" i="1"/>
  <c r="C325" i="1"/>
  <c r="C278" i="1"/>
  <c r="C282" i="1"/>
  <c r="C279" i="1"/>
  <c r="C280" i="1"/>
  <c r="C281" i="1"/>
  <c r="C283" i="1"/>
  <c r="C284" i="1"/>
  <c r="C286" i="1"/>
  <c r="C285" i="1"/>
  <c r="C287" i="1"/>
  <c r="C288" i="1"/>
  <c r="C398" i="1"/>
  <c r="C331" i="1"/>
  <c r="C450" i="1"/>
  <c r="C290" i="1"/>
  <c r="C291" i="1"/>
  <c r="C292" i="1"/>
  <c r="C293" i="1"/>
  <c r="C308" i="1"/>
  <c r="C296" i="1"/>
  <c r="C295" i="1"/>
  <c r="C297" i="1"/>
  <c r="C298" i="1"/>
  <c r="C299" i="1"/>
  <c r="C300" i="1"/>
  <c r="C301" i="1"/>
  <c r="C302" i="1"/>
  <c r="C304" i="1"/>
  <c r="C305" i="1"/>
  <c r="C306" i="1"/>
  <c r="C309" i="1"/>
  <c r="C310" i="1"/>
  <c r="C314" i="1"/>
  <c r="C311" i="1"/>
  <c r="C312" i="1"/>
  <c r="C315" i="1"/>
  <c r="C461" i="1"/>
  <c r="C320" i="1"/>
  <c r="C318" i="1"/>
  <c r="C319" i="1"/>
  <c r="C321" i="1"/>
  <c r="C323" i="1"/>
  <c r="C324" i="1"/>
  <c r="C326" i="1"/>
  <c r="C327" i="1"/>
  <c r="C329" i="1"/>
  <c r="C328" i="1"/>
  <c r="C330" i="1"/>
  <c r="C332" i="1"/>
  <c r="C333" i="1"/>
  <c r="C334" i="1"/>
  <c r="C335" i="1"/>
  <c r="C336" i="1"/>
  <c r="C338" i="1"/>
  <c r="C337" i="1"/>
  <c r="C339" i="1"/>
  <c r="C340" i="1"/>
  <c r="C344" i="1"/>
  <c r="C343" i="1"/>
  <c r="C346" i="1"/>
  <c r="C347" i="1"/>
  <c r="C440" i="1"/>
  <c r="C345" i="1"/>
  <c r="C348" i="1"/>
  <c r="C349" i="1"/>
  <c r="C350" i="1"/>
  <c r="C351" i="1"/>
  <c r="C352" i="1"/>
  <c r="C353" i="1"/>
  <c r="C359" i="1"/>
  <c r="C357" i="1"/>
  <c r="C354" i="1"/>
  <c r="C355" i="1"/>
  <c r="C356" i="1"/>
  <c r="C159" i="1"/>
  <c r="C363" i="1"/>
  <c r="C361" i="1"/>
  <c r="C362" i="1"/>
  <c r="C366" i="1"/>
  <c r="C364" i="1"/>
  <c r="C376" i="1"/>
  <c r="C368" i="1"/>
  <c r="C367" i="1"/>
  <c r="C369" i="1"/>
  <c r="C370" i="1"/>
  <c r="C372" i="1"/>
  <c r="C373" i="1"/>
  <c r="C374" i="1"/>
  <c r="C375" i="1"/>
  <c r="C377" i="1"/>
  <c r="C378" i="1"/>
  <c r="C379" i="1"/>
  <c r="C382" i="1"/>
  <c r="C381" i="1"/>
  <c r="C383" i="1"/>
  <c r="C384" i="1"/>
  <c r="C386" i="1"/>
  <c r="C387" i="1"/>
  <c r="C388" i="1"/>
  <c r="C391" i="1"/>
  <c r="C392" i="1"/>
  <c r="C389" i="1"/>
  <c r="C393" i="1"/>
  <c r="C394" i="1"/>
  <c r="C395" i="1"/>
  <c r="C396" i="1"/>
  <c r="C400" i="1"/>
  <c r="C402" i="1"/>
  <c r="C403" i="1"/>
  <c r="C405" i="1"/>
  <c r="C407" i="1"/>
  <c r="C408" i="1"/>
  <c r="C409" i="1"/>
  <c r="C412" i="1"/>
  <c r="C413" i="1"/>
  <c r="C414" i="1"/>
  <c r="C415" i="1"/>
  <c r="C418" i="1"/>
  <c r="C416" i="1"/>
  <c r="C417" i="1"/>
  <c r="C432" i="1"/>
  <c r="C404" i="1"/>
  <c r="C390" i="1"/>
  <c r="C439" i="1"/>
  <c r="C427" i="1"/>
  <c r="C433" i="1"/>
  <c r="C429" i="1"/>
  <c r="C430" i="1"/>
  <c r="C410" i="1"/>
  <c r="C411" i="1"/>
  <c r="C434" i="1"/>
  <c r="C438" i="1"/>
  <c r="C437" i="1"/>
  <c r="C445" i="1"/>
  <c r="C446" i="1"/>
  <c r="C448" i="1"/>
  <c r="C449" i="1"/>
  <c r="C451" i="1"/>
  <c r="C452" i="1"/>
  <c r="C453" i="1"/>
  <c r="C454" i="1"/>
  <c r="C456" i="1"/>
  <c r="C458" i="1"/>
  <c r="C462" i="1"/>
  <c r="C463" i="1"/>
  <c r="C426" i="1"/>
  <c r="V465" i="1" l="1"/>
  <c r="E43" i="25"/>
  <c r="F43" i="25"/>
  <c r="W465" i="1"/>
  <c r="G43" i="25" l="1"/>
  <c r="I43" i="25"/>
  <c r="F41" i="17"/>
  <c r="E8" i="20"/>
  <c r="E7" i="20"/>
  <c r="F7" i="20" l="1"/>
  <c r="F8" i="20"/>
  <c r="W41" i="17" l="1"/>
  <c r="V41" i="17"/>
  <c r="H41" i="17"/>
  <c r="B2" i="17"/>
  <c r="D53" i="11" l="1"/>
  <c r="A2" i="11"/>
  <c r="AF465" i="1" l="1"/>
  <c r="E19" i="14" l="1"/>
  <c r="E8" i="14"/>
  <c r="E19" i="15" l="1"/>
  <c r="E18" i="15"/>
  <c r="C3" i="15"/>
  <c r="C6" i="15"/>
  <c r="C7" i="15"/>
  <c r="C20" i="15"/>
  <c r="C17" i="15"/>
  <c r="C19" i="15"/>
  <c r="C18" i="15"/>
  <c r="C2" i="15"/>
  <c r="C16" i="15"/>
  <c r="C9" i="15" l="1"/>
  <c r="C13" i="15"/>
  <c r="B15" i="15"/>
  <c r="C5" i="15"/>
  <c r="B17" i="15"/>
  <c r="D17" i="15" s="1"/>
  <c r="E17" i="15" s="1"/>
  <c r="B5" i="15"/>
  <c r="C14" i="15"/>
  <c r="B19" i="15"/>
  <c r="B3" i="15"/>
  <c r="D3" i="15" s="1"/>
  <c r="E3" i="15" s="1"/>
  <c r="B13" i="15"/>
  <c r="C11" i="15"/>
  <c r="B9" i="15"/>
  <c r="B20" i="15"/>
  <c r="D20" i="15" s="1"/>
  <c r="E20" i="15" s="1"/>
  <c r="B10" i="15"/>
  <c r="B14" i="15"/>
  <c r="B6" i="15"/>
  <c r="D6" i="15" s="1"/>
  <c r="E6" i="15" s="1"/>
  <c r="B4" i="15"/>
  <c r="B11" i="15"/>
  <c r="B16" i="15"/>
  <c r="D16" i="15" s="1"/>
  <c r="E16" i="15" s="1"/>
  <c r="C4" i="15"/>
  <c r="B2" i="15"/>
  <c r="D2" i="15" s="1"/>
  <c r="E2" i="15" s="1"/>
  <c r="B7" i="15"/>
  <c r="D7" i="15" s="1"/>
  <c r="E7" i="15" s="1"/>
  <c r="C12" i="15"/>
  <c r="C8" i="15"/>
  <c r="C15" i="15"/>
  <c r="B18" i="15"/>
  <c r="B12" i="15"/>
  <c r="C10" i="15"/>
  <c r="D9" i="15" l="1"/>
  <c r="E9" i="15" s="1"/>
  <c r="D13" i="15"/>
  <c r="E13" i="15" s="1"/>
  <c r="D15" i="15"/>
  <c r="E15" i="15" s="1"/>
  <c r="D14" i="15"/>
  <c r="E14" i="15" s="1"/>
  <c r="D4" i="15"/>
  <c r="E4" i="15" s="1"/>
  <c r="D11" i="15"/>
  <c r="E11" i="15" s="1"/>
  <c r="D5" i="15"/>
  <c r="E5" i="15" s="1"/>
  <c r="D10" i="15"/>
  <c r="E10" i="15" s="1"/>
  <c r="D12" i="15"/>
  <c r="E12" i="15" s="1"/>
  <c r="B6" i="14" l="1"/>
  <c r="B10" i="14"/>
  <c r="B12" i="14"/>
  <c r="B11" i="14"/>
  <c r="B4" i="14"/>
  <c r="B7" i="14"/>
  <c r="B13" i="14"/>
  <c r="B17" i="14"/>
  <c r="B9" i="14"/>
  <c r="B5" i="14"/>
  <c r="B14" i="14"/>
  <c r="B16" i="14"/>
  <c r="B15" i="14"/>
  <c r="B20" i="14"/>
  <c r="B18" i="14"/>
  <c r="B19" i="14"/>
  <c r="B8" i="14"/>
  <c r="B2" i="14"/>
  <c r="C6" i="14"/>
  <c r="C10" i="14"/>
  <c r="C12" i="14"/>
  <c r="C11" i="14"/>
  <c r="C4" i="14"/>
  <c r="C7" i="14"/>
  <c r="C13" i="14"/>
  <c r="C17" i="14"/>
  <c r="C9" i="14"/>
  <c r="C5" i="14"/>
  <c r="C14" i="14"/>
  <c r="C16" i="14"/>
  <c r="C15" i="14"/>
  <c r="C20" i="14"/>
  <c r="C18" i="14"/>
  <c r="C19" i="14"/>
  <c r="C8" i="14"/>
  <c r="C2" i="14"/>
  <c r="C3" i="14"/>
  <c r="B3" i="14"/>
  <c r="D20" i="14" l="1"/>
  <c r="E4" i="11"/>
  <c r="E28" i="11"/>
  <c r="E35" i="11"/>
  <c r="E38" i="11"/>
  <c r="E10" i="11"/>
  <c r="E8" i="11"/>
  <c r="E29" i="11"/>
  <c r="E30" i="11"/>
  <c r="E33" i="11"/>
  <c r="E11" i="11"/>
  <c r="E37" i="11"/>
  <c r="E15" i="11"/>
  <c r="E21" i="11"/>
  <c r="E32" i="11"/>
  <c r="E7" i="11"/>
  <c r="E18" i="11"/>
  <c r="E36" i="11"/>
  <c r="E6" i="11"/>
  <c r="E20" i="11"/>
  <c r="E9" i="11"/>
  <c r="E19" i="11"/>
  <c r="E31" i="11"/>
  <c r="E5" i="11"/>
  <c r="E27" i="11"/>
  <c r="E14" i="11"/>
  <c r="E13" i="11"/>
  <c r="E16" i="11"/>
  <c r="E17" i="11"/>
  <c r="E22" i="11"/>
  <c r="E23" i="11"/>
  <c r="E24" i="11"/>
  <c r="E25" i="11"/>
  <c r="E26" i="11"/>
  <c r="E34" i="11"/>
  <c r="E39" i="11"/>
  <c r="F39" i="11" l="1"/>
  <c r="I39" i="11" s="1"/>
  <c r="F24" i="11"/>
  <c r="I24" i="11" s="1"/>
  <c r="F16" i="11"/>
  <c r="I16" i="11" s="1"/>
  <c r="F27" i="11"/>
  <c r="F9" i="11"/>
  <c r="F36" i="11"/>
  <c r="F21" i="11"/>
  <c r="F33" i="11"/>
  <c r="F10" i="11"/>
  <c r="F34" i="11"/>
  <c r="I34" i="11" s="1"/>
  <c r="F23" i="11"/>
  <c r="I23" i="11" s="1"/>
  <c r="F5" i="11"/>
  <c r="F12" i="11"/>
  <c r="F18" i="11"/>
  <c r="F15" i="11"/>
  <c r="F30" i="11"/>
  <c r="F26" i="11"/>
  <c r="I26" i="11" s="1"/>
  <c r="F22" i="11"/>
  <c r="I22" i="11" s="1"/>
  <c r="F13" i="11"/>
  <c r="F31" i="11"/>
  <c r="F20" i="11"/>
  <c r="F7" i="11"/>
  <c r="F37" i="11"/>
  <c r="F29" i="11"/>
  <c r="F35" i="11"/>
  <c r="F25" i="11"/>
  <c r="I25" i="11" s="1"/>
  <c r="F17" i="11"/>
  <c r="I17" i="11" s="1"/>
  <c r="F14" i="11"/>
  <c r="F19" i="11"/>
  <c r="F6" i="11"/>
  <c r="F32" i="11"/>
  <c r="F11" i="11"/>
  <c r="F8" i="11"/>
  <c r="F28" i="11"/>
  <c r="F38" i="11"/>
  <c r="D18" i="14" l="1"/>
  <c r="E18" i="14" s="1"/>
  <c r="D16" i="14"/>
  <c r="E16" i="14" s="1"/>
  <c r="D2" i="14"/>
  <c r="E2" i="14" s="1"/>
  <c r="E20" i="14"/>
  <c r="D9" i="14"/>
  <c r="E9" i="14" s="1"/>
  <c r="D4" i="14"/>
  <c r="E4" i="14" s="1"/>
  <c r="D14" i="14"/>
  <c r="E14" i="14" s="1"/>
  <c r="D10" i="14"/>
  <c r="E10" i="14" s="1"/>
  <c r="D13" i="14"/>
  <c r="E13" i="14" s="1"/>
  <c r="D11" i="14"/>
  <c r="E11" i="14" s="1"/>
  <c r="D5" i="14"/>
  <c r="E5" i="14" s="1"/>
  <c r="D7" i="14"/>
  <c r="E7" i="14" s="1"/>
  <c r="D3" i="14"/>
  <c r="E3" i="14" s="1"/>
  <c r="D6" i="14"/>
  <c r="E6" i="14" s="1"/>
  <c r="D12" i="14"/>
  <c r="E12" i="14" s="1"/>
  <c r="D15" i="14"/>
  <c r="E15" i="14" s="1"/>
  <c r="D17" i="14"/>
  <c r="E17" i="14" s="1"/>
  <c r="I4" i="11" l="1"/>
  <c r="I5" i="11"/>
  <c r="I6" i="11"/>
  <c r="I7" i="11"/>
  <c r="I8" i="11"/>
  <c r="I9" i="11"/>
  <c r="I10" i="11"/>
  <c r="I11" i="11"/>
  <c r="I12" i="11"/>
  <c r="I13" i="11"/>
  <c r="I14" i="11"/>
  <c r="I15" i="11"/>
  <c r="I18" i="11"/>
  <c r="I19" i="11"/>
  <c r="I20" i="11"/>
  <c r="I21" i="11"/>
  <c r="I27" i="11"/>
  <c r="I28" i="11"/>
  <c r="I29" i="11"/>
  <c r="I30" i="11"/>
  <c r="I32" i="11"/>
  <c r="I33" i="11"/>
  <c r="I35" i="11"/>
  <c r="I36" i="11"/>
  <c r="I37" i="11"/>
  <c r="D40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2" i="11"/>
  <c r="H33" i="11"/>
  <c r="H34" i="11"/>
  <c r="H35" i="11"/>
  <c r="H36" i="11"/>
  <c r="H37" i="11"/>
  <c r="H39" i="11"/>
  <c r="G40" i="11"/>
  <c r="D37" i="8"/>
  <c r="D39" i="8"/>
  <c r="D32" i="8"/>
  <c r="D22" i="8"/>
  <c r="D12" i="8"/>
  <c r="H31" i="11" l="1"/>
  <c r="H38" i="11"/>
  <c r="I31" i="11"/>
  <c r="F40" i="11"/>
  <c r="I38" i="11"/>
  <c r="I40" i="11" l="1"/>
  <c r="B8" i="15" l="1"/>
  <c r="D8" i="15" s="1"/>
  <c r="E8" i="15" s="1"/>
  <c r="E18" i="25"/>
  <c r="I18" i="25" s="1"/>
  <c r="E6" i="25"/>
  <c r="I6" i="25" s="1"/>
  <c r="E37" i="25"/>
  <c r="I37" i="25" s="1"/>
  <c r="E25" i="25"/>
  <c r="E14" i="25"/>
  <c r="I14" i="25" s="1"/>
  <c r="E13" i="25"/>
  <c r="I13" i="25" s="1"/>
  <c r="E33" i="25"/>
  <c r="I33" i="25" s="1"/>
  <c r="E34" i="25"/>
  <c r="I34" i="25" s="1"/>
  <c r="E26" i="25"/>
  <c r="I26" i="25" s="1"/>
  <c r="E30" i="25"/>
  <c r="I30" i="25" s="1"/>
  <c r="E11" i="25"/>
  <c r="I11" i="25" s="1"/>
  <c r="E10" i="25"/>
  <c r="I10" i="25" s="1"/>
  <c r="E8" i="25"/>
  <c r="I8" i="25" s="1"/>
  <c r="E9" i="25"/>
  <c r="E23" i="25"/>
  <c r="I23" i="25" s="1"/>
  <c r="F18" i="25"/>
  <c r="E21" i="25"/>
  <c r="I21" i="25" s="1"/>
  <c r="E44" i="25"/>
  <c r="I44" i="25" s="1"/>
  <c r="E42" i="25"/>
  <c r="I42" i="25" s="1"/>
  <c r="E32" i="25"/>
  <c r="E41" i="25"/>
  <c r="I41" i="25" s="1"/>
  <c r="E19" i="25"/>
  <c r="I19" i="25" s="1"/>
  <c r="E27" i="25"/>
  <c r="I27" i="25" s="1"/>
  <c r="E36" i="25"/>
  <c r="I36" i="25" s="1"/>
  <c r="E28" i="25"/>
  <c r="I28" i="25" s="1"/>
  <c r="E40" i="25"/>
  <c r="I40" i="25" s="1"/>
  <c r="E35" i="25"/>
  <c r="I35" i="25" s="1"/>
  <c r="E22" i="25"/>
  <c r="I22" i="25" s="1"/>
  <c r="E7" i="25"/>
  <c r="I7" i="25" s="1"/>
  <c r="E20" i="25"/>
  <c r="I20" i="25" s="1"/>
  <c r="E31" i="25"/>
  <c r="I31" i="25" s="1"/>
  <c r="E24" i="25"/>
  <c r="I24" i="25" s="1"/>
  <c r="E38" i="25"/>
  <c r="I38" i="25" s="1"/>
  <c r="E12" i="25"/>
  <c r="I12" i="25" s="1"/>
  <c r="E39" i="25"/>
  <c r="I39" i="25" s="1"/>
  <c r="F6" i="25"/>
  <c r="E29" i="25"/>
  <c r="I29" i="25" s="1"/>
  <c r="E15" i="25"/>
  <c r="I15" i="25" s="1"/>
  <c r="E7" i="17"/>
  <c r="E9" i="17"/>
  <c r="E16" i="17"/>
  <c r="E25" i="17"/>
  <c r="E38" i="17"/>
  <c r="S5" i="17"/>
  <c r="E18" i="17"/>
  <c r="E37" i="17"/>
  <c r="E36" i="17"/>
  <c r="E19" i="17"/>
  <c r="E13" i="17"/>
  <c r="E11" i="17"/>
  <c r="E22" i="17"/>
  <c r="E28" i="17"/>
  <c r="E8" i="17"/>
  <c r="E35" i="17"/>
  <c r="E33" i="17"/>
  <c r="E14" i="17"/>
  <c r="E26" i="17"/>
  <c r="E15" i="17"/>
  <c r="E21" i="17"/>
  <c r="E39" i="17"/>
  <c r="E6" i="17"/>
  <c r="E17" i="17"/>
  <c r="E27" i="17"/>
  <c r="E30" i="17"/>
  <c r="E23" i="17"/>
  <c r="E10" i="17"/>
  <c r="E20" i="17"/>
  <c r="E12" i="17"/>
  <c r="E29" i="17"/>
  <c r="E40" i="17"/>
  <c r="Z38" i="17"/>
  <c r="Z11" i="17"/>
  <c r="Z26" i="17"/>
  <c r="U25" i="17"/>
  <c r="U40" i="17"/>
  <c r="Z33" i="17"/>
  <c r="Z18" i="17"/>
  <c r="Z29" i="17"/>
  <c r="Z27" i="17"/>
  <c r="Z14" i="17"/>
  <c r="Z34" i="17"/>
  <c r="Z36" i="17"/>
  <c r="U32" i="17"/>
  <c r="Z17" i="17"/>
  <c r="Z10" i="17"/>
  <c r="Z23" i="17"/>
  <c r="Z8" i="17"/>
  <c r="U19" i="17"/>
  <c r="U24" i="17"/>
  <c r="Z28" i="17"/>
  <c r="E24" i="17"/>
  <c r="U12" i="17"/>
  <c r="U39" i="17"/>
  <c r="E34" i="17"/>
  <c r="E32" i="17"/>
  <c r="E31" i="17"/>
  <c r="Z30" i="17"/>
  <c r="Z35" i="17"/>
  <c r="U7" i="17"/>
  <c r="Z21" i="17"/>
  <c r="U20" i="17"/>
  <c r="S10" i="17"/>
  <c r="O5" i="17"/>
  <c r="U13" i="17"/>
  <c r="Z16" i="17"/>
  <c r="S24" i="17"/>
  <c r="Z15" i="17"/>
  <c r="S19" i="17"/>
  <c r="Z6" i="17"/>
  <c r="Z22" i="17"/>
  <c r="U37" i="17"/>
  <c r="T5" i="17"/>
  <c r="S15" i="17"/>
  <c r="S37" i="17"/>
  <c r="S18" i="17"/>
  <c r="S35" i="17"/>
  <c r="S12" i="17"/>
  <c r="S7" i="17"/>
  <c r="S14" i="17"/>
  <c r="S32" i="17"/>
  <c r="S29" i="17"/>
  <c r="S26" i="17"/>
  <c r="S25" i="17"/>
  <c r="S39" i="17"/>
  <c r="S17" i="17"/>
  <c r="Z9" i="17"/>
  <c r="U31" i="17"/>
  <c r="S30" i="17"/>
  <c r="S8" i="17"/>
  <c r="S21" i="17"/>
  <c r="S33" i="17"/>
  <c r="S36" i="17"/>
  <c r="S23" i="17"/>
  <c r="S31" i="17"/>
  <c r="S22" i="17"/>
  <c r="S40" i="17"/>
  <c r="S16" i="17"/>
  <c r="S28" i="17"/>
  <c r="S20" i="17"/>
  <c r="S34" i="17"/>
  <c r="S38" i="17"/>
  <c r="E5" i="17"/>
  <c r="G5" i="17" s="1"/>
  <c r="S13" i="17"/>
  <c r="S6" i="17"/>
  <c r="S9" i="17"/>
  <c r="S27" i="17"/>
  <c r="M18" i="25"/>
  <c r="L18" i="25"/>
  <c r="N18" i="25"/>
  <c r="L6" i="25"/>
  <c r="N6" i="25"/>
  <c r="K18" i="25"/>
  <c r="M6" i="25"/>
  <c r="K6" i="25"/>
  <c r="K20" i="25"/>
  <c r="K24" i="25"/>
  <c r="K28" i="25"/>
  <c r="K32" i="25"/>
  <c r="K36" i="25"/>
  <c r="K38" i="25"/>
  <c r="K40" i="25"/>
  <c r="K42" i="25"/>
  <c r="K44" i="25"/>
  <c r="K27" i="25"/>
  <c r="K31" i="25"/>
  <c r="K35" i="25"/>
  <c r="K39" i="25"/>
  <c r="K22" i="25"/>
  <c r="K26" i="25"/>
  <c r="K19" i="25"/>
  <c r="K30" i="25"/>
  <c r="K33" i="25"/>
  <c r="K37" i="25"/>
  <c r="K14" i="25"/>
  <c r="K34" i="25"/>
  <c r="K12" i="25"/>
  <c r="K15" i="25"/>
  <c r="K9" i="25"/>
  <c r="K21" i="25"/>
  <c r="K25" i="25"/>
  <c r="K29" i="25"/>
  <c r="K41" i="25"/>
  <c r="K10" i="25"/>
  <c r="K23" i="25"/>
  <c r="K13" i="25"/>
  <c r="K11" i="25"/>
  <c r="K7" i="25"/>
  <c r="O12" i="17"/>
  <c r="P12" i="17" s="1"/>
  <c r="Q12" i="17" s="1"/>
  <c r="D34" i="11"/>
  <c r="D15" i="11"/>
  <c r="O13" i="17"/>
  <c r="P13" i="17" s="1"/>
  <c r="Q13" i="17" s="1"/>
  <c r="D23" i="11"/>
  <c r="D9" i="11"/>
  <c r="D14" i="11"/>
  <c r="D10" i="11"/>
  <c r="O29" i="17"/>
  <c r="P29" i="17" s="1"/>
  <c r="Q29" i="17" s="1"/>
  <c r="O17" i="17"/>
  <c r="P17" i="17" s="1"/>
  <c r="Q17" i="17" s="1"/>
  <c r="D27" i="11"/>
  <c r="O37" i="17"/>
  <c r="P37" i="17" s="1"/>
  <c r="Q37" i="17" s="1"/>
  <c r="D13" i="11"/>
  <c r="D8" i="11"/>
  <c r="D19" i="11"/>
  <c r="D28" i="11"/>
  <c r="B465" i="1"/>
  <c r="D5" i="11"/>
  <c r="D25" i="11"/>
  <c r="D21" i="11"/>
  <c r="D29" i="11"/>
  <c r="D35" i="11"/>
  <c r="D6" i="11"/>
  <c r="D22" i="11"/>
  <c r="O36" i="17"/>
  <c r="P36" i="17" s="1"/>
  <c r="Q36" i="17" s="1"/>
  <c r="O35" i="17"/>
  <c r="P35" i="17" s="1"/>
  <c r="Q35" i="17" s="1"/>
  <c r="O22" i="17"/>
  <c r="P22" i="17" s="1"/>
  <c r="Q22" i="17" s="1"/>
  <c r="D24" i="11"/>
  <c r="O7" i="17"/>
  <c r="P7" i="17" s="1"/>
  <c r="Q7" i="17" s="1"/>
  <c r="D17" i="11"/>
  <c r="O31" i="17"/>
  <c r="P31" i="17" s="1"/>
  <c r="Q31" i="17" s="1"/>
  <c r="D37" i="11"/>
  <c r="O23" i="17"/>
  <c r="P23" i="17" s="1"/>
  <c r="Q23" i="17" s="1"/>
  <c r="D30" i="11"/>
  <c r="D36" i="11"/>
  <c r="D33" i="11"/>
  <c r="O9" i="17"/>
  <c r="P9" i="17" s="1"/>
  <c r="Q9" i="17" s="1"/>
  <c r="O10" i="17"/>
  <c r="P10" i="17" s="1"/>
  <c r="Q10" i="17" s="1"/>
  <c r="D38" i="11"/>
  <c r="O6" i="17"/>
  <c r="P6" i="17" s="1"/>
  <c r="Q6" i="17" s="1"/>
  <c r="D4" i="11"/>
  <c r="O34" i="17"/>
  <c r="P34" i="17" s="1"/>
  <c r="Q34" i="17" s="1"/>
  <c r="D18" i="11"/>
  <c r="O30" i="17"/>
  <c r="P30" i="17" s="1"/>
  <c r="Q30" i="17" s="1"/>
  <c r="D12" i="11"/>
  <c r="O11" i="17"/>
  <c r="P11" i="17" s="1"/>
  <c r="Q11" i="17" s="1"/>
  <c r="O15" i="17"/>
  <c r="P15" i="17" s="1"/>
  <c r="Q15" i="17" s="1"/>
  <c r="D31" i="11"/>
  <c r="D20" i="11"/>
  <c r="O25" i="17"/>
  <c r="P25" i="17" s="1"/>
  <c r="Q25" i="17" s="1"/>
  <c r="O14" i="17"/>
  <c r="P14" i="17" s="1"/>
  <c r="Q14" i="17" s="1"/>
  <c r="D32" i="11"/>
  <c r="O32" i="17"/>
  <c r="P32" i="17" s="1"/>
  <c r="Q32" i="17" s="1"/>
  <c r="O40" i="17"/>
  <c r="P40" i="17" s="1"/>
  <c r="Q40" i="17" s="1"/>
  <c r="D16" i="11"/>
  <c r="D39" i="11"/>
  <c r="D7" i="11"/>
  <c r="O21" i="17"/>
  <c r="P21" i="17" s="1"/>
  <c r="Q21" i="17" s="1"/>
  <c r="O39" i="17"/>
  <c r="P39" i="17" s="1"/>
  <c r="Q39" i="17" s="1"/>
  <c r="O33" i="17"/>
  <c r="P33" i="17" s="1"/>
  <c r="Q33" i="17" s="1"/>
  <c r="O8" i="17"/>
  <c r="P8" i="17" s="1"/>
  <c r="Q8" i="17" s="1"/>
  <c r="O27" i="17"/>
  <c r="P27" i="17" s="1"/>
  <c r="Q27" i="17" s="1"/>
  <c r="O16" i="17"/>
  <c r="P16" i="17" s="1"/>
  <c r="Q16" i="17" s="1"/>
  <c r="D26" i="11"/>
  <c r="O24" i="17"/>
  <c r="P24" i="17" s="1"/>
  <c r="Q24" i="17" s="1"/>
  <c r="O26" i="17"/>
  <c r="P26" i="17" s="1"/>
  <c r="Q26" i="17" s="1"/>
  <c r="O28" i="17"/>
  <c r="P28" i="17" s="1"/>
  <c r="Q28" i="17" s="1"/>
  <c r="D11" i="11"/>
  <c r="O20" i="17"/>
  <c r="P20" i="17" s="1"/>
  <c r="Q20" i="17" s="1"/>
  <c r="O38" i="17"/>
  <c r="P38" i="17" s="1"/>
  <c r="Q38" i="17" s="1"/>
  <c r="T38" i="17"/>
  <c r="T26" i="17"/>
  <c r="T29" i="17"/>
  <c r="T13" i="17"/>
  <c r="T11" i="17"/>
  <c r="T7" i="17"/>
  <c r="T23" i="17"/>
  <c r="T9" i="17"/>
  <c r="T37" i="17"/>
  <c r="T25" i="17"/>
  <c r="T18" i="17"/>
  <c r="T10" i="17"/>
  <c r="T32" i="17"/>
  <c r="T33" i="17"/>
  <c r="T20" i="17"/>
  <c r="T36" i="17"/>
  <c r="T16" i="17"/>
  <c r="T17" i="17"/>
  <c r="T19" i="17"/>
  <c r="T31" i="17"/>
  <c r="T21" i="17"/>
  <c r="T28" i="17"/>
  <c r="T22" i="17"/>
  <c r="T8" i="17"/>
  <c r="T14" i="17"/>
  <c r="T27" i="17"/>
  <c r="T30" i="17"/>
  <c r="T39" i="17"/>
  <c r="T40" i="17"/>
  <c r="T6" i="17"/>
  <c r="T15" i="17"/>
  <c r="S11" i="17"/>
  <c r="T35" i="17"/>
  <c r="T12" i="17"/>
  <c r="T24" i="17"/>
  <c r="T34" i="17"/>
  <c r="F38" i="25"/>
  <c r="F42" i="25"/>
  <c r="F33" i="25"/>
  <c r="F20" i="25"/>
  <c r="F25" i="25"/>
  <c r="G25" i="25" s="1"/>
  <c r="F41" i="25"/>
  <c r="F21" i="25"/>
  <c r="F31" i="25"/>
  <c r="F28" i="25"/>
  <c r="F10" i="25"/>
  <c r="F19" i="25"/>
  <c r="F40" i="25"/>
  <c r="F32" i="25"/>
  <c r="G32" i="25" s="1"/>
  <c r="F44" i="25"/>
  <c r="F23" i="25"/>
  <c r="F35" i="25"/>
  <c r="F27" i="25"/>
  <c r="E16" i="25"/>
  <c r="F16" i="25"/>
  <c r="F11" i="25"/>
  <c r="E17" i="25"/>
  <c r="F39" i="25"/>
  <c r="F37" i="25"/>
  <c r="F36" i="25"/>
  <c r="F34" i="25"/>
  <c r="F30" i="25"/>
  <c r="F29" i="25"/>
  <c r="F26" i="25"/>
  <c r="F24" i="25"/>
  <c r="F22" i="25"/>
  <c r="F17" i="25"/>
  <c r="F15" i="25"/>
  <c r="F14" i="25"/>
  <c r="F13" i="25"/>
  <c r="F12" i="25"/>
  <c r="F9" i="25"/>
  <c r="F8" i="25"/>
  <c r="F7" i="25"/>
  <c r="N44" i="25"/>
  <c r="M44" i="25"/>
  <c r="L44" i="25"/>
  <c r="N42" i="25"/>
  <c r="M42" i="25"/>
  <c r="L42" i="25"/>
  <c r="N41" i="25"/>
  <c r="M41" i="25"/>
  <c r="L41" i="25"/>
  <c r="N40" i="25"/>
  <c r="M40" i="25"/>
  <c r="L40" i="25"/>
  <c r="N39" i="25"/>
  <c r="M39" i="25"/>
  <c r="L39" i="25"/>
  <c r="N38" i="25"/>
  <c r="M38" i="25"/>
  <c r="L38" i="25"/>
  <c r="N37" i="25"/>
  <c r="M37" i="25"/>
  <c r="L37" i="25"/>
  <c r="N36" i="25"/>
  <c r="M36" i="25"/>
  <c r="L36" i="25"/>
  <c r="N35" i="25"/>
  <c r="M35" i="25"/>
  <c r="L35" i="25"/>
  <c r="N34" i="25"/>
  <c r="M34" i="25"/>
  <c r="L34" i="25"/>
  <c r="N33" i="25"/>
  <c r="M33" i="25"/>
  <c r="L33" i="25"/>
  <c r="N32" i="25"/>
  <c r="M32" i="25"/>
  <c r="L32" i="25"/>
  <c r="N31" i="25"/>
  <c r="M31" i="25"/>
  <c r="L31" i="25"/>
  <c r="N30" i="25"/>
  <c r="M30" i="25"/>
  <c r="L30" i="25"/>
  <c r="N29" i="25"/>
  <c r="M29" i="25"/>
  <c r="L29" i="25"/>
  <c r="N28" i="25"/>
  <c r="M28" i="25"/>
  <c r="L28" i="25"/>
  <c r="N27" i="25"/>
  <c r="M27" i="25"/>
  <c r="L27" i="25"/>
  <c r="N26" i="25"/>
  <c r="M26" i="25"/>
  <c r="L26" i="25"/>
  <c r="N25" i="25"/>
  <c r="M25" i="25"/>
  <c r="L25" i="25"/>
  <c r="N24" i="25"/>
  <c r="M24" i="25"/>
  <c r="L24" i="25"/>
  <c r="N23" i="25"/>
  <c r="M23" i="25"/>
  <c r="L23" i="25"/>
  <c r="N22" i="25"/>
  <c r="M22" i="25"/>
  <c r="L22" i="25"/>
  <c r="N21" i="25"/>
  <c r="M21" i="25"/>
  <c r="L21" i="25"/>
  <c r="N20" i="25"/>
  <c r="M20" i="25"/>
  <c r="L20" i="25"/>
  <c r="N19" i="25"/>
  <c r="M19" i="25"/>
  <c r="L19" i="25"/>
  <c r="N17" i="25"/>
  <c r="M17" i="25"/>
  <c r="L17" i="25"/>
  <c r="K17" i="25"/>
  <c r="N16" i="25"/>
  <c r="M16" i="25"/>
  <c r="L16" i="25"/>
  <c r="K16" i="25"/>
  <c r="N15" i="25"/>
  <c r="M15" i="25"/>
  <c r="L15" i="25"/>
  <c r="N14" i="25"/>
  <c r="M14" i="25"/>
  <c r="L14" i="25"/>
  <c r="N13" i="25"/>
  <c r="M13" i="25"/>
  <c r="L13" i="25"/>
  <c r="N12" i="25"/>
  <c r="M12" i="25"/>
  <c r="L12" i="25"/>
  <c r="N11" i="25"/>
  <c r="M11" i="25"/>
  <c r="L11" i="25"/>
  <c r="N10" i="25"/>
  <c r="M10" i="25"/>
  <c r="L10" i="25"/>
  <c r="N9" i="25"/>
  <c r="M9" i="25"/>
  <c r="L9" i="25"/>
  <c r="N8" i="25"/>
  <c r="M8" i="25"/>
  <c r="L8" i="25"/>
  <c r="N7" i="25"/>
  <c r="M7" i="25"/>
  <c r="L7" i="25"/>
  <c r="D178" i="1"/>
  <c r="C178" i="1"/>
  <c r="O18" i="17"/>
  <c r="P18" i="17" s="1"/>
  <c r="Q18" i="17" s="1"/>
  <c r="O19" i="17"/>
  <c r="P19" i="17" s="1"/>
  <c r="Q19" i="17" s="1"/>
  <c r="K8" i="25"/>
  <c r="G14" i="25" l="1"/>
  <c r="G9" i="25"/>
  <c r="J18" i="25"/>
  <c r="Z20" i="17"/>
  <c r="U21" i="17"/>
  <c r="U22" i="17"/>
  <c r="U9" i="17"/>
  <c r="Z37" i="17"/>
  <c r="U8" i="17"/>
  <c r="Z40" i="17"/>
  <c r="U23" i="17"/>
  <c r="Z25" i="17"/>
  <c r="U15" i="17"/>
  <c r="U16" i="17"/>
  <c r="U34" i="17"/>
  <c r="Z13" i="17"/>
  <c r="Z12" i="17"/>
  <c r="U14" i="17"/>
  <c r="G13" i="25"/>
  <c r="J8" i="25"/>
  <c r="J6" i="25"/>
  <c r="Z31" i="17"/>
  <c r="Z39" i="17"/>
  <c r="V11" i="17"/>
  <c r="Z7" i="17"/>
  <c r="U10" i="17"/>
  <c r="U27" i="17"/>
  <c r="U26" i="17"/>
  <c r="U35" i="17"/>
  <c r="U28" i="17"/>
  <c r="U17" i="17"/>
  <c r="U29" i="17"/>
  <c r="U11" i="17"/>
  <c r="L45" i="25"/>
  <c r="U30" i="17"/>
  <c r="Z24" i="17"/>
  <c r="Z32" i="17"/>
  <c r="U18" i="17"/>
  <c r="U38" i="17"/>
  <c r="M45" i="25"/>
  <c r="N45" i="25"/>
  <c r="Z19" i="17"/>
  <c r="U36" i="17"/>
  <c r="U33" i="17"/>
  <c r="F45" i="25"/>
  <c r="I32" i="25"/>
  <c r="I9" i="25"/>
  <c r="S8" i="25" s="1"/>
  <c r="I25" i="25"/>
  <c r="J7" i="25"/>
  <c r="J11" i="25"/>
  <c r="J13" i="25"/>
  <c r="J23" i="25"/>
  <c r="J10" i="25"/>
  <c r="J41" i="25"/>
  <c r="J29" i="25"/>
  <c r="J25" i="25"/>
  <c r="J21" i="25"/>
  <c r="J9" i="25"/>
  <c r="J15" i="25"/>
  <c r="J12" i="25"/>
  <c r="J34" i="25"/>
  <c r="J14" i="25"/>
  <c r="J37" i="25"/>
  <c r="J33" i="25"/>
  <c r="J30" i="25"/>
  <c r="J19" i="25"/>
  <c r="J26" i="25"/>
  <c r="J22" i="25"/>
  <c r="J39" i="25"/>
  <c r="J35" i="25"/>
  <c r="J31" i="25"/>
  <c r="J27" i="25"/>
  <c r="J44" i="25"/>
  <c r="J42" i="25"/>
  <c r="J40" i="25"/>
  <c r="J38" i="25"/>
  <c r="J36" i="25"/>
  <c r="J32" i="25"/>
  <c r="J28" i="25"/>
  <c r="J24" i="25"/>
  <c r="J20" i="25"/>
  <c r="U8" i="25"/>
  <c r="K45" i="25"/>
  <c r="Y8" i="25"/>
  <c r="U9" i="25"/>
  <c r="AA8" i="25"/>
  <c r="W8" i="25"/>
  <c r="AA9" i="25"/>
  <c r="W9" i="25"/>
  <c r="Y9" i="25"/>
  <c r="W27" i="17"/>
  <c r="W9" i="17"/>
  <c r="Y9" i="17"/>
  <c r="S41" i="17"/>
  <c r="V6" i="17"/>
  <c r="Y6" i="17"/>
  <c r="V13" i="17"/>
  <c r="Y13" i="17"/>
  <c r="R5" i="17"/>
  <c r="I5" i="17"/>
  <c r="J5" i="17"/>
  <c r="E41" i="17"/>
  <c r="W5" i="17"/>
  <c r="W38" i="17"/>
  <c r="Y38" i="17"/>
  <c r="W34" i="17"/>
  <c r="Y34" i="17"/>
  <c r="V20" i="17"/>
  <c r="Y20" i="17"/>
  <c r="V28" i="17"/>
  <c r="Y28" i="17"/>
  <c r="V16" i="17"/>
  <c r="Y16" i="17"/>
  <c r="V40" i="17"/>
  <c r="Y40" i="17"/>
  <c r="W22" i="17"/>
  <c r="Y22" i="17"/>
  <c r="W31" i="17"/>
  <c r="Y31" i="17"/>
  <c r="W23" i="17"/>
  <c r="Y23" i="17"/>
  <c r="W36" i="17"/>
  <c r="Y36" i="17"/>
  <c r="V33" i="17"/>
  <c r="Y33" i="17"/>
  <c r="W21" i="17"/>
  <c r="Y21" i="17"/>
  <c r="W8" i="17"/>
  <c r="Y8" i="17"/>
  <c r="V30" i="17"/>
  <c r="Y30" i="17"/>
  <c r="V17" i="17"/>
  <c r="Y17" i="17"/>
  <c r="V39" i="17"/>
  <c r="Y39" i="17"/>
  <c r="V25" i="17"/>
  <c r="Y25" i="17"/>
  <c r="V26" i="17"/>
  <c r="W29" i="17"/>
  <c r="Y29" i="17"/>
  <c r="V32" i="17"/>
  <c r="Y32" i="17"/>
  <c r="V14" i="17"/>
  <c r="Y14" i="17"/>
  <c r="W7" i="17"/>
  <c r="Y7" i="17"/>
  <c r="V12" i="17"/>
  <c r="Y12" i="17"/>
  <c r="V35" i="17"/>
  <c r="W18" i="17"/>
  <c r="Y18" i="17"/>
  <c r="W37" i="17"/>
  <c r="Y37" i="17"/>
  <c r="V15" i="17"/>
  <c r="Y15" i="17"/>
  <c r="T41" i="17"/>
  <c r="K41" i="17"/>
  <c r="U41" i="17" s="1"/>
  <c r="U6" i="17"/>
  <c r="W19" i="17"/>
  <c r="Y19" i="17"/>
  <c r="V24" i="17"/>
  <c r="Y24" i="17"/>
  <c r="P5" i="17"/>
  <c r="O41" i="17"/>
  <c r="Z5" i="17"/>
  <c r="U5" i="17"/>
  <c r="W10" i="17"/>
  <c r="Y10" i="17"/>
  <c r="G31" i="17"/>
  <c r="V31" i="17"/>
  <c r="G32" i="17"/>
  <c r="W32" i="17"/>
  <c r="G34" i="17"/>
  <c r="V34" i="17"/>
  <c r="G24" i="17"/>
  <c r="W24" i="17"/>
  <c r="G40" i="17"/>
  <c r="W40" i="17"/>
  <c r="G29" i="17"/>
  <c r="V29" i="17"/>
  <c r="G12" i="17"/>
  <c r="W12" i="17"/>
  <c r="G20" i="17"/>
  <c r="W20" i="17"/>
  <c r="G10" i="17"/>
  <c r="V10" i="17"/>
  <c r="G23" i="17"/>
  <c r="V23" i="17"/>
  <c r="G30" i="17"/>
  <c r="W30" i="17"/>
  <c r="G27" i="17"/>
  <c r="V27" i="17"/>
  <c r="G17" i="17"/>
  <c r="W17" i="17"/>
  <c r="G6" i="17"/>
  <c r="W6" i="17"/>
  <c r="G39" i="17"/>
  <c r="W39" i="17"/>
  <c r="G21" i="17"/>
  <c r="V21" i="17"/>
  <c r="G15" i="17"/>
  <c r="W15" i="17"/>
  <c r="G26" i="17"/>
  <c r="W26" i="17"/>
  <c r="G14" i="17"/>
  <c r="W14" i="17"/>
  <c r="G33" i="17"/>
  <c r="W33" i="17"/>
  <c r="G35" i="17"/>
  <c r="W35" i="17"/>
  <c r="G8" i="17"/>
  <c r="V8" i="17"/>
  <c r="G28" i="17"/>
  <c r="W28" i="17"/>
  <c r="G22" i="17"/>
  <c r="V22" i="17"/>
  <c r="G11" i="17"/>
  <c r="W11" i="17"/>
  <c r="G13" i="17"/>
  <c r="W13" i="17"/>
  <c r="G19" i="17"/>
  <c r="V19" i="17"/>
  <c r="G36" i="17"/>
  <c r="V36" i="17"/>
  <c r="G37" i="17"/>
  <c r="V37" i="17"/>
  <c r="G18" i="17"/>
  <c r="V18" i="17"/>
  <c r="Y5" i="17"/>
  <c r="G38" i="17"/>
  <c r="V38" i="17"/>
  <c r="G25" i="17"/>
  <c r="W25" i="17"/>
  <c r="G16" i="17"/>
  <c r="W16" i="17"/>
  <c r="G9" i="17"/>
  <c r="V9" i="17"/>
  <c r="G7" i="17"/>
  <c r="V7" i="17"/>
  <c r="G15" i="25"/>
  <c r="G29" i="25"/>
  <c r="Q8" i="25"/>
  <c r="G39" i="25"/>
  <c r="G12" i="25"/>
  <c r="G38" i="25"/>
  <c r="G24" i="25"/>
  <c r="G31" i="25"/>
  <c r="G20" i="25"/>
  <c r="G7" i="25"/>
  <c r="G22" i="25"/>
  <c r="G35" i="25"/>
  <c r="G40" i="25"/>
  <c r="G28" i="25"/>
  <c r="G36" i="25"/>
  <c r="G27" i="25"/>
  <c r="G19" i="25"/>
  <c r="G41" i="25"/>
  <c r="G42" i="25"/>
  <c r="G44" i="25"/>
  <c r="G21" i="25"/>
  <c r="Q9" i="25"/>
  <c r="G23" i="25"/>
  <c r="G8" i="25"/>
  <c r="G10" i="25"/>
  <c r="G11" i="25"/>
  <c r="G30" i="25"/>
  <c r="G26" i="25"/>
  <c r="G34" i="25"/>
  <c r="G33" i="25"/>
  <c r="G37" i="25"/>
  <c r="G6" i="25"/>
  <c r="E45" i="25"/>
  <c r="G18" i="25"/>
  <c r="S9" i="25" l="1"/>
  <c r="Z41" i="17"/>
  <c r="Y41" i="17"/>
  <c r="R9" i="25"/>
  <c r="Y15" i="25"/>
  <c r="R8" i="25"/>
  <c r="G45" i="25"/>
  <c r="I7" i="17"/>
  <c r="R7" i="17"/>
  <c r="J7" i="17"/>
  <c r="I9" i="17"/>
  <c r="J9" i="17"/>
  <c r="R9" i="17"/>
  <c r="R16" i="17"/>
  <c r="J16" i="17"/>
  <c r="I16" i="17"/>
  <c r="I25" i="17"/>
  <c r="J25" i="17"/>
  <c r="R25" i="17"/>
  <c r="R38" i="17"/>
  <c r="J38" i="17"/>
  <c r="I38" i="17"/>
  <c r="R18" i="17"/>
  <c r="J18" i="17"/>
  <c r="I18" i="17"/>
  <c r="J37" i="17"/>
  <c r="R37" i="17"/>
  <c r="I37" i="17"/>
  <c r="J36" i="17"/>
  <c r="I36" i="17"/>
  <c r="R36" i="17"/>
  <c r="J19" i="17"/>
  <c r="R19" i="17"/>
  <c r="I19" i="17"/>
  <c r="R13" i="17"/>
  <c r="J13" i="17"/>
  <c r="I13" i="17"/>
  <c r="J11" i="17"/>
  <c r="I11" i="17"/>
  <c r="R11" i="17"/>
  <c r="R22" i="17"/>
  <c r="J22" i="17"/>
  <c r="I22" i="17"/>
  <c r="J28" i="17"/>
  <c r="I28" i="17"/>
  <c r="R28" i="17"/>
  <c r="I8" i="17"/>
  <c r="R8" i="17"/>
  <c r="J8" i="17"/>
  <c r="I35" i="17"/>
  <c r="J35" i="17"/>
  <c r="R35" i="17"/>
  <c r="I33" i="17"/>
  <c r="J33" i="17"/>
  <c r="R33" i="17"/>
  <c r="R14" i="17"/>
  <c r="J14" i="17"/>
  <c r="I14" i="17"/>
  <c r="J26" i="17"/>
  <c r="R26" i="17"/>
  <c r="I26" i="17"/>
  <c r="R15" i="17"/>
  <c r="I15" i="17"/>
  <c r="J15" i="17"/>
  <c r="J21" i="17"/>
  <c r="R21" i="17"/>
  <c r="I21" i="17"/>
  <c r="R39" i="17"/>
  <c r="I39" i="17"/>
  <c r="J39" i="17"/>
  <c r="R6" i="17"/>
  <c r="J6" i="17"/>
  <c r="I6" i="17"/>
  <c r="G41" i="17"/>
  <c r="J41" i="17" s="1"/>
  <c r="I17" i="17"/>
  <c r="R17" i="17"/>
  <c r="J17" i="17"/>
  <c r="I27" i="17"/>
  <c r="J27" i="17"/>
  <c r="R27" i="17"/>
  <c r="I30" i="17"/>
  <c r="J30" i="17"/>
  <c r="R30" i="17"/>
  <c r="I23" i="17"/>
  <c r="J23" i="17"/>
  <c r="R23" i="17"/>
  <c r="I10" i="17"/>
  <c r="J10" i="17"/>
  <c r="R10" i="17"/>
  <c r="R20" i="17"/>
  <c r="J20" i="17"/>
  <c r="I20" i="17"/>
  <c r="J12" i="17"/>
  <c r="I12" i="17"/>
  <c r="R12" i="17"/>
  <c r="I29" i="17"/>
  <c r="R29" i="17"/>
  <c r="J29" i="17"/>
  <c r="R40" i="17"/>
  <c r="J40" i="17"/>
  <c r="I40" i="17"/>
  <c r="J24" i="17"/>
  <c r="R24" i="17"/>
  <c r="I24" i="17"/>
  <c r="R34" i="17"/>
  <c r="I34" i="17"/>
  <c r="J34" i="17"/>
  <c r="R32" i="17"/>
  <c r="I32" i="17"/>
  <c r="J32" i="17"/>
  <c r="R31" i="17"/>
  <c r="I31" i="17"/>
  <c r="J31" i="17"/>
  <c r="Q5" i="17"/>
  <c r="Q41" i="17" s="1"/>
  <c r="P41" i="17"/>
  <c r="V5" i="17"/>
  <c r="T9" i="25"/>
  <c r="T8" i="25"/>
  <c r="I41" i="17" l="1"/>
  <c r="R41" i="17"/>
  <c r="X8" i="25"/>
  <c r="AB8" i="25"/>
  <c r="Z8" i="25"/>
  <c r="V8" i="25"/>
  <c r="Z9" i="25"/>
  <c r="X9" i="25"/>
  <c r="AB9" i="25"/>
  <c r="V9" i="25"/>
</calcChain>
</file>

<file path=xl/sharedStrings.xml><?xml version="1.0" encoding="utf-8"?>
<sst xmlns="http://schemas.openxmlformats.org/spreadsheetml/2006/main" count="3457" uniqueCount="529">
  <si>
    <t>Row Labels</t>
  </si>
  <si>
    <t>Course Offerings</t>
  </si>
  <si>
    <t>Planned Quotas</t>
  </si>
  <si>
    <t>Quota Need</t>
  </si>
  <si>
    <t>Afloat Environmental Protection Coordinator</t>
  </si>
  <si>
    <t xml:space="preserve">Afloat Environmental Protection Coordinator Global Online </t>
  </si>
  <si>
    <t>Asbestos Inspector</t>
  </si>
  <si>
    <t>Asbestos Inspector Refresher</t>
  </si>
  <si>
    <t xml:space="preserve">Asbestos Management Planner </t>
  </si>
  <si>
    <t>Asbestos Management Planner Refresher</t>
  </si>
  <si>
    <t>Asbestos Supervisor Initial</t>
  </si>
  <si>
    <t>Asbestos Supervisor Refresher</t>
  </si>
  <si>
    <t>Aviation Safety Specialist Global Online</t>
  </si>
  <si>
    <t>Competent Person for Fall Protection Course Afloat</t>
  </si>
  <si>
    <t>Confined Space Safety</t>
  </si>
  <si>
    <t>Construction Safety Standards</t>
  </si>
  <si>
    <t>Emergency Asbestos Response Team</t>
  </si>
  <si>
    <t>Facility Response Team (FRT) Five Day</t>
  </si>
  <si>
    <t>Facility Response Team (FRT) Three Day</t>
  </si>
  <si>
    <t>Fall Protection Program Manager Course (Global Online)</t>
  </si>
  <si>
    <t>Fire Protection and Life Safety</t>
  </si>
  <si>
    <t>General Industry Safety Standards</t>
  </si>
  <si>
    <t>Hazardous Material Control and Management [HMC&amp;M] Technician Global Online</t>
  </si>
  <si>
    <t>Hazardous Substance Incident Response Management (HSIRM)</t>
  </si>
  <si>
    <t>Hazardous Substance Incident Response Management (HSIRM) Refresher</t>
  </si>
  <si>
    <t>Incident Command System 300 (ICS 300)</t>
  </si>
  <si>
    <t>Incident Command System 300 (ICS 300) Refresher</t>
  </si>
  <si>
    <t>Incident Command System 400 (ICS 400)</t>
  </si>
  <si>
    <t>Industrial Noise</t>
  </si>
  <si>
    <t>Introduction to Hazardous Materials [Ashore] Global Online</t>
  </si>
  <si>
    <t>Introduction to Industrial Hygiene for Safety Professionals</t>
  </si>
  <si>
    <t>Introduction to Industrial Hygiene for Safety Professionals Global Online</t>
  </si>
  <si>
    <t>Introduction to Naval Safety and Occupational Health [Ashore] Global Online</t>
  </si>
  <si>
    <t>Mishap Investigation</t>
  </si>
  <si>
    <t>Navy Ergonomics Program (Global Online)</t>
  </si>
  <si>
    <t>Oil Hazardous Substance Spill Response Tabletop Exercise (OHS TTX)</t>
  </si>
  <si>
    <t>Operational Risk Mangement Application &amp; Integration Global Online</t>
  </si>
  <si>
    <t>Placeholder</t>
  </si>
  <si>
    <t>Respiratory Protection Program Management</t>
  </si>
  <si>
    <t>Safety Programs Afloat Global Online</t>
  </si>
  <si>
    <t xml:space="preserve">Tank Managers </t>
  </si>
  <si>
    <t>Grand Total</t>
  </si>
  <si>
    <t>Last Update</t>
  </si>
  <si>
    <t>Courses - Planned vs Need (Active Courses)</t>
  </si>
  <si>
    <t>Contractor</t>
  </si>
  <si>
    <t>Department</t>
  </si>
  <si>
    <t>Quota per Offering</t>
  </si>
  <si>
    <t>Difference</t>
  </si>
  <si>
    <t>%</t>
  </si>
  <si>
    <t>ENV</t>
  </si>
  <si>
    <t>IH</t>
  </si>
  <si>
    <t>FS</t>
  </si>
  <si>
    <t>Competent Person for Fall Protection Course</t>
  </si>
  <si>
    <t>y</t>
  </si>
  <si>
    <t>SOH</t>
  </si>
  <si>
    <t>Machinery and Machine Guarding Standards</t>
  </si>
  <si>
    <t>Submarine Safety Officer Global Online</t>
  </si>
  <si>
    <t>NSC</t>
  </si>
  <si>
    <t>Total</t>
  </si>
  <si>
    <t>Courses Needed (Inactive Courses)</t>
  </si>
  <si>
    <t>Column1</t>
  </si>
  <si>
    <t>Column2</t>
  </si>
  <si>
    <t>Active Online</t>
  </si>
  <si>
    <t>Submarine Safety Officer Resident</t>
  </si>
  <si>
    <t>Yes</t>
  </si>
  <si>
    <t>Introduction to Naval Safety and Occupational Health [Ashore] Resident</t>
  </si>
  <si>
    <t>Aviation Safety Specialist Resident</t>
  </si>
  <si>
    <t>Introduction to Industrial Hygiene for Safety Professionals Resident</t>
  </si>
  <si>
    <t>Basic Lase Safety Officer (BLSO)</t>
  </si>
  <si>
    <t>No</t>
  </si>
  <si>
    <t>Electrical Standards</t>
  </si>
  <si>
    <t>Hazardous Material Control and Management [HMC&amp;M] Resident</t>
  </si>
  <si>
    <t>Safety Programs Afloat Resident</t>
  </si>
  <si>
    <t xml:space="preserve"> </t>
  </si>
  <si>
    <t>Instructor</t>
  </si>
  <si>
    <t>Primary Instructor</t>
  </si>
  <si>
    <t>Instructor 2</t>
  </si>
  <si>
    <t>Percentage in Classroom</t>
  </si>
  <si>
    <t>ENV Contractor</t>
  </si>
  <si>
    <t>LSC Jarvis</t>
  </si>
  <si>
    <t>T. White</t>
  </si>
  <si>
    <t>B. Jung</t>
  </si>
  <si>
    <t>EMC Servatico</t>
  </si>
  <si>
    <t xml:space="preserve">LSC Rouse </t>
  </si>
  <si>
    <t>W. Mitchell</t>
  </si>
  <si>
    <t>D. Rodriguez</t>
  </si>
  <si>
    <t>B. Winslow</t>
  </si>
  <si>
    <t>LTJG Houston</t>
  </si>
  <si>
    <t>V. Kentish</t>
  </si>
  <si>
    <t>BMC Sosaya</t>
  </si>
  <si>
    <t>A. Harris</t>
  </si>
  <si>
    <t>J. Hayes</t>
  </si>
  <si>
    <t>S. Griffin</t>
  </si>
  <si>
    <t>A. Evans</t>
  </si>
  <si>
    <t>SOH Contractor</t>
  </si>
  <si>
    <t>IH Contractor</t>
  </si>
  <si>
    <t>D. Chin Loy</t>
  </si>
  <si>
    <t>Course Title</t>
  </si>
  <si>
    <t>(All)</t>
  </si>
  <si>
    <t>Count of Location</t>
  </si>
  <si>
    <t>Andros, Bahamas (AUTEC)</t>
  </si>
  <si>
    <t>Annapolis, MD</t>
  </si>
  <si>
    <t>Atsugi, Japan</t>
  </si>
  <si>
    <t>Bangor, WA</t>
  </si>
  <si>
    <t>Bremerton, WA</t>
  </si>
  <si>
    <t>MCAS Cherry Point, NC</t>
  </si>
  <si>
    <t>China Lake, CA</t>
  </si>
  <si>
    <t>Chinhae, Korea</t>
  </si>
  <si>
    <t>Colts Neck, NJ</t>
  </si>
  <si>
    <t>Coronado, CA</t>
  </si>
  <si>
    <t>Corpus Christi, TX</t>
  </si>
  <si>
    <t>Crane, IN</t>
  </si>
  <si>
    <t>Deveselu, Romania</t>
  </si>
  <si>
    <t>Diego Garcia</t>
  </si>
  <si>
    <t>Djibouti, Africa</t>
  </si>
  <si>
    <t>Everett, WA</t>
  </si>
  <si>
    <t>Global Online</t>
  </si>
  <si>
    <t>Great Lakes, IL</t>
  </si>
  <si>
    <t>Groton, CT</t>
  </si>
  <si>
    <t>Guantanamo Bay, Cuba</t>
  </si>
  <si>
    <t>Gulfport, MS</t>
  </si>
  <si>
    <t>Indian Head, MD</t>
  </si>
  <si>
    <t>Indian Island, WA</t>
  </si>
  <si>
    <t>ISA, UAE</t>
  </si>
  <si>
    <t>Jacksonville, FL</t>
  </si>
  <si>
    <t>Kekaha, HI</t>
  </si>
  <si>
    <t>Key West, FL</t>
  </si>
  <si>
    <t xml:space="preserve">Keyport, WA </t>
  </si>
  <si>
    <t>Kingsbay, GA</t>
  </si>
  <si>
    <t xml:space="preserve">Kingsbay, GA </t>
  </si>
  <si>
    <t>Kingsvile, TX</t>
  </si>
  <si>
    <t>Lemoore, CA</t>
  </si>
  <si>
    <t>Little Creek - Ft Story, VA</t>
  </si>
  <si>
    <t>Mayport, FL</t>
  </si>
  <si>
    <t>Mid South, TN</t>
  </si>
  <si>
    <t>Naples, Italy</t>
  </si>
  <si>
    <t>Naval Base Guam</t>
  </si>
  <si>
    <t>New London, CT</t>
  </si>
  <si>
    <t>New Orleans, LA</t>
  </si>
  <si>
    <t>Newport, RI</t>
  </si>
  <si>
    <t>Norfolk, VA Classroom 1</t>
  </si>
  <si>
    <t>Norfolk, VA Classroom 2</t>
  </si>
  <si>
    <t>NSA, Bahrain</t>
  </si>
  <si>
    <t>Okinawa, Japan</t>
  </si>
  <si>
    <t>Panama City, FL</t>
  </si>
  <si>
    <t>Patuxent River, MD</t>
  </si>
  <si>
    <t>Pax River, MD</t>
  </si>
  <si>
    <t>Pearl Harbor, HI</t>
  </si>
  <si>
    <t>Pensacola, FL</t>
  </si>
  <si>
    <t>Philadelphia, PA</t>
  </si>
  <si>
    <t>Port Hueneme, CA</t>
  </si>
  <si>
    <t>Portsmouth, NH</t>
  </si>
  <si>
    <t>Redzikowk, Poland</t>
  </si>
  <si>
    <t>Rota, Spain</t>
  </si>
  <si>
    <t>San Clemente Island, CA</t>
  </si>
  <si>
    <t>San Diego, CA</t>
  </si>
  <si>
    <t>Sasebo, Japan</t>
  </si>
  <si>
    <t>Seal Beach, CA</t>
  </si>
  <si>
    <t>Sigonella, Italy</t>
  </si>
  <si>
    <t>Singapore</t>
  </si>
  <si>
    <t>Souda Bay, Greece</t>
  </si>
  <si>
    <t>Support Facility Diego Garcia</t>
  </si>
  <si>
    <t>Virginia Beach, VA (LITTLE CREEK)</t>
  </si>
  <si>
    <t>Virginia Beach, VA (OCEANA)</t>
  </si>
  <si>
    <t>Washington, DC</t>
  </si>
  <si>
    <t>Whidbey Island, WA</t>
  </si>
  <si>
    <t>Yokosuka, Japan</t>
  </si>
  <si>
    <t>CIN</t>
  </si>
  <si>
    <t>CDP</t>
  </si>
  <si>
    <t>Quotas</t>
  </si>
  <si>
    <t>Days</t>
  </si>
  <si>
    <t>Instructor #1</t>
  </si>
  <si>
    <t>Instructor #2</t>
  </si>
  <si>
    <t>Instructor #3</t>
  </si>
  <si>
    <t>Format</t>
  </si>
  <si>
    <t>Location</t>
  </si>
  <si>
    <t>Live Session Start Time ET</t>
  </si>
  <si>
    <t>Roster Received By</t>
  </si>
  <si>
    <t>Afloat Environmental Protection Coordinator (Resident)</t>
  </si>
  <si>
    <t xml:space="preserve"> A-4J-0021</t>
  </si>
  <si>
    <t xml:space="preserve"> 430U</t>
  </si>
  <si>
    <t xml:space="preserve">A. Fleming </t>
  </si>
  <si>
    <t>Andros, Bahamas</t>
  </si>
  <si>
    <t>ABE3 Park</t>
  </si>
  <si>
    <t xml:space="preserve">Afloat Environmental Protection Coordinator (Global Online) </t>
  </si>
  <si>
    <t>A-4J-0022</t>
  </si>
  <si>
    <t>09ER</t>
  </si>
  <si>
    <t>K. Seo</t>
  </si>
  <si>
    <t>Resident</t>
  </si>
  <si>
    <t>Bearup, Angie</t>
  </si>
  <si>
    <t>A-493-0014</t>
  </si>
  <si>
    <t>Benzick, Sue</t>
  </si>
  <si>
    <t>A-493-0015</t>
  </si>
  <si>
    <t>Baltimore, MD</t>
  </si>
  <si>
    <t>Carter, Amanda</t>
  </si>
  <si>
    <t>A-493-0019</t>
  </si>
  <si>
    <t>EMN2 Stowe</t>
  </si>
  <si>
    <t>A-493-0020</t>
  </si>
  <si>
    <t>CDR Schaal</t>
  </si>
  <si>
    <t>Bath, ME</t>
  </si>
  <si>
    <t>ABF3 Sherman</t>
  </si>
  <si>
    <t>A-493-0069</t>
  </si>
  <si>
    <t>450U</t>
  </si>
  <si>
    <t>LT Houston</t>
  </si>
  <si>
    <t>Beaufort, SC</t>
  </si>
  <si>
    <t xml:space="preserve">OS2 Zapata </t>
  </si>
  <si>
    <t>A-493-0070</t>
  </si>
  <si>
    <t>450V</t>
  </si>
  <si>
    <t>Weaver, Nicole</t>
  </si>
  <si>
    <t>Aviation Safety Specialist</t>
  </si>
  <si>
    <t>A-493-0065</t>
  </si>
  <si>
    <t>399A</t>
  </si>
  <si>
    <t>Vacant</t>
  </si>
  <si>
    <t>ABH3 Sutherland</t>
  </si>
  <si>
    <t xml:space="preserve">Aviation Safety Specialist (Global Online) </t>
  </si>
  <si>
    <t>A-493-0665</t>
  </si>
  <si>
    <t>10KW</t>
  </si>
  <si>
    <t>Camp Butler, Japan</t>
  </si>
  <si>
    <t>A-493-0030</t>
  </si>
  <si>
    <t>286X</t>
  </si>
  <si>
    <t>Camp Lejeune, NC</t>
  </si>
  <si>
    <t>A-493-0021</t>
  </si>
  <si>
    <t>18BN</t>
  </si>
  <si>
    <t>LTJG Andrew</t>
  </si>
  <si>
    <t>Camp Pendleton, CA</t>
  </si>
  <si>
    <t>A-493-0033</t>
  </si>
  <si>
    <t>287A</t>
  </si>
  <si>
    <t>LCDR Overton</t>
  </si>
  <si>
    <t>Cherry Point, NC</t>
  </si>
  <si>
    <t>A-760-2166</t>
  </si>
  <si>
    <t>438J</t>
  </si>
  <si>
    <t>LT. Bozenski</t>
  </si>
  <si>
    <t>A-493-0012</t>
  </si>
  <si>
    <t>A-493-0013</t>
  </si>
  <si>
    <t>A-493-0099</t>
  </si>
  <si>
    <t>12JW</t>
  </si>
  <si>
    <t>Competent Person for Fall Protection Course (Resident)</t>
  </si>
  <si>
    <t>A-493-0103</t>
  </si>
  <si>
    <t>12JY</t>
  </si>
  <si>
    <t xml:space="preserve">Competent Person for Fall Protection Course (Global Online) </t>
  </si>
  <si>
    <t xml:space="preserve">A-493-0075 </t>
  </si>
  <si>
    <t>714U</t>
  </si>
  <si>
    <t>J. Houston</t>
  </si>
  <si>
    <t xml:space="preserve">General Industry Safety Standards (Global Online) </t>
  </si>
  <si>
    <t>A-493-0061</t>
  </si>
  <si>
    <t>288E</t>
  </si>
  <si>
    <t>Hazardous Material Control and Management [HMC&amp;M] Technician (Resident)</t>
  </si>
  <si>
    <t>A-322-2600</t>
  </si>
  <si>
    <t>438D</t>
  </si>
  <si>
    <t>Hazardous Material Control and Management [HMC&amp;M] Technician (Global Online)</t>
  </si>
  <si>
    <t>A-322-2604</t>
  </si>
  <si>
    <t>10ZZ</t>
  </si>
  <si>
    <t>A-493-0077</t>
  </si>
  <si>
    <t>0381</t>
  </si>
  <si>
    <t>Guam</t>
  </si>
  <si>
    <t>A-493-0083</t>
  </si>
  <si>
    <t>339E</t>
  </si>
  <si>
    <t>A-493-2300</t>
  </si>
  <si>
    <t>993F</t>
  </si>
  <si>
    <t>Jonathan Willson</t>
  </si>
  <si>
    <t>A-493-2301</t>
  </si>
  <si>
    <t>05ZD</t>
  </si>
  <si>
    <t>TBD</t>
  </si>
  <si>
    <t>Hachinohe, Japan</t>
  </si>
  <si>
    <t>A-493-0216</t>
  </si>
  <si>
    <t>12X8</t>
  </si>
  <si>
    <t>EMC Stroughn</t>
  </si>
  <si>
    <t>Hakozaki, Japan</t>
  </si>
  <si>
    <t>A-493-0092</t>
  </si>
  <si>
    <t>LS1 Scoggins</t>
  </si>
  <si>
    <t xml:space="preserve">Introduction to Hazardous Materials [Ashore] (Global Online) </t>
  </si>
  <si>
    <t>A-493-0331</t>
  </si>
  <si>
    <t>10UG</t>
  </si>
  <si>
    <t>M. Bailey</t>
  </si>
  <si>
    <t xml:space="preserve">Introduction to Industrial Hygiene for Safety Professionals (Global Online) </t>
  </si>
  <si>
    <t>A-493-0335</t>
  </si>
  <si>
    <t>09ND</t>
  </si>
  <si>
    <t>Iwakuni, Japan</t>
  </si>
  <si>
    <t>Introduction to Industrial Hygiene for Safety Professionals (Resident)</t>
  </si>
  <si>
    <t>A-493-0035</t>
  </si>
  <si>
    <t>287C</t>
  </si>
  <si>
    <t xml:space="preserve">Introduction to Naval Safety and Occupational Health (Global Online) </t>
  </si>
  <si>
    <t>A-493-0550</t>
  </si>
  <si>
    <t>09K5</t>
  </si>
  <si>
    <t>Introduction to Naval Safety and Occupational Health (Resident)</t>
  </si>
  <si>
    <t>A-493-0050</t>
  </si>
  <si>
    <t>287T</t>
  </si>
  <si>
    <t>Kings Bay, GA</t>
  </si>
  <si>
    <t xml:space="preserve">Machinery and Machine Guarding Standards (Global Online) </t>
  </si>
  <si>
    <t>A-493-0073</t>
  </si>
  <si>
    <t>714S</t>
  </si>
  <si>
    <t>Kingsville, TX</t>
  </si>
  <si>
    <t xml:space="preserve">Mishap Investigation (Global Online) </t>
  </si>
  <si>
    <t>A-493-0078</t>
  </si>
  <si>
    <t xml:space="preserve">NAVOSH Assessment Tools &amp; Strategies (Global Online) </t>
  </si>
  <si>
    <t>A-493-0889</t>
  </si>
  <si>
    <t>11C5</t>
  </si>
  <si>
    <t>Little Creek, VA</t>
  </si>
  <si>
    <t>A-493-0085</t>
  </si>
  <si>
    <t>Manchester, WA</t>
  </si>
  <si>
    <t>A-493-2501</t>
  </si>
  <si>
    <t>05ZE</t>
  </si>
  <si>
    <t>MARFORRES</t>
  </si>
  <si>
    <t>Operational Risk Management Application &amp; Integration (Global Online)</t>
  </si>
  <si>
    <t>A-570-0100</t>
  </si>
  <si>
    <t>18B7</t>
  </si>
  <si>
    <t>Marianas</t>
  </si>
  <si>
    <t>A-493-0072</t>
  </si>
  <si>
    <t>713U</t>
  </si>
  <si>
    <t>Marine Corps Base Hawaii</t>
  </si>
  <si>
    <t>Safety Managers Course</t>
  </si>
  <si>
    <t>A-4J-0019</t>
  </si>
  <si>
    <t>28SL/285M</t>
  </si>
  <si>
    <t>Safety Programs Afloat (Resident)</t>
  </si>
  <si>
    <t>A-493-2099</t>
  </si>
  <si>
    <t>438G</t>
  </si>
  <si>
    <t>Miramar, CA</t>
  </si>
  <si>
    <t xml:space="preserve">Safety Programs Afloat (Global Online) </t>
  </si>
  <si>
    <t>A-493-2098</t>
  </si>
  <si>
    <t>09WW</t>
  </si>
  <si>
    <t>Misawa, Japan</t>
  </si>
  <si>
    <t xml:space="preserve">Staff Training </t>
  </si>
  <si>
    <t>Staff</t>
  </si>
  <si>
    <t>Submarine Safety Officer</t>
  </si>
  <si>
    <t>F-4J-0020</t>
  </si>
  <si>
    <t>961Z</t>
  </si>
  <si>
    <t>NAVFAC Midlant</t>
  </si>
  <si>
    <t xml:space="preserve">Submarine Safety Officer (Global Online) </t>
  </si>
  <si>
    <t>F-4J-0023</t>
  </si>
  <si>
    <t>11A2</t>
  </si>
  <si>
    <t>A-493-2017</t>
  </si>
  <si>
    <t>12x3</t>
  </si>
  <si>
    <t>Professional Development Symposium</t>
  </si>
  <si>
    <t>PDS</t>
  </si>
  <si>
    <t>Holiday</t>
  </si>
  <si>
    <t>Norfolk Naval Shipyard</t>
  </si>
  <si>
    <t>Classroom Reserved</t>
  </si>
  <si>
    <t>NA</t>
  </si>
  <si>
    <t>Norfolk, VA</t>
  </si>
  <si>
    <t>Command Function</t>
  </si>
  <si>
    <t>Norfolk, VA Naval Safety Command</t>
  </si>
  <si>
    <t>Norfolk, VA Other</t>
  </si>
  <si>
    <t>Oceanan,VA</t>
  </si>
  <si>
    <t>Ownings Mills, MD</t>
  </si>
  <si>
    <t>PMRF Barking Sands</t>
  </si>
  <si>
    <t>Point Loma, CA</t>
  </si>
  <si>
    <t>Point Mugu, CA</t>
  </si>
  <si>
    <t>Portsmouth, MA</t>
  </si>
  <si>
    <t>Portsmouth, VA</t>
  </si>
  <si>
    <t>Puget Sound Manchester, WA</t>
  </si>
  <si>
    <t>Puget Sound, WA</t>
  </si>
  <si>
    <t>Quantico, VA</t>
  </si>
  <si>
    <t>Sam Houston, TX</t>
  </si>
  <si>
    <t>San Nicolas Island, CA</t>
  </si>
  <si>
    <t>Saratoga Springs, NY</t>
  </si>
  <si>
    <t>Tinker AFB, OK</t>
  </si>
  <si>
    <t>Tsurumi, Japan</t>
  </si>
  <si>
    <t>Twentynice Palms, CA</t>
  </si>
  <si>
    <t>Ventura County, CA</t>
  </si>
  <si>
    <t xml:space="preserve">Virginia Beach, VA </t>
  </si>
  <si>
    <t>White Sands, NM</t>
  </si>
  <si>
    <t>Whiting Field, FL</t>
  </si>
  <si>
    <t>Yorktown, VA</t>
  </si>
  <si>
    <t>Yuma, AZ</t>
  </si>
  <si>
    <t>Parris Island, SC</t>
  </si>
  <si>
    <t>Last Modified</t>
  </si>
  <si>
    <t>Start of the FY 24</t>
  </si>
  <si>
    <t>Progress during FY 24</t>
  </si>
  <si>
    <t>Info</t>
  </si>
  <si>
    <t>CTR</t>
  </si>
  <si>
    <t>Dept</t>
  </si>
  <si>
    <t>Fleet Quota Need</t>
  </si>
  <si>
    <t>Total Grads</t>
  </si>
  <si>
    <t>Total Registered</t>
  </si>
  <si>
    <t>Total Waitlisted</t>
  </si>
  <si>
    <t>Total Walk-in</t>
  </si>
  <si>
    <t>No Shows</t>
  </si>
  <si>
    <t>To date quotas unused (Open quotas+ no shows)</t>
  </si>
  <si>
    <t>Sunk Courses due to unused quotas todate</t>
  </si>
  <si>
    <t>Grads needed this FY towards planned quotas</t>
  </si>
  <si>
    <t># of course completion reports to be processed</t>
  </si>
  <si>
    <t># of courses remaining</t>
  </si>
  <si>
    <t>To date % of graduates towards Fleet Need</t>
  </si>
  <si>
    <t>% of available quotas used</t>
  </si>
  <si>
    <t>% of available quotas used counting in no shows</t>
  </si>
  <si>
    <t>Remaining Open Quotas FY24 QTR 4</t>
  </si>
  <si>
    <t># of additional grads if all quotas are filled of course results remaining to be processed</t>
  </si>
  <si>
    <t>Difference between completed and fleet need of completed, potentially remaining quotas, and processed courses</t>
  </si>
  <si>
    <t>Comments</t>
  </si>
  <si>
    <t>To-Date Course Information Based on Processed Rosters</t>
  </si>
  <si>
    <t>Course Offerings Todate</t>
  </si>
  <si>
    <t>Online</t>
  </si>
  <si>
    <t>Quotas Per Convening</t>
  </si>
  <si>
    <t>Quotas Provided</t>
  </si>
  <si>
    <t>Quotas Used</t>
  </si>
  <si>
    <t>Fails</t>
  </si>
  <si>
    <t>Walk-ins</t>
  </si>
  <si>
    <t>EEM</t>
  </si>
  <si>
    <t>Course Type</t>
  </si>
  <si>
    <r>
      <rPr>
        <b/>
        <sz val="10"/>
        <color rgb="FF000000"/>
        <rFont val="Calibri"/>
      </rPr>
      <t xml:space="preserve">Quotas Used </t>
    </r>
    <r>
      <rPr>
        <b/>
        <sz val="8"/>
        <color rgb="FF000000"/>
        <rFont val="Calibri"/>
      </rPr>
      <t>(Grads, Fails, No-Shows)</t>
    </r>
  </si>
  <si>
    <t>Grads</t>
  </si>
  <si>
    <t>% Grads</t>
  </si>
  <si>
    <t>%Fails</t>
  </si>
  <si>
    <t>No-Show</t>
  </si>
  <si>
    <t>%No-Shows</t>
  </si>
  <si>
    <t>Walk-in</t>
  </si>
  <si>
    <t>%Walk-in</t>
  </si>
  <si>
    <t>Safety</t>
  </si>
  <si>
    <t>(Multiple Items)</t>
  </si>
  <si>
    <t>Sum of Quotas</t>
  </si>
  <si>
    <t>Sum of Graduates</t>
  </si>
  <si>
    <t>Sum of Fail</t>
  </si>
  <si>
    <t>Sum of No Shows</t>
  </si>
  <si>
    <t>1. Click ^^^</t>
  </si>
  <si>
    <t>Grads+Fails</t>
  </si>
  <si>
    <t>Grads+Fails+NoShows</t>
  </si>
  <si>
    <t xml:space="preserve">CDP </t>
  </si>
  <si>
    <t>Start Date</t>
  </si>
  <si>
    <t>End Date</t>
  </si>
  <si>
    <t>Resident Local Start Time of location</t>
  </si>
  <si>
    <t>cancelled on 4 OCT</t>
  </si>
  <si>
    <t>Norfolk, VA Bldg SP-17</t>
  </si>
  <si>
    <t>Cancelled on 13 OCT</t>
  </si>
  <si>
    <t>Confined Space</t>
  </si>
  <si>
    <t>Canceled on 20 Sept</t>
  </si>
  <si>
    <t>Cancelled on 16 Oct</t>
  </si>
  <si>
    <t>Canceled on 12 Sept</t>
  </si>
  <si>
    <t>Cancelled on 5 OCT</t>
  </si>
  <si>
    <t>Cancelled on 17 Oct</t>
  </si>
  <si>
    <t>USMC</t>
  </si>
  <si>
    <t>cancelled 3 JAN</t>
  </si>
  <si>
    <t>cancelled 14 DEC</t>
  </si>
  <si>
    <t>NAVSUP FLC Yokosuka – Sasebo, Japan</t>
  </si>
  <si>
    <t>4/11/20224</t>
  </si>
  <si>
    <t>Guantonimo Bay, Cuba</t>
  </si>
  <si>
    <t>Canceled on 14 Sept</t>
  </si>
  <si>
    <t>Cancelled 4Jan</t>
  </si>
  <si>
    <t>Cancelled 17JAN</t>
  </si>
  <si>
    <t>Cancelled 19JAN</t>
  </si>
  <si>
    <t>Cancelled 2FEB</t>
  </si>
  <si>
    <t>Cancelled 5 FEB</t>
  </si>
  <si>
    <t>Jacksonville</t>
  </si>
  <si>
    <t>cancelled 6 FEB</t>
  </si>
  <si>
    <t>cancelled FEB 7th</t>
  </si>
  <si>
    <t>cancelled 9 FEB low enroll</t>
  </si>
  <si>
    <t>cancelled 23 FEB low enroll</t>
  </si>
  <si>
    <t>05zd</t>
  </si>
  <si>
    <t>USMC- CANCELLED 6 MAR</t>
  </si>
  <si>
    <t>cancelled 19 MAR</t>
  </si>
  <si>
    <t>Moved to 13-16 AUG 2024</t>
  </si>
  <si>
    <t>cancelled on April 4</t>
  </si>
  <si>
    <t>cancelled on Arpil 4</t>
  </si>
  <si>
    <t>cancelled on May 7</t>
  </si>
  <si>
    <t>0800</t>
  </si>
  <si>
    <t>cancelled on May 10</t>
  </si>
  <si>
    <t>cancelled on May 17</t>
  </si>
  <si>
    <t>Cancelled 29 May</t>
  </si>
  <si>
    <t>Cancelled 30 May</t>
  </si>
  <si>
    <t>cancelled 15 July</t>
  </si>
  <si>
    <t>cancelled 8/8/24</t>
  </si>
  <si>
    <t>Cancelled 21 AUG</t>
  </si>
  <si>
    <t>Course</t>
  </si>
  <si>
    <t xml:space="preserve">EST/EDT Local Live Session Start Time </t>
  </si>
  <si>
    <t xml:space="preserve">PST/PDT Local Live Session Start Time </t>
  </si>
  <si>
    <t xml:space="preserve">AST Local Live Session Start Time </t>
  </si>
  <si>
    <t xml:space="preserve">CET/CEST Local Live Session Start Time </t>
  </si>
  <si>
    <t xml:space="preserve">HST Local Live Session Start Time </t>
  </si>
  <si>
    <t xml:space="preserve">JST Local Live Session Start Time </t>
  </si>
  <si>
    <t>Survey</t>
  </si>
  <si>
    <t>Survey Results</t>
  </si>
  <si>
    <t>Contract Cost</t>
  </si>
  <si>
    <t>Travel Cost</t>
  </si>
  <si>
    <t>Material Cost</t>
  </si>
  <si>
    <t>Course Length (Days)</t>
  </si>
  <si>
    <t>Needs Assessment</t>
  </si>
  <si>
    <t>Registered</t>
  </si>
  <si>
    <t>Waitlisted</t>
  </si>
  <si>
    <t>Graduates</t>
  </si>
  <si>
    <t>Fail</t>
  </si>
  <si>
    <t>Foreign Grads</t>
  </si>
  <si>
    <t>Roster Due</t>
  </si>
  <si>
    <t>Roster Status</t>
  </si>
  <si>
    <t>Remaining Courses</t>
  </si>
  <si>
    <t>Special-CNAL</t>
  </si>
  <si>
    <t>Columbus Day</t>
  </si>
  <si>
    <t>NSETC Staff Training Day</t>
  </si>
  <si>
    <t>Special-Shift from Mayport</t>
  </si>
  <si>
    <t>NPASE C School POC: LT Houston</t>
  </si>
  <si>
    <t>Veterans Day</t>
  </si>
  <si>
    <t>Thanksgiving Potluck</t>
  </si>
  <si>
    <t>1100</t>
  </si>
  <si>
    <t>Thanksgiving</t>
  </si>
  <si>
    <t>IH Indoc</t>
  </si>
  <si>
    <t>All Hands @0900</t>
  </si>
  <si>
    <t>RMI Training POC Mike Bailey</t>
  </si>
  <si>
    <t>Christmas Function</t>
  </si>
  <si>
    <t>Christmas Day</t>
  </si>
  <si>
    <t>New Year's Day</t>
  </si>
  <si>
    <t>JBPHH</t>
  </si>
  <si>
    <t>MLK Day</t>
  </si>
  <si>
    <t>23-26 Jan</t>
  </si>
  <si>
    <t>Washington's Birthday</t>
  </si>
  <si>
    <t>Pilot</t>
  </si>
  <si>
    <t>Special-Do not Spread(Sea Bees)</t>
  </si>
  <si>
    <t>Special-Do not Spread(USS GEORGE WASHINGTON (CVN 73)</t>
  </si>
  <si>
    <t>Special for USMC</t>
  </si>
  <si>
    <t>Location change</t>
  </si>
  <si>
    <t>Target Area: Sigonella, Italy</t>
  </si>
  <si>
    <t>NAVSUP FLC  Sasebo Detachment, Japan</t>
  </si>
  <si>
    <t>0</t>
  </si>
  <si>
    <t>Target Area: Souda Bay, Greece</t>
  </si>
  <si>
    <t>NAVSUP FLC Yokosuka – Hachinohe Detachment</t>
  </si>
  <si>
    <t>USAF Special Convening do not spread quotas</t>
  </si>
  <si>
    <t>NAVSUP FLC Yokosuka – Hakozaki Detachment</t>
  </si>
  <si>
    <t>NAVSUP FLC Yokosuka – Tsurumi Detachment</t>
  </si>
  <si>
    <t>POC: Adrian Sexton USFF N43 Support 1200-1700</t>
  </si>
  <si>
    <t>Memorial Day</t>
  </si>
  <si>
    <t>Juneteenth</t>
  </si>
  <si>
    <t>July 4th Function</t>
  </si>
  <si>
    <t>Independence Day</t>
  </si>
  <si>
    <t>Bremerton WA</t>
  </si>
  <si>
    <t>SMT Special Convening for USMC</t>
  </si>
  <si>
    <t>ash</t>
  </si>
  <si>
    <t>USAF special convening do not spread quotas</t>
  </si>
  <si>
    <t>HR course</t>
  </si>
  <si>
    <t>Labor Day</t>
  </si>
  <si>
    <t>Pilot-Do not Spread Quotas</t>
  </si>
  <si>
    <t>USMC Special</t>
  </si>
  <si>
    <t>Barking 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</si>
</sst>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hhmm"/>
  </numFmts>
  <fonts count="3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color rgb="FFFFFFFF"/>
      <name val="Calibri"/>
      <family val="2"/>
      <scheme val="minor"/>
    </font>
    <font>
      <b/>
      <strike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scheme val="minor"/>
    </font>
    <font>
      <sz val="11"/>
      <color rgb="FF000000"/>
      <name val="Calibri"/>
    </font>
    <font>
      <b/>
      <sz val="11"/>
      <name val="Calibri"/>
      <scheme val="minor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</font>
    <font>
      <b/>
      <sz val="8"/>
      <color rgb="FF000000"/>
      <name val="Calibri"/>
    </font>
    <font>
      <b/>
      <sz val="11"/>
      <color rgb="FF000000"/>
      <name val="Calibri"/>
      <scheme val="minor"/>
    </font>
    <font>
      <b/>
      <strike/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family val="2"/>
      <charset val="1"/>
    </font>
    <font>
      <b/>
      <u val="double"/>
      <sz val="11"/>
      <color rgb="FF000000"/>
      <name val="Calibri"/>
      <family val="2"/>
      <scheme val="minor"/>
    </font>
    <font>
      <sz val="11"/>
      <color rgb="FF000000"/>
      <name val="Calibri"/>
      <charset val="1"/>
    </font>
    <font>
      <sz val="11"/>
      <color rgb="FF242424"/>
      <name val="Calibri"/>
      <family val="2"/>
      <charset val="1"/>
    </font>
    <font>
      <sz val="11"/>
      <color rgb="FF242424"/>
      <name val="Calibri"/>
      <charset val="1"/>
    </font>
    <font>
      <b/>
      <sz val="11"/>
      <color rgb="FF000000"/>
      <name val="Calibri"/>
      <charset val="1"/>
    </font>
    <font>
      <b/>
      <sz val="12"/>
      <name val="Calibri"/>
      <scheme val="minor"/>
    </font>
    <font>
      <sz val="12"/>
      <name val="Calibri"/>
      <scheme val="minor"/>
    </font>
    <font>
      <b/>
      <sz val="11"/>
      <color rgb="FF242424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6"/>
      </patternFill>
    </fill>
    <fill>
      <patternFill patternType="solid">
        <fgColor rgb="FFDDEBF7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</fills>
  <borders count="4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pivotButton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Protection="1">
      <protection locked="0"/>
    </xf>
    <xf numFmtId="1" fontId="1" fillId="0" borderId="0" xfId="0" applyNumberFormat="1" applyFont="1" applyAlignment="1">
      <alignment horizont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10" fontId="0" fillId="0" borderId="0" xfId="1" applyNumberFormat="1" applyFont="1" applyFill="1" applyAlignment="1">
      <alignment horizontal="center" wrapText="1"/>
    </xf>
    <xf numFmtId="10" fontId="0" fillId="0" borderId="0" xfId="0" applyNumberFormat="1" applyAlignment="1">
      <alignment horizontal="center" wrapText="1"/>
    </xf>
    <xf numFmtId="10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4" fillId="2" borderId="8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0" fontId="0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wrapText="1"/>
    </xf>
    <xf numFmtId="10" fontId="1" fillId="0" borderId="0" xfId="0" applyNumberFormat="1" applyFont="1" applyAlignment="1">
      <alignment horizontal="center" wrapText="1"/>
    </xf>
    <xf numFmtId="10" fontId="0" fillId="0" borderId="9" xfId="0" applyNumberFormat="1" applyBorder="1" applyAlignment="1">
      <alignment horizontal="center"/>
    </xf>
    <xf numFmtId="0" fontId="4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wrapText="1"/>
    </xf>
    <xf numFmtId="10" fontId="4" fillId="2" borderId="1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0" fillId="5" borderId="0" xfId="0" applyFill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13" xfId="0" applyFont="1" applyFill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hidden="1"/>
    </xf>
    <xf numFmtId="0" fontId="10" fillId="7" borderId="0" xfId="0" applyFont="1" applyFill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13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1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1" fontId="6" fillId="0" borderId="3" xfId="0" applyNumberFormat="1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1" fontId="6" fillId="0" borderId="14" xfId="0" applyNumberFormat="1" applyFont="1" applyBorder="1" applyAlignment="1" applyProtection="1">
      <alignment horizontal="center" vertical="center" wrapText="1"/>
      <protection hidden="1"/>
    </xf>
    <xf numFmtId="1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5" fillId="7" borderId="17" xfId="1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10" fontId="5" fillId="8" borderId="3" xfId="0" applyNumberFormat="1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left" vertical="center"/>
    </xf>
    <xf numFmtId="0" fontId="5" fillId="9" borderId="19" xfId="0" applyFont="1" applyFill="1" applyBorder="1" applyAlignment="1">
      <alignment horizontal="center" vertical="center" wrapText="1"/>
    </xf>
    <xf numFmtId="10" fontId="5" fillId="8" borderId="7" xfId="0" applyNumberFormat="1" applyFont="1" applyFill="1" applyBorder="1" applyAlignment="1">
      <alignment horizontal="center" vertical="center" wrapText="1"/>
    </xf>
    <xf numFmtId="10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0" xfId="0" applyFont="1" applyBorder="1" applyAlignment="1" applyProtection="1">
      <alignment horizontal="left" vertical="center" wrapText="1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10" fillId="7" borderId="24" xfId="0" applyFont="1" applyFill="1" applyBorder="1" applyAlignment="1">
      <alignment horizontal="left" vertical="center" wrapText="1"/>
    </xf>
    <xf numFmtId="0" fontId="10" fillId="7" borderId="24" xfId="0" applyFont="1" applyFill="1" applyBorder="1" applyAlignment="1">
      <alignment horizontal="center" vertical="center" wrapText="1"/>
    </xf>
    <xf numFmtId="3" fontId="10" fillId="8" borderId="28" xfId="0" applyNumberFormat="1" applyFont="1" applyFill="1" applyBorder="1" applyAlignment="1">
      <alignment horizontal="center" vertical="center"/>
    </xf>
    <xf numFmtId="3" fontId="10" fillId="6" borderId="27" xfId="0" applyNumberFormat="1" applyFont="1" applyFill="1" applyBorder="1" applyAlignment="1">
      <alignment horizontal="center" vertical="center"/>
    </xf>
    <xf numFmtId="9" fontId="10" fillId="7" borderId="24" xfId="1" applyFont="1" applyFill="1" applyBorder="1" applyAlignment="1">
      <alignment horizontal="center" vertical="center" wrapText="1"/>
    </xf>
    <xf numFmtId="9" fontId="10" fillId="8" borderId="28" xfId="1" applyFont="1" applyFill="1" applyBorder="1" applyAlignment="1">
      <alignment horizontal="center" vertical="center"/>
    </xf>
    <xf numFmtId="0" fontId="4" fillId="2" borderId="0" xfId="0" applyFont="1" applyFill="1"/>
    <xf numFmtId="9" fontId="0" fillId="2" borderId="0" xfId="1" applyFont="1" applyFill="1"/>
    <xf numFmtId="0" fontId="15" fillId="0" borderId="0" xfId="0" applyFont="1" applyAlignment="1">
      <alignment horizontal="left"/>
    </xf>
    <xf numFmtId="0" fontId="8" fillId="0" borderId="0" xfId="0" applyFont="1"/>
    <xf numFmtId="0" fontId="10" fillId="10" borderId="20" xfId="0" applyFont="1" applyFill="1" applyBorder="1" applyAlignment="1" applyProtection="1">
      <alignment horizontal="left" vertical="center" wrapText="1"/>
      <protection hidden="1"/>
    </xf>
    <xf numFmtId="14" fontId="11" fillId="0" borderId="0" xfId="0" applyNumberFormat="1" applyFont="1" applyAlignment="1">
      <alignment horizontal="center"/>
    </xf>
    <xf numFmtId="0" fontId="1" fillId="12" borderId="29" xfId="0" applyFont="1" applyFill="1" applyBorder="1" applyAlignment="1">
      <alignment horizontal="left"/>
    </xf>
    <xf numFmtId="0" fontId="14" fillId="0" borderId="0" xfId="0" applyFont="1"/>
    <xf numFmtId="0" fontId="11" fillId="0" borderId="0" xfId="0" applyFont="1"/>
    <xf numFmtId="0" fontId="14" fillId="0" borderId="25" xfId="0" applyFont="1" applyBorder="1"/>
    <xf numFmtId="14" fontId="14" fillId="0" borderId="0" xfId="0" applyNumberFormat="1" applyFont="1" applyAlignment="1">
      <alignment horizontal="center"/>
    </xf>
    <xf numFmtId="0" fontId="14" fillId="0" borderId="29" xfId="0" applyFont="1" applyBorder="1"/>
    <xf numFmtId="1" fontId="8" fillId="0" borderId="0" xfId="0" applyNumberFormat="1" applyFont="1" applyAlignment="1">
      <alignment horizontal="right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14" fontId="16" fillId="11" borderId="35" xfId="0" applyNumberFormat="1" applyFont="1" applyFill="1" applyBorder="1" applyAlignment="1">
      <alignment horizontal="center" vertical="center" wrapText="1"/>
    </xf>
    <xf numFmtId="0" fontId="19" fillId="0" borderId="0" xfId="0" applyFont="1"/>
    <xf numFmtId="1" fontId="19" fillId="0" borderId="0" xfId="0" applyNumberFormat="1" applyFont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 wrapText="1"/>
      <protection hidden="1"/>
    </xf>
    <xf numFmtId="0" fontId="6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0" fontId="20" fillId="0" borderId="0" xfId="0" applyFont="1"/>
    <xf numFmtId="14" fontId="16" fillId="0" borderId="30" xfId="0" applyNumberFormat="1" applyFont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5" fillId="9" borderId="36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hidden="1"/>
    </xf>
    <xf numFmtId="0" fontId="0" fillId="2" borderId="0" xfId="0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13" borderId="3" xfId="0" applyFill="1" applyBorder="1"/>
    <xf numFmtId="0" fontId="6" fillId="13" borderId="3" xfId="0" applyFont="1" applyFill="1" applyBorder="1" applyAlignment="1" applyProtection="1">
      <alignment horizontal="center" vertical="center" wrapText="1"/>
      <protection hidden="1"/>
    </xf>
    <xf numFmtId="0" fontId="10" fillId="7" borderId="38" xfId="0" applyFont="1" applyFill="1" applyBorder="1" applyAlignment="1">
      <alignment horizontal="center" vertical="center" wrapText="1"/>
    </xf>
    <xf numFmtId="3" fontId="10" fillId="8" borderId="39" xfId="0" applyNumberFormat="1" applyFont="1" applyFill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/>
    </xf>
    <xf numFmtId="9" fontId="0" fillId="0" borderId="3" xfId="1" applyFont="1" applyFill="1" applyBorder="1"/>
    <xf numFmtId="0" fontId="1" fillId="0" borderId="0" xfId="0" applyFont="1" applyAlignment="1" applyProtection="1">
      <alignment horizontal="left" vertical="center"/>
      <protection hidden="1"/>
    </xf>
    <xf numFmtId="0" fontId="10" fillId="7" borderId="0" xfId="0" applyFont="1" applyFill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/>
      <protection hidden="1"/>
    </xf>
    <xf numFmtId="0" fontId="10" fillId="10" borderId="3" xfId="0" applyFont="1" applyFill="1" applyBorder="1" applyAlignment="1" applyProtection="1">
      <alignment horizontal="left" vertical="center"/>
      <protection hidden="1"/>
    </xf>
    <xf numFmtId="0" fontId="0" fillId="2" borderId="3" xfId="0" applyFill="1" applyBorder="1"/>
    <xf numFmtId="0" fontId="10" fillId="7" borderId="38" xfId="0" applyFont="1" applyFill="1" applyBorder="1" applyAlignment="1">
      <alignment horizontal="left" vertical="center"/>
    </xf>
    <xf numFmtId="0" fontId="21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10" fontId="0" fillId="0" borderId="3" xfId="1" applyNumberFormat="1" applyFont="1" applyFill="1" applyBorder="1"/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5" fillId="0" borderId="0" xfId="0" applyNumberFormat="1" applyFont="1"/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right"/>
    </xf>
    <xf numFmtId="0" fontId="15" fillId="0" borderId="0" xfId="0" applyFont="1" applyProtection="1">
      <protection locked="0"/>
    </xf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165" fontId="15" fillId="0" borderId="0" xfId="0" quotePrefix="1" applyNumberFormat="1" applyFont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" fontId="8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1" fontId="26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1" fontId="15" fillId="0" borderId="0" xfId="0" applyNumberFormat="1" applyFont="1" applyAlignment="1">
      <alignment horizontal="left"/>
    </xf>
    <xf numFmtId="0" fontId="8" fillId="0" borderId="0" xfId="0" applyFont="1" applyProtection="1">
      <protection locked="0"/>
    </xf>
    <xf numFmtId="0" fontId="15" fillId="0" borderId="0" xfId="0" applyFont="1" applyAlignment="1">
      <alignment horizontal="right"/>
    </xf>
    <xf numFmtId="14" fontId="26" fillId="0" borderId="25" xfId="0" applyNumberFormat="1" applyFont="1" applyBorder="1" applyAlignment="1">
      <alignment horizontal="center" vertical="center"/>
    </xf>
    <xf numFmtId="165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right" vertical="center"/>
    </xf>
    <xf numFmtId="14" fontId="8" fillId="0" borderId="25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/>
    </xf>
    <xf numFmtId="14" fontId="14" fillId="0" borderId="0" xfId="0" applyNumberFormat="1" applyFont="1" applyAlignment="1">
      <alignment horizontal="center" wrapText="1"/>
    </xf>
    <xf numFmtId="0" fontId="8" fillId="0" borderId="25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26" fillId="0" borderId="25" xfId="0" applyFont="1" applyBorder="1" applyAlignment="1">
      <alignment horizontal="left"/>
    </xf>
    <xf numFmtId="0" fontId="18" fillId="0" borderId="0" xfId="0" applyFont="1"/>
    <xf numFmtId="0" fontId="16" fillId="11" borderId="35" xfId="0" applyFont="1" applyFill="1" applyBorder="1" applyAlignment="1">
      <alignment horizontal="center" vertical="center"/>
    </xf>
    <xf numFmtId="0" fontId="16" fillId="11" borderId="35" xfId="0" applyFont="1" applyFill="1" applyBorder="1" applyAlignment="1">
      <alignment horizontal="center" vertical="center" wrapText="1"/>
    </xf>
    <xf numFmtId="49" fontId="16" fillId="11" borderId="35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27" fillId="0" borderId="0" xfId="0" applyFont="1"/>
    <xf numFmtId="14" fontId="24" fillId="0" borderId="25" xfId="0" applyNumberFormat="1" applyFont="1" applyBorder="1" applyAlignment="1">
      <alignment horizontal="center" vertical="center"/>
    </xf>
    <xf numFmtId="165" fontId="24" fillId="0" borderId="0" xfId="0" quotePrefix="1" applyNumberFormat="1" applyFont="1" applyAlignment="1">
      <alignment horizontal="center" vertical="center"/>
    </xf>
    <xf numFmtId="0" fontId="29" fillId="0" borderId="0" xfId="0" applyFont="1"/>
    <xf numFmtId="49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16" fillId="11" borderId="35" xfId="0" applyNumberFormat="1" applyFont="1" applyFill="1" applyBorder="1" applyAlignment="1">
      <alignment vertical="center" wrapText="1"/>
    </xf>
    <xf numFmtId="14" fontId="1" fillId="0" borderId="0" xfId="0" applyNumberFormat="1" applyFont="1" applyAlignment="1">
      <alignment vertical="center"/>
    </xf>
    <xf numFmtId="14" fontId="8" fillId="0" borderId="0" xfId="0" applyNumberFormat="1" applyFont="1" applyAlignment="1">
      <alignment vertical="center"/>
    </xf>
    <xf numFmtId="14" fontId="11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20" fillId="0" borderId="25" xfId="0" applyNumberFormat="1" applyFont="1" applyBorder="1" applyAlignment="1">
      <alignment horizontal="center"/>
    </xf>
    <xf numFmtId="0" fontId="30" fillId="0" borderId="0" xfId="0" applyFont="1"/>
    <xf numFmtId="0" fontId="31" fillId="0" borderId="0" xfId="0" applyFont="1"/>
    <xf numFmtId="14" fontId="26" fillId="0" borderId="0" xfId="0" applyNumberFormat="1" applyFont="1" applyAlignment="1">
      <alignment vertical="center"/>
    </xf>
    <xf numFmtId="14" fontId="15" fillId="0" borderId="25" xfId="0" applyNumberFormat="1" applyFont="1" applyBorder="1" applyAlignment="1">
      <alignment horizontal="center" vertical="center"/>
    </xf>
    <xf numFmtId="0" fontId="15" fillId="14" borderId="0" xfId="0" applyFont="1" applyFill="1" applyAlignment="1">
      <alignment horizontal="left"/>
    </xf>
    <xf numFmtId="0" fontId="15" fillId="14" borderId="0" xfId="0" applyFont="1" applyFill="1" applyAlignment="1">
      <alignment horizontal="center" vertical="center"/>
    </xf>
    <xf numFmtId="14" fontId="15" fillId="14" borderId="0" xfId="0" applyNumberFormat="1" applyFont="1" applyFill="1" applyAlignment="1">
      <alignment horizontal="center" vertical="center"/>
    </xf>
    <xf numFmtId="1" fontId="15" fillId="0" borderId="0" xfId="0" applyNumberFormat="1" applyFont="1" applyAlignment="1">
      <alignment horizontal="right" vertical="center"/>
    </xf>
    <xf numFmtId="0" fontId="26" fillId="0" borderId="29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15" fillId="0" borderId="31" xfId="0" applyFont="1" applyBorder="1" applyAlignment="1">
      <alignment horizontal="left"/>
    </xf>
    <xf numFmtId="0" fontId="15" fillId="14" borderId="0" xfId="0" applyFont="1" applyFill="1"/>
    <xf numFmtId="0" fontId="20" fillId="14" borderId="0" xfId="0" applyFont="1" applyFill="1"/>
    <xf numFmtId="19" fontId="8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0" fillId="0" borderId="25" xfId="0" applyFont="1" applyBorder="1"/>
    <xf numFmtId="0" fontId="33" fillId="10" borderId="3" xfId="0" applyFont="1" applyFill="1" applyBorder="1" applyAlignment="1" applyProtection="1">
      <alignment horizontal="left" vertical="center"/>
      <protection hidden="1"/>
    </xf>
    <xf numFmtId="0" fontId="34" fillId="0" borderId="3" xfId="0" applyFont="1" applyBorder="1" applyAlignment="1" applyProtection="1">
      <alignment horizontal="center" vertical="center" wrapText="1"/>
      <protection hidden="1"/>
    </xf>
    <xf numFmtId="0" fontId="34" fillId="2" borderId="3" xfId="0" applyFont="1" applyFill="1" applyBorder="1" applyAlignment="1" applyProtection="1">
      <alignment horizontal="center" vertical="center" wrapText="1"/>
      <protection hidden="1"/>
    </xf>
    <xf numFmtId="0" fontId="34" fillId="2" borderId="3" xfId="0" applyFont="1" applyFill="1" applyBorder="1" applyAlignment="1" applyProtection="1">
      <alignment horizontal="center" vertical="center"/>
      <protection hidden="1"/>
    </xf>
    <xf numFmtId="0" fontId="34" fillId="15" borderId="3" xfId="0" applyFont="1" applyFill="1" applyBorder="1" applyAlignment="1" applyProtection="1">
      <alignment horizontal="center" vertical="center" wrapText="1"/>
      <protection hidden="1"/>
    </xf>
    <xf numFmtId="0" fontId="35" fillId="0" borderId="0" xfId="0" applyFont="1"/>
    <xf numFmtId="0" fontId="15" fillId="0" borderId="3" xfId="0" applyFont="1" applyBorder="1" applyAlignment="1">
      <alignment horizontal="left"/>
    </xf>
    <xf numFmtId="14" fontId="15" fillId="0" borderId="3" xfId="0" applyNumberFormat="1" applyFont="1" applyBorder="1" applyAlignment="1">
      <alignment horizontal="center" vertical="center"/>
    </xf>
    <xf numFmtId="0" fontId="32" fillId="0" borderId="0" xfId="0" applyFont="1"/>
    <xf numFmtId="16" fontId="24" fillId="0" borderId="0" xfId="0" applyNumberFormat="1" applyFont="1" applyAlignment="1">
      <alignment horizontal="left"/>
    </xf>
    <xf numFmtId="0" fontId="8" fillId="2" borderId="0" xfId="0" applyFont="1" applyFill="1"/>
    <xf numFmtId="165" fontId="14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left"/>
    </xf>
    <xf numFmtId="1" fontId="8" fillId="2" borderId="0" xfId="0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center" vertical="center"/>
    </xf>
    <xf numFmtId="0" fontId="26" fillId="2" borderId="0" xfId="0" applyFont="1" applyFill="1"/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center" vertical="center"/>
    </xf>
    <xf numFmtId="14" fontId="26" fillId="2" borderId="0" xfId="0" applyNumberFormat="1" applyFont="1" applyFill="1" applyAlignment="1">
      <alignment horizontal="center" vertical="center"/>
    </xf>
    <xf numFmtId="165" fontId="26" fillId="2" borderId="0" xfId="0" applyNumberFormat="1" applyFont="1" applyFill="1" applyAlignment="1">
      <alignment horizontal="center" vertical="center"/>
    </xf>
    <xf numFmtId="1" fontId="26" fillId="2" borderId="0" xfId="0" applyNumberFormat="1" applyFont="1" applyFill="1" applyAlignment="1">
      <alignment horizontal="center"/>
    </xf>
    <xf numFmtId="1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/>
    </xf>
    <xf numFmtId="1" fontId="26" fillId="2" borderId="0" xfId="0" applyNumberFormat="1" applyFont="1" applyFill="1" applyAlignment="1">
      <alignment horizontal="right" vertical="center"/>
    </xf>
    <xf numFmtId="0" fontId="14" fillId="2" borderId="0" xfId="0" applyFont="1" applyFill="1"/>
    <xf numFmtId="165" fontId="26" fillId="2" borderId="0" xfId="0" quotePrefix="1" applyNumberFormat="1" applyFont="1" applyFill="1" applyAlignment="1">
      <alignment horizontal="center" vertical="center"/>
    </xf>
    <xf numFmtId="0" fontId="15" fillId="0" borderId="14" xfId="0" applyFont="1" applyBorder="1" applyAlignment="1">
      <alignment horizontal="left"/>
    </xf>
    <xf numFmtId="0" fontId="24" fillId="0" borderId="31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14" fontId="14" fillId="0" borderId="25" xfId="0" applyNumberFormat="1" applyFont="1" applyBorder="1" applyAlignment="1">
      <alignment horizontal="center"/>
    </xf>
    <xf numFmtId="0" fontId="8" fillId="2" borderId="0" xfId="0" applyFont="1" applyFill="1" applyAlignment="1">
      <alignment vertical="center"/>
    </xf>
    <xf numFmtId="14" fontId="15" fillId="0" borderId="32" xfId="0" applyNumberFormat="1" applyFont="1" applyBorder="1" applyAlignment="1">
      <alignment horizontal="center" vertical="center"/>
    </xf>
    <xf numFmtId="14" fontId="15" fillId="0" borderId="33" xfId="0" applyNumberFormat="1" applyFont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" fontId="15" fillId="0" borderId="0" xfId="0" applyNumberFormat="1" applyFont="1" applyFill="1" applyAlignment="1">
      <alignment horizontal="center"/>
    </xf>
    <xf numFmtId="1" fontId="15" fillId="0" borderId="0" xfId="0" applyNumberFormat="1" applyFont="1" applyFill="1" applyAlignment="1">
      <alignment horizontal="right"/>
    </xf>
    <xf numFmtId="0" fontId="8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14" fillId="0" borderId="0" xfId="0" applyFont="1" applyBorder="1"/>
    <xf numFmtId="14" fontId="8" fillId="0" borderId="0" xfId="0" applyNumberFormat="1" applyFont="1" applyBorder="1" applyAlignment="1">
      <alignment horizontal="center" vertical="center"/>
    </xf>
    <xf numFmtId="14" fontId="26" fillId="0" borderId="0" xfId="0" applyNumberFormat="1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15" fillId="0" borderId="25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20" fillId="0" borderId="0" xfId="0" applyFont="1" applyBorder="1"/>
    <xf numFmtId="0" fontId="15" fillId="0" borderId="25" xfId="0" applyFont="1" applyBorder="1"/>
    <xf numFmtId="14" fontId="15" fillId="0" borderId="0" xfId="0" applyNumberFormat="1" applyFont="1" applyBorder="1" applyAlignment="1">
      <alignment horizontal="center" vertical="center"/>
    </xf>
    <xf numFmtId="14" fontId="20" fillId="0" borderId="0" xfId="0" applyNumberFormat="1" applyFont="1" applyBorder="1" applyAlignment="1">
      <alignment horizontal="center"/>
    </xf>
    <xf numFmtId="0" fontId="0" fillId="0" borderId="0" xfId="0" applyNumberFormat="1"/>
    <xf numFmtId="0" fontId="0" fillId="3" borderId="0" xfId="0" applyNumberFormat="1" applyFill="1"/>
    <xf numFmtId="0" fontId="8" fillId="0" borderId="0" xfId="0" applyFont="1" applyFill="1" applyAlignment="1">
      <alignment horizontal="center"/>
    </xf>
    <xf numFmtId="1" fontId="26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1" fontId="8" fillId="0" borderId="0" xfId="0" applyNumberFormat="1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Protection="1">
      <protection locked="0"/>
    </xf>
    <xf numFmtId="1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1" fontId="26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8" fillId="0" borderId="29" xfId="0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/>
    <xf numFmtId="0" fontId="26" fillId="0" borderId="0" xfId="0" applyFont="1" applyFill="1"/>
    <xf numFmtId="0" fontId="26" fillId="0" borderId="0" xfId="0" applyFont="1" applyFill="1" applyAlignment="1">
      <alignment horizontal="center" vertical="center"/>
    </xf>
    <xf numFmtId="14" fontId="26" fillId="0" borderId="0" xfId="0" applyNumberFormat="1" applyFont="1" applyFill="1" applyAlignment="1">
      <alignment horizontal="center" vertical="center"/>
    </xf>
    <xf numFmtId="165" fontId="26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right" vertical="center"/>
    </xf>
    <xf numFmtId="1" fontId="26" fillId="0" borderId="0" xfId="0" applyNumberFormat="1" applyFont="1" applyFill="1" applyAlignment="1">
      <alignment horizontal="right" vertical="center"/>
    </xf>
    <xf numFmtId="0" fontId="8" fillId="0" borderId="25" xfId="0" applyFont="1" applyFill="1" applyBorder="1" applyAlignment="1">
      <alignment horizontal="left"/>
    </xf>
    <xf numFmtId="165" fontId="14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left"/>
    </xf>
    <xf numFmtId="14" fontId="14" fillId="0" borderId="0" xfId="0" applyNumberFormat="1" applyFont="1" applyFill="1" applyAlignment="1">
      <alignment horizontal="center"/>
    </xf>
    <xf numFmtId="165" fontId="8" fillId="0" borderId="0" xfId="0" quotePrefix="1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14" fontId="15" fillId="0" borderId="0" xfId="0" applyNumberFormat="1" applyFont="1" applyFill="1" applyBorder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5" fillId="0" borderId="3" xfId="0" applyFont="1" applyFill="1" applyBorder="1" applyAlignment="1">
      <alignment horizontal="left"/>
    </xf>
    <xf numFmtId="14" fontId="15" fillId="0" borderId="25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1" fontId="15" fillId="0" borderId="0" xfId="0" applyNumberFormat="1" applyFont="1" applyFill="1"/>
    <xf numFmtId="0" fontId="24" fillId="0" borderId="25" xfId="0" applyFont="1" applyBorder="1" applyAlignment="1">
      <alignment horizontal="left"/>
    </xf>
    <xf numFmtId="14" fontId="20" fillId="0" borderId="25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14" fontId="20" fillId="0" borderId="0" xfId="0" applyNumberFormat="1" applyFont="1" applyFill="1" applyBorder="1" applyAlignment="1">
      <alignment horizontal="center"/>
    </xf>
    <xf numFmtId="14" fontId="26" fillId="2" borderId="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left"/>
    </xf>
    <xf numFmtId="1" fontId="24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165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Protection="1">
      <protection locked="0"/>
    </xf>
    <xf numFmtId="0" fontId="20" fillId="0" borderId="0" xfId="0" applyFont="1" applyFill="1"/>
    <xf numFmtId="0" fontId="24" fillId="0" borderId="0" xfId="0" applyFont="1" applyFill="1"/>
    <xf numFmtId="0" fontId="24" fillId="0" borderId="0" xfId="0" applyFont="1" applyFill="1" applyAlignment="1">
      <alignment horizontal="center" vertical="center"/>
    </xf>
    <xf numFmtId="14" fontId="24" fillId="0" borderId="0" xfId="0" applyNumberFormat="1" applyFont="1" applyFill="1" applyBorder="1" applyAlignment="1">
      <alignment horizontal="center" vertical="center"/>
    </xf>
    <xf numFmtId="165" fontId="15" fillId="0" borderId="0" xfId="0" quotePrefix="1" applyNumberFormat="1" applyFont="1" applyFill="1" applyAlignment="1">
      <alignment horizontal="center" vertical="center"/>
    </xf>
    <xf numFmtId="165" fontId="24" fillId="0" borderId="0" xfId="0" applyNumberFormat="1" applyFont="1" applyFill="1" applyAlignment="1">
      <alignment horizontal="center" vertical="center"/>
    </xf>
    <xf numFmtId="14" fontId="24" fillId="0" borderId="0" xfId="0" applyNumberFormat="1" applyFont="1" applyFill="1" applyAlignment="1">
      <alignment horizontal="center" vertical="center"/>
    </xf>
    <xf numFmtId="1" fontId="24" fillId="0" borderId="0" xfId="0" applyNumberFormat="1" applyFont="1" applyFill="1" applyAlignment="1">
      <alignment horizontal="center" vertical="center"/>
    </xf>
    <xf numFmtId="0" fontId="25" fillId="0" borderId="0" xfId="0" applyFont="1" applyFill="1" applyProtection="1">
      <protection locked="0"/>
    </xf>
    <xf numFmtId="0" fontId="15" fillId="0" borderId="0" xfId="0" applyFont="1" applyFill="1" applyAlignment="1" applyProtection="1">
      <alignment horizontal="left"/>
      <protection locked="0"/>
    </xf>
    <xf numFmtId="0" fontId="20" fillId="0" borderId="0" xfId="0" applyFont="1" applyFill="1" applyBorder="1"/>
    <xf numFmtId="1" fontId="8" fillId="0" borderId="0" xfId="0" applyNumberFormat="1" applyFont="1" applyFill="1"/>
    <xf numFmtId="1" fontId="15" fillId="0" borderId="0" xfId="0" applyNumberFormat="1" applyFont="1" applyFill="1" applyAlignment="1">
      <alignment horizontal="left"/>
    </xf>
    <xf numFmtId="14" fontId="15" fillId="0" borderId="0" xfId="0" applyNumberFormat="1" applyFont="1" applyFill="1" applyAlignment="1" applyProtection="1">
      <alignment horizontal="right" vertical="center"/>
      <protection locked="0"/>
    </xf>
    <xf numFmtId="0" fontId="27" fillId="0" borderId="0" xfId="0" applyFont="1" applyFill="1"/>
    <xf numFmtId="0" fontId="24" fillId="0" borderId="0" xfId="0" applyFont="1" applyFill="1" applyBorder="1" applyAlignment="1">
      <alignment horizontal="left"/>
    </xf>
    <xf numFmtId="1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4" fontId="15" fillId="0" borderId="0" xfId="0" applyNumberFormat="1" applyFont="1" applyFill="1" applyAlignment="1" applyProtection="1">
      <alignment horizontal="center" vertical="center"/>
      <protection locked="0"/>
    </xf>
    <xf numFmtId="165" fontId="24" fillId="0" borderId="0" xfId="0" quotePrefix="1" applyNumberFormat="1" applyFont="1" applyFill="1" applyAlignment="1">
      <alignment horizontal="center" vertical="center"/>
    </xf>
    <xf numFmtId="14" fontId="2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left"/>
    </xf>
    <xf numFmtId="14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 vertical="top" wrapText="1"/>
    </xf>
    <xf numFmtId="0" fontId="20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 vertical="center"/>
    </xf>
    <xf numFmtId="1" fontId="15" fillId="0" borderId="0" xfId="0" applyNumberFormat="1" applyFont="1" applyFill="1" applyAlignment="1">
      <alignment horizontal="right" vertical="center"/>
    </xf>
    <xf numFmtId="1" fontId="24" fillId="0" borderId="0" xfId="0" applyNumberFormat="1" applyFont="1" applyFill="1" applyAlignment="1">
      <alignment horizontal="right" vertical="center"/>
    </xf>
    <xf numFmtId="14" fontId="24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Protection="1">
      <protection locked="0"/>
    </xf>
    <xf numFmtId="0" fontId="15" fillId="0" borderId="0" xfId="0" quotePrefix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2" fillId="0" borderId="0" xfId="0" applyFont="1" applyFill="1"/>
    <xf numFmtId="165" fontId="20" fillId="0" borderId="0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left" vertical="center"/>
    </xf>
    <xf numFmtId="0" fontId="8" fillId="2" borderId="25" xfId="0" applyFont="1" applyFill="1" applyBorder="1" applyAlignment="1">
      <alignment horizontal="left"/>
    </xf>
    <xf numFmtId="0" fontId="26" fillId="2" borderId="25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14" fontId="8" fillId="0" borderId="25" xfId="0" applyNumberFormat="1" applyFont="1" applyFill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1" fontId="24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0" fillId="0" borderId="3" xfId="0" applyFont="1" applyBorder="1"/>
    <xf numFmtId="0" fontId="15" fillId="0" borderId="25" xfId="0" applyFont="1" applyFill="1" applyBorder="1" applyAlignment="1">
      <alignment horizontal="left"/>
    </xf>
    <xf numFmtId="0" fontId="15" fillId="0" borderId="29" xfId="0" applyFont="1" applyBorder="1" applyAlignment="1">
      <alignment horizontal="left"/>
    </xf>
    <xf numFmtId="14" fontId="20" fillId="0" borderId="3" xfId="0" applyNumberFormat="1" applyFont="1" applyBorder="1" applyAlignment="1">
      <alignment horizontal="center"/>
    </xf>
    <xf numFmtId="14" fontId="24" fillId="0" borderId="0" xfId="0" applyNumberFormat="1" applyFont="1" applyBorder="1" applyAlignment="1">
      <alignment horizontal="center" vertical="center"/>
    </xf>
    <xf numFmtId="14" fontId="15" fillId="0" borderId="29" xfId="0" applyNumberFormat="1" applyFont="1" applyBorder="1" applyAlignment="1">
      <alignment horizontal="center" vertical="center"/>
    </xf>
    <xf numFmtId="0" fontId="8" fillId="2" borderId="0" xfId="0" applyFont="1" applyFill="1" applyProtection="1">
      <protection locked="0"/>
    </xf>
    <xf numFmtId="0" fontId="24" fillId="0" borderId="25" xfId="0" applyFont="1" applyFill="1" applyBorder="1" applyAlignment="1">
      <alignment horizontal="left"/>
    </xf>
    <xf numFmtId="0" fontId="15" fillId="2" borderId="25" xfId="0" applyFont="1" applyFill="1" applyBorder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15" fillId="2" borderId="25" xfId="0" applyFont="1" applyFill="1" applyBorder="1" applyAlignment="1">
      <alignment horizontal="left" vertical="center"/>
    </xf>
    <xf numFmtId="14" fontId="20" fillId="2" borderId="25" xfId="0" applyNumberFormat="1" applyFont="1" applyFill="1" applyBorder="1" applyAlignment="1">
      <alignment horizontal="center" vertical="center"/>
    </xf>
    <xf numFmtId="14" fontId="20" fillId="2" borderId="0" xfId="0" applyNumberFormat="1" applyFont="1" applyFill="1" applyAlignment="1">
      <alignment horizontal="center" vertical="center"/>
    </xf>
    <xf numFmtId="165" fontId="20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1" fontId="15" fillId="2" borderId="0" xfId="0" applyNumberFormat="1" applyFont="1" applyFill="1" applyAlignment="1">
      <alignment horizontal="center"/>
    </xf>
    <xf numFmtId="1" fontId="15" fillId="2" borderId="0" xfId="0" applyNumberFormat="1" applyFont="1" applyFill="1" applyAlignment="1">
      <alignment horizontal="right" vertical="center"/>
    </xf>
    <xf numFmtId="0" fontId="15" fillId="0" borderId="3" xfId="0" applyFont="1" applyBorder="1"/>
    <xf numFmtId="0" fontId="8" fillId="12" borderId="29" xfId="0" applyFont="1" applyFill="1" applyBorder="1" applyAlignment="1">
      <alignment horizontal="left"/>
    </xf>
    <xf numFmtId="0" fontId="8" fillId="12" borderId="29" xfId="0" applyFont="1" applyFill="1" applyBorder="1" applyAlignment="1">
      <alignment horizontal="center" vertical="center"/>
    </xf>
    <xf numFmtId="0" fontId="14" fillId="12" borderId="29" xfId="0" applyFont="1" applyFill="1" applyBorder="1"/>
    <xf numFmtId="14" fontId="8" fillId="12" borderId="29" xfId="0" applyNumberFormat="1" applyFont="1" applyFill="1" applyBorder="1" applyAlignment="1">
      <alignment horizontal="center" vertical="center"/>
    </xf>
    <xf numFmtId="165" fontId="8" fillId="12" borderId="29" xfId="0" applyNumberFormat="1" applyFont="1" applyFill="1" applyBorder="1" applyAlignment="1">
      <alignment horizontal="center" vertical="center"/>
    </xf>
    <xf numFmtId="0" fontId="8" fillId="12" borderId="29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/>
    </xf>
    <xf numFmtId="0" fontId="15" fillId="2" borderId="31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5" fillId="14" borderId="3" xfId="0" applyFont="1" applyFill="1" applyBorder="1" applyAlignment="1">
      <alignment horizontal="left"/>
    </xf>
    <xf numFmtId="0" fontId="15" fillId="14" borderId="0" xfId="0" applyFont="1" applyFill="1" applyBorder="1" applyAlignment="1">
      <alignment horizontal="left"/>
    </xf>
    <xf numFmtId="0" fontId="15" fillId="14" borderId="25" xfId="0" applyFont="1" applyFill="1" applyBorder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0" fillId="7" borderId="22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left" vertical="center"/>
    </xf>
    <xf numFmtId="0" fontId="10" fillId="7" borderId="21" xfId="0" applyFont="1" applyFill="1" applyBorder="1" applyAlignment="1">
      <alignment horizontal="left" vertical="center" wrapText="1"/>
    </xf>
    <xf numFmtId="0" fontId="10" fillId="7" borderId="22" xfId="0" applyFont="1" applyFill="1" applyBorder="1" applyAlignment="1">
      <alignment horizontal="left" vertical="center" wrapText="1"/>
    </xf>
    <xf numFmtId="0" fontId="10" fillId="8" borderId="4" xfId="0" applyFont="1" applyFill="1" applyBorder="1" applyAlignment="1">
      <alignment horizontal="left" vertical="center"/>
    </xf>
    <xf numFmtId="0" fontId="10" fillId="8" borderId="37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54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ont>
        <color theme="9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bgColor rgb="FFFF0000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4472C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_(* #,##0_);_(* \(#,##0\);_(* &quot;-&quot;??_);_(@_)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%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4" formatCode="0.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4472C4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1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526.517793634259" createdVersion="6" refreshedVersion="8" minRefreshableVersion="3" recordCount="461" xr:uid="{00000000-000A-0000-FFFF-FFFF00000000}">
  <cacheSource type="worksheet">
    <worksheetSource name="Table2"/>
  </cacheSource>
  <cacheFields count="35">
    <cacheField name="Comments" numFmtId="0">
      <sharedItems containsDate="1" containsBlank="1" containsMixedTypes="1" minDate="2024-05-07T00:00:00" maxDate="2024-05-08T00:00:00"/>
    </cacheField>
    <cacheField name="Course" numFmtId="0">
      <sharedItems count="42">
        <s v="Afloat Environmental Protection Coordinator (Global Online) "/>
        <s v="Competent Person for Fall Protection Course (Resident)"/>
        <s v="Confined Space Safety"/>
        <s v="Hazardous Substance Incident Response Management (HSIRM)"/>
        <s v="Introduction to Naval Safety and Occupational Health (Global Online) "/>
        <s v="Mishap Investigation (Global Online) "/>
        <s v="Navy Ergonomics Program (Global Online)"/>
        <s v="Respiratory Protection Program Management"/>
        <s v="Hazardous Substance Incident Response Management (HSIRM) Refresher"/>
        <s v="Holiday"/>
        <s v="Asbestos Supervisor Refresher"/>
        <s v="Asbestos Inspector Refresher"/>
        <s v="Asbestos Management Planner Refresher"/>
        <s v="Classroom Reserved"/>
        <s v="Asbestos Supervisor Initial"/>
        <s v="Operational Risk Management Application &amp; Integration (Global Online)"/>
        <s v="Fall Protection Program Manager Course (Global Online)"/>
        <s v="Asbestos Inspector"/>
        <s v="Submarine Safety Officer (Global Online) "/>
        <s v="Fire Protection and Life Safety"/>
        <s v="Introduction to Hazardous Materials [Ashore] (Global Online) "/>
        <s v="Asbestos Management Planner "/>
        <s v="General Industry Safety Standards (Global Online) "/>
        <s v="Introduction to Industrial Hygiene for Safety Professionals (Global Online) "/>
        <s v="Industrial Noise"/>
        <s v="Command Function"/>
        <s v="Safety Programs Afloat (Global Online) "/>
        <s v="Facility Response Team (FRT) Five Day"/>
        <s v="Hazardous Material Control and Management [HMC&amp;M] Technician (Global Online)"/>
        <s v="Incident Command System 300 (ICS 300) Refresher"/>
        <s v="Oil Hazardous Substance Spill Response Tabletop Exercise (OHS TTX)"/>
        <s v="Aviation Safety Specialist (Global Online) "/>
        <s v="Machinery and Machine Guarding Standards (Global Online) "/>
        <s v="Incident Command System 300 (ICS 300)"/>
        <s v="Facility Response Team (FRT) Three Day"/>
        <s v="Incident Command System 400 (ICS 400)"/>
        <s v="Tank Managers "/>
        <s v="Safety Managers Course"/>
        <s v="Construction Safety Standards"/>
        <s v="Safety Programs Afloat (Resident)"/>
        <s v="Professional Development Symposium"/>
        <s v="Emergency Asbestos Response Team"/>
      </sharedItems>
    </cacheField>
    <cacheField name="CIN" numFmtId="0">
      <sharedItems/>
    </cacheField>
    <cacheField name="CDP " numFmtId="0">
      <sharedItems containsMixedTypes="1" containsNumber="1" containsInteger="1" minValue="1228" maxValue="5891"/>
    </cacheField>
    <cacheField name="Location" numFmtId="0">
      <sharedItems containsBlank="1"/>
    </cacheField>
    <cacheField name="Start Date" numFmtId="14">
      <sharedItems containsSemiMixedTypes="0" containsNonDate="0" containsDate="1" containsString="0" minDate="2023-10-02T00:00:00" maxDate="2024-09-28T00:00:00"/>
    </cacheField>
    <cacheField name="End Date" numFmtId="14">
      <sharedItems containsSemiMixedTypes="0" containsNonDate="0" containsDate="1" containsString="0" minDate="2023-10-04T00:00:00" maxDate="2024-09-28T00:00:00"/>
    </cacheField>
    <cacheField name="Resident Local Start Time of location" numFmtId="0">
      <sharedItems containsNonDate="0" containsDate="1" containsBlank="1" containsMixedTypes="1" minDate="1899-12-30T00:00:00" maxDate="1902-03-11T00:00:00"/>
    </cacheField>
    <cacheField name="EST/EDT Local Live Session Start Time " numFmtId="0">
      <sharedItems containsNonDate="0" containsDate="1" containsString="0" containsBlank="1" minDate="1899-12-30T00:00:00" maxDate="1903-01-04T11:00:00"/>
    </cacheField>
    <cacheField name="PST/PDT Local Live Session Start Time " numFmtId="0">
      <sharedItems containsNonDate="0" containsDate="1" containsString="0" containsBlank="1" minDate="1899-12-30T00:00:00" maxDate="1903-01-04T08:00:00"/>
    </cacheField>
    <cacheField name="AST Local Live Session Start Time " numFmtId="0">
      <sharedItems containsNonDate="0" containsDate="1" containsString="0" containsBlank="1" minDate="1899-12-30T00:00:00" maxDate="1899-12-30T21:00:00"/>
    </cacheField>
    <cacheField name="CET/CEST Local Live Session Start Time " numFmtId="0">
      <sharedItems containsNonDate="0" containsDate="1" containsString="0" containsBlank="1" minDate="1899-12-30T00:00:00" maxDate="1899-12-30T23:00:00"/>
    </cacheField>
    <cacheField name="HST Local Live Session Start Time " numFmtId="0">
      <sharedItems containsNonDate="0" containsDate="1" containsString="0" containsBlank="1" minDate="1899-12-30T00:00:00" maxDate="1899-12-30T21:00:00"/>
    </cacheField>
    <cacheField name="JST Local Live Session Start Time " numFmtId="0">
      <sharedItems containsNonDate="0" containsDate="1" containsString="0" containsBlank="1" minDate="1899-12-30T00:00:00" maxDate="1899-12-30T23:00:00"/>
    </cacheField>
    <cacheField name="Primary Instructor" numFmtId="0">
      <sharedItems containsBlank="1"/>
    </cacheField>
    <cacheField name="Instructor 2" numFmtId="0">
      <sharedItems containsBlank="1"/>
    </cacheField>
    <cacheField name="Survey" numFmtId="0">
      <sharedItems containsBlank="1"/>
    </cacheField>
    <cacheField name="Survey Results" numFmtId="0">
      <sharedItems containsBlank="1"/>
    </cacheField>
    <cacheField name="Contract Cost" numFmtId="0">
      <sharedItems containsString="0" containsBlank="1" containsNumber="1" containsInteger="1" minValue="0" maxValue="0"/>
    </cacheField>
    <cacheField name="Travel Cost" numFmtId="0">
      <sharedItems containsString="0" containsBlank="1" containsNumber="1" containsInteger="1" minValue="0" maxValue="0"/>
    </cacheField>
    <cacheField name="Material Cost" numFmtId="0">
      <sharedItems containsString="0" containsBlank="1" containsNumber="1" containsInteger="1" minValue="0" maxValue="0"/>
    </cacheField>
    <cacheField name="Quotas" numFmtId="0">
      <sharedItems containsString="0" containsBlank="1" containsNumber="1" containsInteger="1" minValue="0" maxValue="100"/>
    </cacheField>
    <cacheField name="Course Length (Days)" numFmtId="0">
      <sharedItems containsString="0" containsBlank="1" containsNumber="1" containsInteger="1" minValue="0" maxValue="5"/>
    </cacheField>
    <cacheField name="Needs Assessment" numFmtId="0">
      <sharedItems containsBlank="1" containsMixedTypes="1" containsNumber="1" containsInteger="1" minValue="0" maxValue="1257"/>
    </cacheField>
    <cacheField name="Registered" numFmtId="0">
      <sharedItems containsString="0" containsBlank="1" containsNumber="1" containsInteger="1" minValue="0" maxValue="100"/>
    </cacheField>
    <cacheField name="Waitlisted" numFmtId="0">
      <sharedItems containsString="0" containsBlank="1" containsNumber="1" containsInteger="1" minValue="0" maxValue="16"/>
    </cacheField>
    <cacheField name="Graduates" numFmtId="0">
      <sharedItems containsString="0" containsBlank="1" containsNumber="1" containsInteger="1" minValue="0" maxValue="96"/>
    </cacheField>
    <cacheField name="Fail" numFmtId="0">
      <sharedItems containsString="0" containsBlank="1" containsNumber="1" containsInteger="1" minValue="0" maxValue="10"/>
    </cacheField>
    <cacheField name="No Shows" numFmtId="0">
      <sharedItems containsBlank="1" containsMixedTypes="1" containsNumber="1" containsInteger="1" minValue="0" maxValue="35"/>
    </cacheField>
    <cacheField name="Walk-ins" numFmtId="0">
      <sharedItems containsString="0" containsBlank="1" containsNumber="1" containsInteger="1" minValue="0" maxValue="25"/>
    </cacheField>
    <cacheField name="Foreign Grads" numFmtId="0">
      <sharedItems containsString="0" containsBlank="1" containsNumber="1" containsInteger="1" minValue="0" maxValue="33"/>
    </cacheField>
    <cacheField name="Roster Received By" numFmtId="0">
      <sharedItems containsBlank="1" count="12">
        <s v="ABE3 Park"/>
        <s v="Bearup, Angie"/>
        <s v="OS2 Zapata "/>
        <s v="Benzick, Sue"/>
        <s v="Weaver, Nicole"/>
        <s v="Carter, Amanda"/>
        <s v="ABH3 Sutherland"/>
        <s v="ABF3 Sherman"/>
        <m/>
        <s v="Fenner, Kalihma" u="1"/>
        <s v="Park" u="1"/>
        <s v="Stowe" u="1"/>
      </sharedItems>
    </cacheField>
    <cacheField name="Roster Due" numFmtId="0">
      <sharedItems containsString="0" containsBlank="1" containsNumber="1" containsInteger="1" minValue="-321" maxValue="38"/>
    </cacheField>
    <cacheField name="Roster Status" numFmtId="0">
      <sharedItems containsString="0" containsBlank="1" containsNumber="1" containsInteger="1" minValue="0" maxValue="1"/>
    </cacheField>
    <cacheField name="Remaining Courses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1">
  <r>
    <m/>
    <x v="0"/>
    <s v="A-4J-0022"/>
    <s v="09ER"/>
    <s v="Global Online"/>
    <d v="2023-10-02T00:00:00"/>
    <d v="2023-10-06T00:00:00"/>
    <m/>
    <d v="1899-12-30T13:00:00"/>
    <d v="1899-12-30T10:00:00"/>
    <d v="1899-12-30T20:00:00"/>
    <d v="1899-12-30T19:00:00"/>
    <d v="1899-12-30T07:00:00"/>
    <d v="1899-12-30T02:00:00"/>
    <s v="BMC Sosaya"/>
    <s v="K. Seo"/>
    <e v="#REF!"/>
    <e v="#REF!"/>
    <m/>
    <m/>
    <m/>
    <n v="45"/>
    <n v="5"/>
    <n v="282"/>
    <n v="26"/>
    <n v="0"/>
    <n v="20"/>
    <n v="0"/>
    <n v="7"/>
    <n v="1"/>
    <n v="0"/>
    <x v="0"/>
    <n v="-319"/>
    <n v="0"/>
    <n v="0"/>
  </r>
  <r>
    <s v="Special-CNAL"/>
    <x v="1"/>
    <s v="A-493-0103"/>
    <s v="12JY"/>
    <s v="Norfolk, VA Classroom 2"/>
    <d v="2023-10-02T00:00:00"/>
    <d v="2023-10-06T00:00:00"/>
    <d v="1899-12-30T08:00:00"/>
    <m/>
    <m/>
    <m/>
    <m/>
    <m/>
    <m/>
    <s v="SOH Contractor"/>
    <m/>
    <e v="#REF!"/>
    <e v="#REF!"/>
    <m/>
    <m/>
    <m/>
    <n v="25"/>
    <n v="5"/>
    <n v="388"/>
    <n v="25"/>
    <n v="4"/>
    <n v="17"/>
    <n v="0"/>
    <n v="10"/>
    <n v="3"/>
    <n v="0"/>
    <x v="1"/>
    <n v="-319"/>
    <n v="0"/>
    <n v="0"/>
  </r>
  <r>
    <m/>
    <x v="2"/>
    <s v="A-493-0030"/>
    <s v="286X"/>
    <s v="Norfolk, VA Classroom 1"/>
    <d v="2023-10-02T00:00:00"/>
    <d v="2023-10-06T00:00:00"/>
    <d v="1899-12-30T08:00:00"/>
    <m/>
    <m/>
    <m/>
    <m/>
    <m/>
    <m/>
    <s v="IH Contractor"/>
    <m/>
    <e v="#REF!"/>
    <e v="#REF!"/>
    <m/>
    <m/>
    <m/>
    <n v="25"/>
    <n v="5"/>
    <n v="155"/>
    <n v="25"/>
    <n v="2"/>
    <n v="8"/>
    <n v="1"/>
    <n v="14"/>
    <n v="1"/>
    <n v="0"/>
    <x v="2"/>
    <n v="-319"/>
    <n v="0"/>
    <n v="0"/>
  </r>
  <r>
    <m/>
    <x v="3"/>
    <s v="A-493-0077"/>
    <s v="0381"/>
    <s v="Sigonella, Italy"/>
    <d v="2023-10-02T00:00:00"/>
    <d v="2023-10-04T00:00:00"/>
    <d v="1899-12-30T08:00:00"/>
    <m/>
    <m/>
    <m/>
    <m/>
    <m/>
    <m/>
    <s v="ENV Contractor"/>
    <m/>
    <m/>
    <m/>
    <m/>
    <m/>
    <m/>
    <n v="25"/>
    <n v="3"/>
    <n v="20"/>
    <n v="8"/>
    <m/>
    <n v="25"/>
    <n v="1"/>
    <n v="5"/>
    <n v="23"/>
    <n v="0"/>
    <x v="3"/>
    <n v="-321"/>
    <n v="0"/>
    <n v="0"/>
  </r>
  <r>
    <m/>
    <x v="4"/>
    <s v="A-493-0550"/>
    <s v="09K5"/>
    <s v="Global Online"/>
    <d v="2023-10-02T00:00:00"/>
    <d v="2023-10-06T00:00:00"/>
    <m/>
    <d v="1899-12-30T13:00:00"/>
    <d v="1899-12-30T10:00:00"/>
    <d v="1899-12-30T20:00:00"/>
    <d v="1899-12-30T19:00:00"/>
    <d v="1899-12-30T07:00:00"/>
    <d v="1899-12-30T02:00:00"/>
    <s v="D. Rodriguez"/>
    <m/>
    <e v="#REF!"/>
    <e v="#REF!"/>
    <m/>
    <m/>
    <m/>
    <n v="45"/>
    <n v="4"/>
    <n v="746"/>
    <n v="45"/>
    <n v="0"/>
    <n v="39"/>
    <n v="0"/>
    <n v="7"/>
    <n v="2"/>
    <n v="0"/>
    <x v="2"/>
    <n v="-319"/>
    <n v="0"/>
    <n v="0"/>
  </r>
  <r>
    <m/>
    <x v="5"/>
    <s v="A-493-0078"/>
    <n v="1228"/>
    <s v="Global Online"/>
    <d v="2023-10-02T00:00:00"/>
    <d v="2023-10-06T00:00:00"/>
    <m/>
    <d v="1899-12-30T08:00:00"/>
    <d v="1899-12-30T05:00:00"/>
    <d v="1899-12-30T15:00:00"/>
    <d v="1899-12-30T14:00:00"/>
    <d v="1899-12-30T02:00:00"/>
    <d v="1899-12-30T21:00:00"/>
    <s v="T. White"/>
    <m/>
    <e v="#REF!"/>
    <e v="#REF!"/>
    <m/>
    <m/>
    <m/>
    <n v="45"/>
    <n v="5"/>
    <n v="600"/>
    <n v="45"/>
    <n v="0"/>
    <n v="38"/>
    <n v="1"/>
    <n v="6"/>
    <n v="0"/>
    <n v="0"/>
    <x v="2"/>
    <n v="-319"/>
    <n v="0"/>
    <n v="0"/>
  </r>
  <r>
    <m/>
    <x v="6"/>
    <s v="A-493-0085"/>
    <n v="3555"/>
    <s v="Global Online"/>
    <d v="2023-10-02T00:00:00"/>
    <d v="2023-10-05T00:00:00"/>
    <m/>
    <d v="1899-12-30T12:00:00"/>
    <d v="1899-12-30T09:00:00"/>
    <d v="1899-12-30T19:00:00"/>
    <d v="1899-12-30T17:00:00"/>
    <d v="1899-12-30T06:00:00"/>
    <d v="1899-12-30T01:00:00"/>
    <s v="B. Jung"/>
    <s v="W. Mitchell"/>
    <e v="#REF!"/>
    <e v="#REF!"/>
    <m/>
    <m/>
    <m/>
    <n v="30"/>
    <n v="4"/>
    <n v="464"/>
    <n v="30"/>
    <n v="1"/>
    <n v="22"/>
    <n v="1"/>
    <n v="7"/>
    <n v="0"/>
    <n v="0"/>
    <x v="4"/>
    <n v="-320"/>
    <n v="0"/>
    <n v="0"/>
  </r>
  <r>
    <m/>
    <x v="7"/>
    <s v="A-493-0072"/>
    <s v="713U"/>
    <s v="Norfolk, VA Other"/>
    <d v="2023-10-02T00:00:00"/>
    <d v="2023-10-05T00:00:00"/>
    <d v="1899-12-30T08:00:00"/>
    <m/>
    <m/>
    <m/>
    <m/>
    <m/>
    <m/>
    <s v="B. Winslow"/>
    <s v="K. Seo"/>
    <e v="#REF!"/>
    <e v="#REF!"/>
    <m/>
    <m/>
    <m/>
    <n v="30"/>
    <n v="4"/>
    <n v="235"/>
    <n v="30"/>
    <n v="0"/>
    <n v="23"/>
    <n v="0"/>
    <n v="10"/>
    <n v="3"/>
    <n v="0"/>
    <x v="4"/>
    <n v="-320"/>
    <n v="0"/>
    <n v="0"/>
  </r>
  <r>
    <m/>
    <x v="8"/>
    <s v="A-493-0083"/>
    <s v="339E"/>
    <s v="Sigonella, Italy"/>
    <d v="2023-10-05T00:00:00"/>
    <d v="2023-10-05T00:00:00"/>
    <d v="1899-12-30T08:00:00"/>
    <m/>
    <m/>
    <m/>
    <m/>
    <m/>
    <m/>
    <s v="ENV Contractor"/>
    <m/>
    <m/>
    <m/>
    <m/>
    <m/>
    <m/>
    <n v="30"/>
    <n v="1"/>
    <n v="20"/>
    <n v="2"/>
    <m/>
    <n v="6"/>
    <n v="0"/>
    <n v="0"/>
    <n v="5"/>
    <n v="0"/>
    <x v="0"/>
    <n v="-320"/>
    <n v="0"/>
    <n v="0"/>
  </r>
  <r>
    <s v="Columbus Day"/>
    <x v="9"/>
    <s v="Holiday"/>
    <s v="Holiday"/>
    <m/>
    <d v="2023-10-09T00:00:00"/>
    <d v="2023-10-09T00:00:00"/>
    <d v="1899-12-30T00:00:00"/>
    <d v="1899-12-30T00:00:00"/>
    <d v="1899-12-30T00:00:00"/>
    <d v="1899-12-30T00:00:00"/>
    <d v="1899-12-30T00:00:00"/>
    <d v="1899-12-30T00:00:00"/>
    <d v="1899-12-30T00:00:00"/>
    <m/>
    <m/>
    <e v="#REF!"/>
    <e v="#REF!"/>
    <n v="0"/>
    <n v="0"/>
    <n v="0"/>
    <n v="0"/>
    <n v="0"/>
    <n v="0"/>
    <n v="0"/>
    <n v="0"/>
    <n v="0"/>
    <n v="0"/>
    <n v="0"/>
    <n v="0"/>
    <n v="0"/>
    <x v="5"/>
    <n v="-316"/>
    <n v="0"/>
    <n v="0"/>
  </r>
  <r>
    <m/>
    <x v="10"/>
    <s v="A-493-0070"/>
    <s v="450V"/>
    <s v="Norfolk, VA Classroom 2"/>
    <d v="2023-10-11T00:00:00"/>
    <d v="2023-10-11T00:00:00"/>
    <d v="1899-12-30T08:00:00"/>
    <m/>
    <m/>
    <m/>
    <m/>
    <m/>
    <m/>
    <s v="A. Harris"/>
    <s v="B. Winslow"/>
    <e v="#REF!"/>
    <e v="#REF!"/>
    <m/>
    <m/>
    <m/>
    <n v="30"/>
    <n v="1"/>
    <n v="32"/>
    <n v="16"/>
    <n v="0"/>
    <n v="14"/>
    <n v="0"/>
    <n v="2"/>
    <n v="0"/>
    <n v="0"/>
    <x v="4"/>
    <n v="-314"/>
    <n v="0"/>
    <n v="0"/>
  </r>
  <r>
    <m/>
    <x v="11"/>
    <s v="A-493-0015"/>
    <n v="3879"/>
    <s v="Norfolk, VA Classroom 2"/>
    <d v="2023-10-12T00:00:00"/>
    <d v="2023-10-12T00:00:00"/>
    <d v="1899-12-30T08:00:00"/>
    <m/>
    <m/>
    <m/>
    <m/>
    <m/>
    <m/>
    <s v="A. Harris"/>
    <s v="B. Winslow"/>
    <e v="#REF!"/>
    <e v="#REF!"/>
    <m/>
    <m/>
    <m/>
    <n v="30"/>
    <n v="1"/>
    <n v="48"/>
    <n v="17"/>
    <n v="0"/>
    <n v="17"/>
    <n v="0"/>
    <n v="0"/>
    <n v="0"/>
    <n v="0"/>
    <x v="4"/>
    <n v="-313"/>
    <n v="0"/>
    <n v="0"/>
  </r>
  <r>
    <m/>
    <x v="12"/>
    <s v="A-493-0020"/>
    <n v="3888"/>
    <s v="Norfolk, VA Classroom 2"/>
    <d v="2023-10-12T00:00:00"/>
    <d v="2023-10-12T00:00:00"/>
    <d v="1899-12-30T12:00:00"/>
    <m/>
    <m/>
    <m/>
    <m/>
    <m/>
    <m/>
    <s v="B. Jung"/>
    <s v="B. Winslow"/>
    <e v="#REF!"/>
    <e v="#REF!"/>
    <m/>
    <m/>
    <m/>
    <n v="30"/>
    <n v="1"/>
    <n v="6"/>
    <n v="4"/>
    <n v="0"/>
    <n v="6"/>
    <n v="0"/>
    <n v="0"/>
    <n v="0"/>
    <n v="0"/>
    <x v="4"/>
    <n v="-313"/>
    <n v="0"/>
    <n v="0"/>
  </r>
  <r>
    <s v="NSETC Staff Training Day"/>
    <x v="13"/>
    <s v="NA"/>
    <s v="NA"/>
    <s v="Norfolk, VA Classroom 1"/>
    <d v="2023-10-12T00:00:00"/>
    <d v="2023-10-12T00:00:00"/>
    <d v="1899-12-30T00:00:00"/>
    <d v="1899-12-30T00:00:00"/>
    <d v="1899-12-30T00:00:00"/>
    <d v="1899-12-30T00:00:00"/>
    <d v="1899-12-30T00:00:00"/>
    <d v="1899-12-30T00:00:00"/>
    <d v="1899-12-30T00:00:00"/>
    <m/>
    <m/>
    <m/>
    <m/>
    <m/>
    <m/>
    <m/>
    <n v="0"/>
    <n v="0"/>
    <n v="0"/>
    <n v="0"/>
    <n v="0"/>
    <n v="0"/>
    <n v="0"/>
    <n v="0"/>
    <n v="0"/>
    <n v="0"/>
    <x v="5"/>
    <n v="-313"/>
    <n v="0"/>
    <n v="0"/>
  </r>
  <r>
    <m/>
    <x v="14"/>
    <s v="A-493-0069"/>
    <s v="450U"/>
    <s v="Norfolk, VA Classroom 2"/>
    <d v="2023-10-16T00:00:00"/>
    <d v="2023-10-20T00:00:00"/>
    <d v="1899-12-30T08:00:00"/>
    <m/>
    <m/>
    <m/>
    <m/>
    <m/>
    <m/>
    <s v="A. Harris"/>
    <s v="B. Winslow"/>
    <e v="#REF!"/>
    <e v="#REF!"/>
    <m/>
    <m/>
    <m/>
    <n v="25"/>
    <n v="5"/>
    <n v="32"/>
    <n v="9"/>
    <n v="0"/>
    <n v="7"/>
    <n v="0"/>
    <n v="3"/>
    <n v="1"/>
    <n v="0"/>
    <x v="4"/>
    <n v="-305"/>
    <n v="0"/>
    <n v="0"/>
  </r>
  <r>
    <s v="Special-Shift from Mayport"/>
    <x v="1"/>
    <s v="A-493-0103"/>
    <s v="12JY"/>
    <s v="Norfolk, VA Classroom 2"/>
    <d v="2023-10-16T00:00:00"/>
    <d v="2023-10-20T00:00:00"/>
    <d v="1899-12-30T08:00:00"/>
    <m/>
    <m/>
    <m/>
    <m/>
    <m/>
    <m/>
    <s v="SOH Contractor"/>
    <m/>
    <e v="#REF!"/>
    <e v="#REF!"/>
    <m/>
    <m/>
    <m/>
    <n v="25"/>
    <n v="5"/>
    <n v="388"/>
    <n v="24"/>
    <n v="5"/>
    <n v="22"/>
    <n v="0"/>
    <n v="9"/>
    <n v="0"/>
    <n v="0"/>
    <x v="1"/>
    <n v="-305"/>
    <n v="0"/>
    <n v="0"/>
  </r>
  <r>
    <m/>
    <x v="4"/>
    <s v="A-493-0550"/>
    <s v="09K5"/>
    <s v="Global Online"/>
    <d v="2023-10-16T00:00:00"/>
    <d v="2023-10-20T00:00:00"/>
    <m/>
    <d v="1899-12-30T10:00:00"/>
    <d v="1899-12-30T07:00:00"/>
    <d v="1899-12-30T17:00:00"/>
    <d v="1899-12-30T16:00:00"/>
    <d v="1899-12-30T04:00:00"/>
    <d v="1899-12-30T23:00:00"/>
    <s v="D. Rodriguez"/>
    <m/>
    <e v="#REF!"/>
    <e v="#REF!"/>
    <m/>
    <m/>
    <m/>
    <n v="45"/>
    <n v="4"/>
    <n v="429"/>
    <n v="45"/>
    <n v="4"/>
    <n v="40"/>
    <n v="2"/>
    <n v="5"/>
    <n v="0"/>
    <n v="0"/>
    <x v="2"/>
    <n v="-305"/>
    <n v="0"/>
    <n v="0"/>
  </r>
  <r>
    <m/>
    <x v="5"/>
    <s v="A-493-0078"/>
    <n v="1228"/>
    <s v="Global Online"/>
    <d v="2023-10-16T00:00:00"/>
    <d v="2023-10-20T00:00:00"/>
    <m/>
    <d v="1899-12-30T06:00:00"/>
    <d v="1899-12-30T03:00:00"/>
    <d v="1899-12-30T13:00:00"/>
    <d v="1899-12-30T12:00:00"/>
    <d v="1899-12-30T00:00:00"/>
    <d v="1899-12-30T19:00:00"/>
    <s v="T. White"/>
    <m/>
    <e v="#REF!"/>
    <e v="#REF!"/>
    <m/>
    <m/>
    <m/>
    <n v="45"/>
    <n v="5"/>
    <n v="83"/>
    <n v="45"/>
    <n v="1"/>
    <n v="42"/>
    <n v="0"/>
    <n v="4"/>
    <n v="0"/>
    <n v="0"/>
    <x v="2"/>
    <n v="-305"/>
    <n v="0"/>
    <n v="0"/>
  </r>
  <r>
    <m/>
    <x v="15"/>
    <s v="A-570-0100"/>
    <s v="18B7"/>
    <s v="Global Online"/>
    <d v="2023-10-16T00:00:00"/>
    <d v="2023-10-19T00:00:00"/>
    <m/>
    <d v="1899-12-30T13:00:00"/>
    <d v="1899-12-30T10:00:00"/>
    <d v="1899-12-30T20:00:00"/>
    <d v="1899-12-30T19:00:00"/>
    <d v="1899-12-30T07:00:00"/>
    <d v="1899-12-30T02:00:00"/>
    <s v="BMC Sosaya"/>
    <m/>
    <e v="#REF!"/>
    <e v="#REF!"/>
    <m/>
    <m/>
    <m/>
    <n v="30"/>
    <n v="4"/>
    <n v="459"/>
    <n v="30"/>
    <n v="4"/>
    <n v="25"/>
    <n v="1"/>
    <n v="4"/>
    <n v="2"/>
    <n v="0"/>
    <x v="4"/>
    <n v="-306"/>
    <n v="0"/>
    <n v="0"/>
  </r>
  <r>
    <m/>
    <x v="16"/>
    <s v="A-493-0099"/>
    <s v="12JW"/>
    <s v="Global Online"/>
    <d v="2023-10-17T00:00:00"/>
    <d v="2023-10-19T00:00:00"/>
    <m/>
    <d v="1899-12-30T10:00:00"/>
    <d v="1899-12-30T07:00:00"/>
    <d v="1899-12-30T17:00:00"/>
    <d v="1899-12-30T16:00:00"/>
    <d v="1899-12-30T04:00:00"/>
    <d v="1899-12-30T23:00:00"/>
    <s v="V. Kentish"/>
    <m/>
    <e v="#REF!"/>
    <e v="#REF!"/>
    <m/>
    <m/>
    <m/>
    <n v="45"/>
    <n v="3"/>
    <n v="381"/>
    <n v="44"/>
    <n v="0"/>
    <n v="32"/>
    <n v="0"/>
    <s v=" "/>
    <n v="0"/>
    <n v="0"/>
    <x v="1"/>
    <n v="-306"/>
    <n v="0"/>
    <n v="0"/>
  </r>
  <r>
    <m/>
    <x v="17"/>
    <s v="A-493-0014"/>
    <n v="3878"/>
    <s v="Norfolk, VA Classroom 1"/>
    <d v="2023-10-23T00:00:00"/>
    <d v="2023-10-25T00:00:00"/>
    <d v="1899-12-30T08:00:00"/>
    <m/>
    <m/>
    <m/>
    <m/>
    <m/>
    <m/>
    <s v="B. Jung"/>
    <s v="B. Winslow"/>
    <e v="#REF!"/>
    <e v="#REF!"/>
    <m/>
    <m/>
    <m/>
    <n v="25"/>
    <n v="3"/>
    <n v="42"/>
    <n v="15"/>
    <n v="0"/>
    <n v="17"/>
    <n v="0"/>
    <n v="1"/>
    <n v="2"/>
    <n v="0"/>
    <x v="4"/>
    <n v="-300"/>
    <n v="0"/>
    <n v="0"/>
  </r>
  <r>
    <m/>
    <x v="18"/>
    <s v="F-4J-0023"/>
    <s v="11A2"/>
    <s v="Global Online"/>
    <d v="2023-10-23T00:00:00"/>
    <d v="2023-10-27T00:00:00"/>
    <m/>
    <d v="1899-12-30T08:00:00"/>
    <d v="1899-12-30T05:00:00"/>
    <d v="1899-12-30T15:00:00"/>
    <d v="1899-12-30T14:00:00"/>
    <d v="1899-12-30T02:00:00"/>
    <d v="1899-12-30T21:00:00"/>
    <s v="LCDR Overton"/>
    <s v="LTJG Andrew"/>
    <e v="#REF!"/>
    <e v="#REF!"/>
    <m/>
    <m/>
    <m/>
    <n v="25"/>
    <n v="2"/>
    <n v="33"/>
    <n v="7"/>
    <n v="0"/>
    <n v="6"/>
    <n v="0"/>
    <n v="1"/>
    <n v="0"/>
    <n v="0"/>
    <x v="4"/>
    <n v="-298"/>
    <n v="0"/>
    <n v="0"/>
  </r>
  <r>
    <m/>
    <x v="19"/>
    <s v="A-493-0075 "/>
    <s v="714U"/>
    <s v="Norfolk, VA Classroom 2"/>
    <d v="2023-10-24T00:00:00"/>
    <d v="2023-10-27T00:00:00"/>
    <d v="1899-12-30T08:00:00"/>
    <m/>
    <m/>
    <m/>
    <m/>
    <m/>
    <m/>
    <s v="SOH Contractor"/>
    <m/>
    <e v="#REF!"/>
    <e v="#REF!"/>
    <m/>
    <m/>
    <m/>
    <n v="30"/>
    <n v="4"/>
    <n v="81"/>
    <n v="8"/>
    <n v="0"/>
    <n v="6"/>
    <n v="0"/>
    <n v="2"/>
    <n v="0"/>
    <n v="0"/>
    <x v="1"/>
    <n v="-298"/>
    <n v="0"/>
    <n v="0"/>
  </r>
  <r>
    <m/>
    <x v="20"/>
    <s v="A-493-0331"/>
    <s v="10UG"/>
    <s v="Global Online"/>
    <d v="2023-10-24T00:00:00"/>
    <d v="2023-10-26T00:00:00"/>
    <m/>
    <d v="1899-12-30T08:00:00"/>
    <d v="1899-12-30T05:00:00"/>
    <d v="1899-12-30T15:00:00"/>
    <d v="1899-12-30T14:00:00"/>
    <d v="1899-12-30T02:00:00"/>
    <d v="1899-12-30T21:00:00"/>
    <s v="W. Mitchell"/>
    <s v="A. Harris"/>
    <e v="#REF!"/>
    <e v="#REF!"/>
    <m/>
    <m/>
    <m/>
    <n v="40"/>
    <n v="3"/>
    <n v="499"/>
    <n v="39"/>
    <n v="5"/>
    <n v="35"/>
    <n v="2"/>
    <n v="6"/>
    <n v="0"/>
    <n v="0"/>
    <x v="4"/>
    <n v="-299"/>
    <n v="0"/>
    <n v="0"/>
  </r>
  <r>
    <m/>
    <x v="21"/>
    <s v="A-493-0019"/>
    <n v="3882"/>
    <s v="Norfolk, VA Classroom 1"/>
    <d v="2023-10-26T00:00:00"/>
    <d v="2023-10-27T00:00:00"/>
    <d v="1899-12-30T08:00:00"/>
    <m/>
    <m/>
    <m/>
    <m/>
    <m/>
    <m/>
    <s v="B. Jung"/>
    <s v="B. Winslow"/>
    <e v="#REF!"/>
    <e v="#REF!"/>
    <m/>
    <m/>
    <m/>
    <n v="25"/>
    <n v="2"/>
    <n v="9"/>
    <n v="9"/>
    <n v="0"/>
    <n v="11"/>
    <n v="0"/>
    <n v="0"/>
    <n v="2"/>
    <n v="0"/>
    <x v="4"/>
    <n v="-298"/>
    <n v="0"/>
    <n v="0"/>
  </r>
  <r>
    <m/>
    <x v="22"/>
    <s v="A-493-0061"/>
    <s v="288E"/>
    <s v="Global Online"/>
    <d v="2023-10-30T00:00:00"/>
    <d v="2023-11-03T00:00:00"/>
    <m/>
    <d v="1899-12-30T06:00:00"/>
    <d v="1899-12-30T03:00:00"/>
    <d v="1899-12-30T13:00:00"/>
    <d v="1899-12-30T12:00:00"/>
    <d v="1899-12-30T00:00:00"/>
    <d v="1899-12-30T19:00:00"/>
    <s v="S. Griffin"/>
    <m/>
    <e v="#REF!"/>
    <e v="#REF!"/>
    <m/>
    <m/>
    <m/>
    <n v="45"/>
    <n v="5"/>
    <n v="68"/>
    <n v="45"/>
    <n v="0"/>
    <n v="37"/>
    <n v="1"/>
    <n v="6"/>
    <n v="0"/>
    <n v="0"/>
    <x v="1"/>
    <n v="-291"/>
    <n v="0"/>
    <n v="0"/>
  </r>
  <r>
    <m/>
    <x v="23"/>
    <s v="A-493-0335"/>
    <s v="09ND"/>
    <s v="Global Online"/>
    <d v="2023-10-30T00:00:00"/>
    <d v="2023-11-02T00:00:00"/>
    <m/>
    <d v="1899-12-30T12:00:00"/>
    <d v="1899-12-30T09:00:00"/>
    <d v="1899-12-30T19:00:00"/>
    <d v="1899-12-30T18:00:00"/>
    <d v="1899-12-30T06:00:00"/>
    <d v="1899-12-30T01:00:00"/>
    <s v="A. Harris"/>
    <m/>
    <e v="#REF!"/>
    <e v="#REF!"/>
    <m/>
    <m/>
    <m/>
    <n v="30"/>
    <n v="4"/>
    <n v="709"/>
    <n v="30"/>
    <n v="5"/>
    <n v="25"/>
    <n v="0"/>
    <n v="6"/>
    <n v="0"/>
    <n v="0"/>
    <x v="4"/>
    <n v="-292"/>
    <n v="0"/>
    <n v="0"/>
  </r>
  <r>
    <m/>
    <x v="4"/>
    <s v="A-493-0550"/>
    <s v="09K5"/>
    <s v="Global Online"/>
    <d v="2023-10-30T00:00:00"/>
    <d v="2023-11-03T00:00:00"/>
    <m/>
    <d v="1899-12-30T06:00:00"/>
    <d v="1899-12-30T03:00:00"/>
    <d v="1899-12-30T13:00:00"/>
    <d v="1899-12-30T12:00:00"/>
    <d v="1899-12-30T00:00:00"/>
    <d v="1899-12-30T19:00:00"/>
    <s v="D. Rodriguez"/>
    <m/>
    <e v="#REF!"/>
    <e v="#REF!"/>
    <m/>
    <m/>
    <m/>
    <n v="45"/>
    <n v="4"/>
    <n v="77"/>
    <n v="45"/>
    <m/>
    <n v="31"/>
    <n v="0"/>
    <n v="14"/>
    <n v="0"/>
    <n v="0"/>
    <x v="1"/>
    <n v="-291"/>
    <n v="0"/>
    <n v="0"/>
  </r>
  <r>
    <m/>
    <x v="5"/>
    <s v="A-493-0078"/>
    <n v="1228"/>
    <s v="Global Online"/>
    <d v="2023-10-30T00:00:00"/>
    <d v="2023-11-03T00:00:00"/>
    <m/>
    <d v="1899-12-30T10:00:00"/>
    <d v="1899-12-30T07:00:00"/>
    <d v="1899-12-30T17:00:00"/>
    <d v="1899-12-30T16:00:00"/>
    <d v="1899-12-30T04:00:00"/>
    <d v="1899-12-30T23:00:00"/>
    <s v="T. White"/>
    <m/>
    <e v="#REF!"/>
    <e v="#REF!"/>
    <m/>
    <m/>
    <m/>
    <n v="45"/>
    <n v="5"/>
    <n v="543"/>
    <n v="45"/>
    <m/>
    <n v="39"/>
    <n v="1"/>
    <n v="5"/>
    <n v="0"/>
    <n v="0"/>
    <x v="1"/>
    <n v="-291"/>
    <n v="0"/>
    <n v="0"/>
  </r>
  <r>
    <m/>
    <x v="7"/>
    <s v="A-493-0072"/>
    <s v="713U"/>
    <s v="Norfolk, VA Classroom 1"/>
    <d v="2023-10-30T00:00:00"/>
    <d v="2023-11-02T00:00:00"/>
    <d v="1899-12-30T08:00:00"/>
    <m/>
    <m/>
    <m/>
    <m/>
    <m/>
    <m/>
    <s v="B. Winslow"/>
    <s v="W. Mitchell"/>
    <e v="#REF!"/>
    <e v="#REF!"/>
    <m/>
    <m/>
    <m/>
    <n v="30"/>
    <n v="4"/>
    <n v="235"/>
    <n v="29"/>
    <n v="3"/>
    <n v="26"/>
    <n v="0"/>
    <n v="4"/>
    <n v="3"/>
    <n v="0"/>
    <x v="4"/>
    <n v="-292"/>
    <n v="0"/>
    <n v="0"/>
  </r>
  <r>
    <m/>
    <x v="16"/>
    <s v="A-493-0099"/>
    <s v="12JW"/>
    <s v="Global Online"/>
    <d v="2023-10-31T00:00:00"/>
    <d v="2023-11-02T00:00:00"/>
    <m/>
    <d v="1899-12-30T13:00:00"/>
    <d v="1899-12-30T10:00:00"/>
    <d v="1899-12-30T20:00:00"/>
    <d v="1899-12-30T19:00:00"/>
    <d v="1899-12-30T07:00:00"/>
    <d v="1899-12-30T02:00:00"/>
    <s v="V. Kentish"/>
    <m/>
    <e v="#REF!"/>
    <e v="#REF!"/>
    <m/>
    <m/>
    <m/>
    <n v="45"/>
    <n v="3"/>
    <n v="682"/>
    <n v="45"/>
    <n v="0"/>
    <n v="32"/>
    <n v="0"/>
    <n v="13"/>
    <n v="0"/>
    <n v="0"/>
    <x v="1"/>
    <n v="-292"/>
    <n v="0"/>
    <n v="0"/>
  </r>
  <r>
    <m/>
    <x v="0"/>
    <s v="A-4J-0022"/>
    <s v="09ER"/>
    <s v="Global Online"/>
    <d v="2023-11-06T00:00:00"/>
    <d v="2023-11-10T00:00:00"/>
    <m/>
    <d v="1899-12-30T08:00:00"/>
    <d v="1899-12-30T05:00:00"/>
    <d v="1899-12-30T16:00:00"/>
    <d v="1899-12-30T14:00:00"/>
    <d v="1899-12-30T03:00:00"/>
    <d v="1899-12-30T22:00:00"/>
    <s v="BMC Sosaya"/>
    <s v="K. Seo"/>
    <e v="#REF!"/>
    <e v="#REF!"/>
    <m/>
    <m/>
    <m/>
    <n v="45"/>
    <n v="5"/>
    <n v="159"/>
    <n v="30"/>
    <n v="0"/>
    <n v="24"/>
    <n v="1"/>
    <n v="5"/>
    <n v="0"/>
    <n v="0"/>
    <x v="3"/>
    <n v="-284"/>
    <n v="0"/>
    <n v="0"/>
  </r>
  <r>
    <s v="NPASE C School POC: LT Houston"/>
    <x v="13"/>
    <s v="NA"/>
    <s v="NA"/>
    <s v="Norfolk, VA Classroom 1"/>
    <d v="2023-11-06T00:00:00"/>
    <d v="2023-11-17T00:00:00"/>
    <d v="1899-12-30T00:00:00"/>
    <d v="1899-12-30T00:00:00"/>
    <d v="1899-12-30T00:00:00"/>
    <d v="1899-12-30T00:00:00"/>
    <d v="1899-12-30T00:00:00"/>
    <d v="1899-12-30T00:00:00"/>
    <d v="1899-12-30T00:00:00"/>
    <m/>
    <m/>
    <m/>
    <m/>
    <m/>
    <m/>
    <m/>
    <n v="0"/>
    <n v="0"/>
    <n v="0"/>
    <n v="0"/>
    <n v="0"/>
    <n v="0"/>
    <n v="0"/>
    <n v="0"/>
    <n v="0"/>
    <n v="0"/>
    <x v="5"/>
    <n v="-277"/>
    <n v="0"/>
    <n v="0"/>
  </r>
  <r>
    <m/>
    <x v="20"/>
    <s v="A-493-0331"/>
    <s v="10UG"/>
    <s v="Global Online"/>
    <d v="2023-11-07T00:00:00"/>
    <d v="2023-11-09T00:00:00"/>
    <m/>
    <d v="1899-12-30T08:00:00"/>
    <d v="1899-12-30T05:00:00"/>
    <d v="1899-12-30T15:00:00"/>
    <d v="1899-12-30T14:00:00"/>
    <d v="1899-12-30T02:00:00"/>
    <d v="1899-12-30T21:00:00"/>
    <s v="W. Mitchell"/>
    <s v="B. Winslow"/>
    <m/>
    <m/>
    <m/>
    <m/>
    <m/>
    <n v="40"/>
    <n v="3"/>
    <n v="499"/>
    <n v="40"/>
    <n v="5"/>
    <n v="39"/>
    <n v="0"/>
    <n v="4"/>
    <n v="3"/>
    <n v="0"/>
    <x v="4"/>
    <n v="-285"/>
    <n v="0"/>
    <n v="0"/>
  </r>
  <r>
    <s v="Veterans Day"/>
    <x v="9"/>
    <s v="Holiday"/>
    <s v="Holiday"/>
    <m/>
    <d v="2023-11-10T00:00:00"/>
    <d v="2023-11-10T00:00:00"/>
    <d v="1899-12-30T00:00:00"/>
    <d v="1899-12-30T08:00:00"/>
    <d v="1899-12-30T05:00:00"/>
    <d v="1899-12-30T15:00:00"/>
    <d v="1899-12-30T14:00:00"/>
    <d v="1899-12-30T02:00:00"/>
    <d v="1899-12-30T21:00:00"/>
    <m/>
    <m/>
    <e v="#REF!"/>
    <e v="#REF!"/>
    <n v="0"/>
    <n v="0"/>
    <n v="0"/>
    <n v="0"/>
    <n v="0"/>
    <n v="0"/>
    <n v="0"/>
    <n v="0"/>
    <n v="0"/>
    <n v="0"/>
    <n v="0"/>
    <n v="0"/>
    <n v="0"/>
    <x v="5"/>
    <n v="-284"/>
    <n v="0"/>
    <n v="0"/>
  </r>
  <r>
    <m/>
    <x v="1"/>
    <s v="A-493-0103"/>
    <s v="12JY"/>
    <s v="Coronado, CA"/>
    <d v="2023-11-13T00:00:00"/>
    <d v="2023-11-17T00:00:00"/>
    <d v="1899-12-30T08:00:00"/>
    <m/>
    <m/>
    <m/>
    <m/>
    <m/>
    <m/>
    <s v="SOH Contractor"/>
    <m/>
    <e v="#REF!"/>
    <e v="#REF!"/>
    <m/>
    <m/>
    <m/>
    <n v="25"/>
    <n v="5"/>
    <n v="152"/>
    <n v="25"/>
    <n v="2"/>
    <n v="13"/>
    <n v="0"/>
    <n v="12"/>
    <n v="1"/>
    <n v="0"/>
    <x v="1"/>
    <n v="-277"/>
    <n v="0"/>
    <n v="0"/>
  </r>
  <r>
    <m/>
    <x v="22"/>
    <s v="A-493-0061"/>
    <s v="288E"/>
    <s v="Global Online"/>
    <d v="2023-11-13T00:00:00"/>
    <d v="2023-11-17T00:00:00"/>
    <m/>
    <d v="1899-12-30T10:00:00"/>
    <d v="1899-12-30T07:00:00"/>
    <d v="1899-12-30T18:00:00"/>
    <d v="1899-12-30T16:00:00"/>
    <d v="1899-12-30T05:00:00"/>
    <d v="1899-12-30T00:00:00"/>
    <s v="S. Griffin"/>
    <m/>
    <e v="#REF!"/>
    <e v="#REF!"/>
    <m/>
    <m/>
    <m/>
    <n v="45"/>
    <n v="5"/>
    <n v="430"/>
    <n v="44"/>
    <n v="0"/>
    <n v="39"/>
    <n v="0"/>
    <n v="5"/>
    <n v="0"/>
    <n v="0"/>
    <x v="1"/>
    <n v="-277"/>
    <n v="0"/>
    <n v="0"/>
  </r>
  <r>
    <m/>
    <x v="4"/>
    <s v="A-493-0550"/>
    <s v="09K5"/>
    <s v="Global Online"/>
    <d v="2023-11-13T00:00:00"/>
    <d v="2023-11-17T00:00:00"/>
    <m/>
    <d v="1899-12-30T08:00:00"/>
    <d v="1899-12-30T05:00:00"/>
    <d v="1899-12-30T16:00:00"/>
    <d v="1899-12-30T14:00:00"/>
    <d v="1899-12-30T03:00:00"/>
    <d v="1899-12-30T22:00:00"/>
    <s v="D. Rodriguez"/>
    <m/>
    <e v="#REF!"/>
    <e v="#REF!"/>
    <m/>
    <m/>
    <m/>
    <n v="45"/>
    <n v="4"/>
    <n v="480"/>
    <n v="45"/>
    <n v="0"/>
    <n v="33"/>
    <n v="1"/>
    <n v="10"/>
    <n v="2"/>
    <n v="0"/>
    <x v="2"/>
    <n v="-277"/>
    <n v="0"/>
    <n v="0"/>
  </r>
  <r>
    <m/>
    <x v="5"/>
    <s v="A-493-0078"/>
    <n v="1228"/>
    <s v="Global Online"/>
    <d v="2023-11-13T00:00:00"/>
    <d v="2023-11-17T00:00:00"/>
    <m/>
    <d v="1899-12-30T13:00:00"/>
    <d v="1899-12-30T10:00:00"/>
    <d v="1899-12-30T21:00:00"/>
    <d v="1899-12-30T19:00:00"/>
    <d v="1899-12-30T08:00:00"/>
    <d v="1899-12-30T03:00:00"/>
    <s v="T. White"/>
    <m/>
    <e v="#REF!"/>
    <e v="#REF!"/>
    <m/>
    <m/>
    <m/>
    <n v="45"/>
    <n v="5"/>
    <n v="836"/>
    <n v="42"/>
    <n v="0"/>
    <n v="36"/>
    <n v="0"/>
    <n v="4"/>
    <n v="0"/>
    <n v="0"/>
    <x v="2"/>
    <n v="-277"/>
    <n v="0"/>
    <n v="0"/>
  </r>
  <r>
    <m/>
    <x v="6"/>
    <s v="A-493-0085"/>
    <n v="3555"/>
    <s v="Global Online"/>
    <d v="2023-11-13T00:00:00"/>
    <d v="2023-11-16T00:00:00"/>
    <m/>
    <d v="1902-03-10T08:00:00"/>
    <d v="1899-12-30T09:00:00"/>
    <d v="1899-12-30T19:00:00"/>
    <d v="1899-12-30T17:00:00"/>
    <d v="1899-12-30T06:00:00"/>
    <d v="1899-12-30T01:00:00"/>
    <s v="B. Jung"/>
    <s v="B. Winslow"/>
    <e v="#REF!"/>
    <e v="#REF!"/>
    <m/>
    <m/>
    <m/>
    <n v="30"/>
    <n v="4"/>
    <n v="366"/>
    <n v="30"/>
    <n v="4"/>
    <n v="28"/>
    <n v="1"/>
    <n v="5"/>
    <n v="0"/>
    <n v="0"/>
    <x v="4"/>
    <n v="-278"/>
    <n v="0"/>
    <n v="0"/>
  </r>
  <r>
    <m/>
    <x v="16"/>
    <s v="A-493-0099"/>
    <s v="12JW"/>
    <s v="Global Online"/>
    <d v="2023-11-14T00:00:00"/>
    <d v="2023-11-16T00:00:00"/>
    <m/>
    <d v="1899-12-30T07:00:00"/>
    <d v="1899-12-30T04:00:00"/>
    <d v="1899-12-30T15:00:00"/>
    <d v="1899-12-30T13:00:00"/>
    <d v="1899-12-30T02:00:00"/>
    <d v="1899-12-30T21:00:00"/>
    <s v="V. Kentish"/>
    <m/>
    <e v="#REF!"/>
    <e v="#REF!"/>
    <m/>
    <m/>
    <m/>
    <n v="45"/>
    <n v="3"/>
    <n v="50"/>
    <n v="45"/>
    <n v="0"/>
    <n v="41"/>
    <n v="0"/>
    <n v="4"/>
    <n v="0"/>
    <n v="0"/>
    <x v="1"/>
    <n v="-278"/>
    <n v="0"/>
    <n v="0"/>
  </r>
  <r>
    <m/>
    <x v="8"/>
    <s v="A-493-0083"/>
    <s v="339E"/>
    <s v="Global Online"/>
    <d v="2023-11-14T00:00:00"/>
    <d v="2023-11-14T00:00:00"/>
    <m/>
    <d v="1899-12-30T08:00:00"/>
    <d v="1899-12-30T05:00:00"/>
    <d v="1899-12-30T16:00:00"/>
    <d v="1899-12-30T14:00:00"/>
    <d v="1899-12-30T03:00:00"/>
    <d v="1899-12-30T22:00:00"/>
    <s v="ENV Contractor"/>
    <m/>
    <e v="#REF!"/>
    <e v="#REF!"/>
    <m/>
    <m/>
    <m/>
    <n v="30"/>
    <n v="1"/>
    <n v="0"/>
    <n v="27"/>
    <m/>
    <n v="27"/>
    <n v="0"/>
    <n v="5"/>
    <n v="5"/>
    <n v="0"/>
    <x v="3"/>
    <n v="-280"/>
    <n v="0"/>
    <n v="0"/>
  </r>
  <r>
    <m/>
    <x v="24"/>
    <s v="A-493-0092"/>
    <n v="5891"/>
    <s v="Norfolk, VA Classroom 2"/>
    <d v="2023-11-14T00:00:00"/>
    <d v="2023-11-16T00:00:00"/>
    <d v="1899-12-30T08:00:00"/>
    <m/>
    <m/>
    <m/>
    <m/>
    <m/>
    <m/>
    <s v="W. Mitchell"/>
    <s v="K. Seo"/>
    <e v="#REF!"/>
    <e v="#REF!"/>
    <m/>
    <m/>
    <m/>
    <n v="25"/>
    <n v="3"/>
    <n v="192"/>
    <n v="12"/>
    <n v="0"/>
    <n v="10"/>
    <n v="0"/>
    <n v="2"/>
    <n v="0"/>
    <n v="0"/>
    <x v="2"/>
    <n v="-278"/>
    <n v="0"/>
    <n v="0"/>
  </r>
  <r>
    <s v="Thanksgiving Potluck"/>
    <x v="25"/>
    <s v="NA"/>
    <s v="NA"/>
    <s v="Norfolk, VA Classroom 1"/>
    <d v="2023-11-21T00:00:00"/>
    <d v="2023-11-21T00:00:00"/>
    <s v="1100"/>
    <m/>
    <m/>
    <m/>
    <m/>
    <m/>
    <m/>
    <m/>
    <m/>
    <m/>
    <m/>
    <m/>
    <m/>
    <m/>
    <m/>
    <m/>
    <n v="0"/>
    <n v="0"/>
    <n v="0"/>
    <m/>
    <m/>
    <m/>
    <m/>
    <m/>
    <x v="5"/>
    <n v="-273"/>
    <n v="0"/>
    <n v="0"/>
  </r>
  <r>
    <s v="Thanksgiving"/>
    <x v="9"/>
    <s v="Holiday"/>
    <s v="Holiday"/>
    <m/>
    <d v="2023-11-23T00:00:00"/>
    <d v="2023-11-23T00:00:00"/>
    <d v="1899-12-30T00:00:00"/>
    <d v="1899-12-30T00:00:00"/>
    <d v="1899-12-30T00:00:00"/>
    <d v="1899-12-30T00:00:00"/>
    <d v="1899-12-30T00:00:00"/>
    <d v="1899-12-30T00:00:00"/>
    <d v="1899-12-30T00:00:00"/>
    <m/>
    <m/>
    <e v="#REF!"/>
    <e v="#REF!"/>
    <n v="0"/>
    <n v="0"/>
    <n v="0"/>
    <n v="0"/>
    <n v="0"/>
    <n v="0"/>
    <n v="0"/>
    <n v="0"/>
    <n v="0"/>
    <n v="0"/>
    <n v="0"/>
    <n v="0"/>
    <n v="0"/>
    <x v="5"/>
    <n v="-271"/>
    <n v="0"/>
    <n v="0"/>
  </r>
  <r>
    <s v="IH Indoc"/>
    <x v="13"/>
    <s v="NA"/>
    <s v="NA"/>
    <s v="Norfolk, VA Classroom 2"/>
    <d v="2023-11-27T00:00:00"/>
    <d v="2023-12-01T00:00:00"/>
    <d v="1899-12-30T00:00:00"/>
    <d v="1899-12-30T00:00:00"/>
    <d v="1899-12-30T00:00:00"/>
    <d v="1899-12-30T00:00:00"/>
    <d v="1899-12-30T00:00:00"/>
    <d v="1899-12-30T00:00:00"/>
    <d v="1899-12-30T00:00:00"/>
    <m/>
    <m/>
    <m/>
    <m/>
    <m/>
    <m/>
    <m/>
    <n v="0"/>
    <n v="0"/>
    <n v="0"/>
    <n v="0"/>
    <n v="0"/>
    <n v="0"/>
    <n v="0"/>
    <n v="0"/>
    <n v="0"/>
    <n v="0"/>
    <x v="5"/>
    <n v="-263"/>
    <n v="0"/>
    <n v="0"/>
  </r>
  <r>
    <s v="All Hands @0900"/>
    <x v="25"/>
    <s v="NA"/>
    <s v="NA"/>
    <s v="Norfolk, VA Classroom 1"/>
    <d v="2023-11-27T00:00:00"/>
    <d v="2023-11-27T00:00:00"/>
    <d v="1899-12-30T09:00:00"/>
    <m/>
    <m/>
    <m/>
    <m/>
    <m/>
    <m/>
    <m/>
    <m/>
    <e v="#REF!"/>
    <e v="#REF!"/>
    <n v="0"/>
    <n v="0"/>
    <n v="0"/>
    <n v="0"/>
    <n v="0"/>
    <n v="0"/>
    <n v="0"/>
    <n v="0"/>
    <n v="0"/>
    <n v="0"/>
    <n v="0"/>
    <n v="0"/>
    <n v="0"/>
    <x v="5"/>
    <n v="-267"/>
    <n v="0"/>
    <n v="0"/>
  </r>
  <r>
    <m/>
    <x v="15"/>
    <s v="A-570-0100"/>
    <s v="18B7"/>
    <s v="Global Online"/>
    <d v="2023-11-27T00:00:00"/>
    <d v="2023-11-30T00:00:00"/>
    <m/>
    <d v="1899-12-30T13:00:00"/>
    <d v="1899-12-30T10:00:00"/>
    <d v="1899-12-30T21:00:00"/>
    <d v="1899-12-30T19:00:00"/>
    <d v="1899-12-30T08:00:00"/>
    <d v="1899-12-30T03:00:00"/>
    <s v="BMC Sosaya"/>
    <m/>
    <e v="#REF!"/>
    <e v="#REF!"/>
    <m/>
    <m/>
    <m/>
    <n v="30"/>
    <n v="4"/>
    <n v="459"/>
    <n v="30"/>
    <n v="2"/>
    <n v="19"/>
    <n v="4"/>
    <n v="8"/>
    <n v="1"/>
    <n v="0"/>
    <x v="4"/>
    <n v="-264"/>
    <n v="0"/>
    <n v="0"/>
  </r>
  <r>
    <m/>
    <x v="16"/>
    <s v="A-493-0099"/>
    <s v="12JW"/>
    <s v="Global Online"/>
    <d v="2023-11-28T00:00:00"/>
    <d v="2023-11-30T00:00:00"/>
    <m/>
    <d v="1899-12-30T08:00:00"/>
    <d v="1899-12-30T05:00:00"/>
    <d v="1899-12-30T16:00:00"/>
    <d v="1899-12-30T14:00:00"/>
    <d v="1899-12-30T03:00:00"/>
    <d v="1899-12-30T22:00:00"/>
    <s v="V. Kentish"/>
    <m/>
    <e v="#REF!"/>
    <e v="#REF!"/>
    <m/>
    <m/>
    <m/>
    <n v="45"/>
    <n v="3"/>
    <n v="431"/>
    <n v="45"/>
    <n v="0"/>
    <n v="40"/>
    <n v="0"/>
    <n v="2"/>
    <n v="0"/>
    <n v="0"/>
    <x v="1"/>
    <n v="-264"/>
    <n v="0"/>
    <n v="0"/>
  </r>
  <r>
    <m/>
    <x v="7"/>
    <s v="A-493-0072"/>
    <s v="713U"/>
    <s v="Norfolk, VA Classroom 1"/>
    <d v="2023-11-28T00:00:00"/>
    <d v="2023-12-01T00:00:00"/>
    <d v="1899-12-30T08:00:00"/>
    <m/>
    <m/>
    <m/>
    <m/>
    <m/>
    <m/>
    <s v="B. Winslow"/>
    <s v="B. Jung"/>
    <e v="#REF!"/>
    <e v="#REF!"/>
    <m/>
    <m/>
    <m/>
    <n v="30"/>
    <n v="4"/>
    <n v="235"/>
    <n v="30"/>
    <n v="0"/>
    <n v="27"/>
    <n v="0"/>
    <n v="4"/>
    <n v="1"/>
    <n v="0"/>
    <x v="4"/>
    <n v="-263"/>
    <n v="0"/>
    <n v="0"/>
  </r>
  <r>
    <m/>
    <x v="4"/>
    <s v="A-493-0550"/>
    <s v="09K5"/>
    <s v="Global Online"/>
    <d v="2023-12-04T00:00:00"/>
    <d v="2023-12-08T00:00:00"/>
    <m/>
    <d v="1899-12-30T08:00:00"/>
    <d v="1899-12-30T05:00:00"/>
    <d v="1899-12-30T16:00:00"/>
    <d v="1899-12-30T14:00:00"/>
    <d v="1899-12-30T03:00:00"/>
    <d v="1899-12-30T22:00:00"/>
    <s v="D. Rodriguez"/>
    <m/>
    <e v="#REF!"/>
    <e v="#REF!"/>
    <m/>
    <m/>
    <m/>
    <n v="45"/>
    <n v="4"/>
    <n v="480"/>
    <n v="45"/>
    <m/>
    <n v="32"/>
    <n v="1"/>
    <n v="12"/>
    <n v="1"/>
    <n v="0"/>
    <x v="2"/>
    <n v="-256"/>
    <n v="0"/>
    <n v="0"/>
  </r>
  <r>
    <m/>
    <x v="5"/>
    <s v="A-493-0078"/>
    <n v="1228"/>
    <s v="Global Online"/>
    <d v="2023-12-04T00:00:00"/>
    <d v="2023-12-08T00:00:00"/>
    <m/>
    <d v="1899-12-30T13:00:00"/>
    <d v="1899-12-30T10:00:00"/>
    <d v="1899-12-30T21:00:00"/>
    <d v="1899-12-30T19:00:00"/>
    <d v="1899-12-30T08:00:00"/>
    <d v="1899-12-30T03:00:00"/>
    <s v="T. White"/>
    <m/>
    <e v="#REF!"/>
    <e v="#REF!"/>
    <m/>
    <m/>
    <m/>
    <n v="45"/>
    <n v="5"/>
    <n v="836"/>
    <n v="45"/>
    <n v="1"/>
    <n v="40"/>
    <n v="0"/>
    <n v="6"/>
    <n v="1"/>
    <n v="0"/>
    <x v="2"/>
    <n v="-256"/>
    <n v="0"/>
    <n v="0"/>
  </r>
  <r>
    <m/>
    <x v="15"/>
    <s v="A-570-0100"/>
    <s v="18B7"/>
    <s v="Global Online"/>
    <d v="2023-12-04T00:00:00"/>
    <d v="2023-12-07T00:00:00"/>
    <m/>
    <d v="1899-12-30T13:00:00"/>
    <d v="1899-12-30T10:00:00"/>
    <d v="1899-12-30T21:00:00"/>
    <d v="1899-12-30T19:00:00"/>
    <d v="1899-12-30T08:00:00"/>
    <d v="1899-12-30T03:00:00"/>
    <s v="BMC Sosaya"/>
    <m/>
    <e v="#REF!"/>
    <e v="#REF!"/>
    <m/>
    <m/>
    <m/>
    <n v="30"/>
    <n v="4"/>
    <n v="459"/>
    <n v="30"/>
    <n v="4"/>
    <n v="28"/>
    <n v="0"/>
    <n v="5"/>
    <n v="3"/>
    <n v="0"/>
    <x v="4"/>
    <n v="-257"/>
    <n v="0"/>
    <n v="0"/>
  </r>
  <r>
    <s v="USMC"/>
    <x v="7"/>
    <s v="A-493-0072"/>
    <s v="713U"/>
    <s v="Marine Corps Base Hawaii"/>
    <d v="2023-12-04T00:00:00"/>
    <d v="2023-12-07T00:00:00"/>
    <d v="1899-12-30T08:00:00"/>
    <m/>
    <m/>
    <m/>
    <m/>
    <m/>
    <m/>
    <s v="B. Winslow"/>
    <s v="B. Jung"/>
    <e v="#REF!"/>
    <e v="#REF!"/>
    <m/>
    <m/>
    <m/>
    <n v="30"/>
    <n v="4"/>
    <n v="55"/>
    <n v="5"/>
    <n v="0"/>
    <n v="5"/>
    <n v="0"/>
    <n v="0"/>
    <n v="0"/>
    <n v="0"/>
    <x v="4"/>
    <n v="-257"/>
    <n v="0"/>
    <n v="0"/>
  </r>
  <r>
    <m/>
    <x v="20"/>
    <s v="A-493-0331"/>
    <s v="10UG"/>
    <s v="Global Online"/>
    <d v="2023-12-05T00:00:00"/>
    <d v="2023-12-07T00:00:00"/>
    <m/>
    <d v="1899-12-30T12:00:00"/>
    <d v="1899-12-30T09:00:00"/>
    <d v="1899-12-30T20:00:00"/>
    <d v="1899-12-30T18:00:00"/>
    <d v="1899-12-30T07:00:00"/>
    <d v="1899-12-30T02:00:00"/>
    <s v="W. Mitchell"/>
    <s v="K. Seo"/>
    <e v="#REF!"/>
    <e v="#REF!"/>
    <m/>
    <m/>
    <m/>
    <n v="40"/>
    <n v="3"/>
    <n v="709"/>
    <n v="39"/>
    <n v="5"/>
    <n v="33"/>
    <n v="1"/>
    <n v="9"/>
    <n v="0"/>
    <n v="0"/>
    <x v="4"/>
    <n v="-257"/>
    <n v="0"/>
    <n v="0"/>
  </r>
  <r>
    <s v="RMI Training POC Mike Bailey"/>
    <x v="13"/>
    <s v="NA"/>
    <s v="NA"/>
    <s v="Norfolk, VA Classroom 1"/>
    <d v="2023-12-11T00:00:00"/>
    <d v="2023-12-13T00:00:00"/>
    <d v="1899-12-30T00:00:00"/>
    <d v="1899-12-30T00:00:00"/>
    <d v="1899-12-30T00:00:00"/>
    <d v="1899-12-30T00:00:00"/>
    <d v="1899-12-30T00:00:00"/>
    <d v="1899-12-30T00:00:00"/>
    <d v="1899-12-30T00:00:00"/>
    <m/>
    <m/>
    <m/>
    <m/>
    <m/>
    <m/>
    <m/>
    <n v="0"/>
    <n v="0"/>
    <n v="0"/>
    <n v="0"/>
    <n v="0"/>
    <n v="0"/>
    <n v="0"/>
    <n v="0"/>
    <n v="0"/>
    <n v="0"/>
    <x v="5"/>
    <n v="-251"/>
    <n v="0"/>
    <n v="0"/>
  </r>
  <r>
    <m/>
    <x v="22"/>
    <s v="A-493-0061"/>
    <s v="288E"/>
    <s v="Global Online"/>
    <d v="2023-12-11T00:00:00"/>
    <d v="2023-12-15T00:00:00"/>
    <m/>
    <d v="1899-12-30T13:00:00"/>
    <d v="1899-12-30T10:00:00"/>
    <d v="1899-12-30T21:00:00"/>
    <d v="1899-12-30T19:00:00"/>
    <d v="1899-12-30T08:00:00"/>
    <d v="1899-12-30T03:00:00"/>
    <s v="S. Griffin"/>
    <m/>
    <e v="#REF!"/>
    <e v="#REF!"/>
    <m/>
    <m/>
    <m/>
    <n v="45"/>
    <n v="5"/>
    <n v="583"/>
    <n v="43"/>
    <n v="0"/>
    <n v="36"/>
    <n v="0"/>
    <n v="6"/>
    <n v="0"/>
    <n v="0"/>
    <x v="1"/>
    <n v="-249"/>
    <n v="0"/>
    <n v="0"/>
  </r>
  <r>
    <m/>
    <x v="20"/>
    <s v="A-493-0331"/>
    <s v="10UG"/>
    <s v="Global Online"/>
    <d v="2023-12-11T00:00:00"/>
    <d v="2023-12-13T00:00:00"/>
    <m/>
    <d v="1899-12-30T18:00:00"/>
    <d v="1899-12-30T15:00:00"/>
    <d v="1899-12-30T02:00:00"/>
    <d v="1899-12-30T00:00:00"/>
    <d v="1899-12-30T13:00:00"/>
    <d v="1899-12-30T08:00:00"/>
    <s v="W. Mitchell"/>
    <s v="A. Harris"/>
    <e v="#REF!"/>
    <e v="#REF!"/>
    <m/>
    <m/>
    <m/>
    <n v="40"/>
    <n v="3"/>
    <n v="116"/>
    <n v="40"/>
    <n v="5"/>
    <n v="32"/>
    <n v="0"/>
    <n v="9"/>
    <n v="0"/>
    <n v="0"/>
    <x v="4"/>
    <n v="-251"/>
    <n v="0"/>
    <n v="0"/>
  </r>
  <r>
    <m/>
    <x v="6"/>
    <s v="A-493-0085"/>
    <n v="3555"/>
    <s v="Global Online"/>
    <d v="2023-12-11T00:00:00"/>
    <d v="2023-12-14T00:00:00"/>
    <m/>
    <d v="1899-12-30T12:00:00"/>
    <d v="1899-12-30T09:00:00"/>
    <d v="1899-12-30T19:00:00"/>
    <d v="1899-12-30T17:00:00"/>
    <d v="1899-12-30T06:00:00"/>
    <d v="1899-12-30T01:00:00"/>
    <s v="B. Jung"/>
    <s v="B. Winslow"/>
    <e v="#REF!"/>
    <e v="#REF!"/>
    <m/>
    <m/>
    <m/>
    <n v="30"/>
    <n v="4"/>
    <n v="464"/>
    <n v="30"/>
    <n v="2"/>
    <n v="28"/>
    <n v="2"/>
    <n v="2"/>
    <n v="0"/>
    <n v="0"/>
    <x v="4"/>
    <n v="-250"/>
    <n v="0"/>
    <n v="0"/>
  </r>
  <r>
    <m/>
    <x v="26"/>
    <s v="A-493-2098"/>
    <s v="09WW"/>
    <s v="Global Online"/>
    <d v="2023-12-11T00:00:00"/>
    <d v="2023-12-15T00:00:00"/>
    <m/>
    <d v="1899-12-31T13:00:00"/>
    <d v="1899-12-30T10:00:00"/>
    <d v="1899-12-30T21:00:00"/>
    <d v="1899-12-30T19:00:00"/>
    <d v="1899-12-30T08:00:00"/>
    <d v="1899-12-30T03:00:00"/>
    <s v="BMC Sosaya"/>
    <m/>
    <m/>
    <m/>
    <m/>
    <m/>
    <m/>
    <n v="100"/>
    <n v="5"/>
    <n v="1257"/>
    <n v="100"/>
    <n v="6"/>
    <n v="96"/>
    <n v="2"/>
    <n v="8"/>
    <n v="5"/>
    <n v="0"/>
    <x v="2"/>
    <n v="-249"/>
    <n v="0"/>
    <n v="0"/>
  </r>
  <r>
    <m/>
    <x v="4"/>
    <s v="A-493-0550"/>
    <s v="09K5"/>
    <s v="Global Online"/>
    <d v="2023-12-18T00:00:00"/>
    <d v="2023-12-22T00:00:00"/>
    <m/>
    <d v="1899-12-30T07:00:00"/>
    <d v="1899-12-30T04:00:00"/>
    <d v="1899-12-30T15:00:00"/>
    <d v="1899-12-30T13:00:00"/>
    <d v="1899-12-30T02:00:00"/>
    <d v="1899-12-30T21:00:00"/>
    <s v="D. Rodriguez"/>
    <m/>
    <e v="#REF!"/>
    <e v="#REF!"/>
    <m/>
    <m/>
    <m/>
    <n v="45"/>
    <n v="4"/>
    <n v="51"/>
    <n v="45"/>
    <n v="1"/>
    <n v="41"/>
    <n v="1"/>
    <n v="4"/>
    <n v="1"/>
    <n v="0"/>
    <x v="2"/>
    <n v="-242"/>
    <n v="0"/>
    <n v="0"/>
  </r>
  <r>
    <m/>
    <x v="5"/>
    <s v="A-493-0078"/>
    <n v="1228"/>
    <s v="Global Online"/>
    <d v="2023-12-18T00:00:00"/>
    <d v="2023-12-22T00:00:00"/>
    <m/>
    <d v="1899-12-30T08:00:00"/>
    <d v="1899-12-30T05:00:00"/>
    <d v="1899-12-30T16:00:00"/>
    <d v="1899-12-30T14:00:00"/>
    <d v="1899-12-30T03:00:00"/>
    <d v="1899-12-30T22:00:00"/>
    <s v="T. White"/>
    <m/>
    <e v="#REF!"/>
    <e v="#REF!"/>
    <m/>
    <m/>
    <m/>
    <n v="45"/>
    <n v="5"/>
    <n v="600"/>
    <n v="41"/>
    <m/>
    <n v="38"/>
    <n v="0"/>
    <n v="3"/>
    <n v="0"/>
    <n v="0"/>
    <x v="2"/>
    <n v="-242"/>
    <n v="0"/>
    <n v="0"/>
  </r>
  <r>
    <s v="Christmas Function"/>
    <x v="25"/>
    <s v="NA"/>
    <s v="NA"/>
    <m/>
    <d v="2023-12-19T00:00:00"/>
    <d v="2023-12-19T00:00:00"/>
    <d v="1899-12-30T13:00:00"/>
    <m/>
    <m/>
    <m/>
    <m/>
    <m/>
    <m/>
    <m/>
    <m/>
    <e v="#REF!"/>
    <e v="#REF!"/>
    <n v="0"/>
    <n v="0"/>
    <n v="0"/>
    <n v="0"/>
    <n v="0"/>
    <n v="0"/>
    <n v="0"/>
    <n v="0"/>
    <n v="0"/>
    <n v="0"/>
    <n v="0"/>
    <n v="0"/>
    <n v="0"/>
    <x v="5"/>
    <n v="-245"/>
    <n v="0"/>
    <n v="0"/>
  </r>
  <r>
    <s v="Christmas Day"/>
    <x v="9"/>
    <s v="Holiday"/>
    <s v="Holiday"/>
    <m/>
    <d v="2023-12-25T00:00:00"/>
    <d v="2023-12-25T00:00:00"/>
    <d v="1899-12-30T00:00:00"/>
    <d v="1899-12-30T00:00:00"/>
    <d v="1899-12-30T00:00:00"/>
    <d v="1899-12-30T00:00:00"/>
    <d v="1899-12-30T00:00:00"/>
    <d v="1899-12-30T00:00:00"/>
    <d v="1899-12-30T00:00:00"/>
    <m/>
    <m/>
    <e v="#REF!"/>
    <e v="#REF!"/>
    <n v="0"/>
    <n v="0"/>
    <n v="0"/>
    <n v="0"/>
    <n v="0"/>
    <n v="0"/>
    <n v="0"/>
    <n v="0"/>
    <n v="0"/>
    <n v="0"/>
    <n v="0"/>
    <n v="0"/>
    <n v="0"/>
    <x v="5"/>
    <n v="-239"/>
    <n v="0"/>
    <n v="0"/>
  </r>
  <r>
    <s v="New Year's Day"/>
    <x v="9"/>
    <s v="Holiday"/>
    <s v="Holiday"/>
    <m/>
    <d v="2024-01-01T00:00:00"/>
    <d v="2024-01-01T00:00:00"/>
    <d v="1899-12-30T00:00:00"/>
    <d v="1899-12-30T00:00:00"/>
    <d v="1899-12-30T00:00:00"/>
    <d v="1899-12-30T00:00:00"/>
    <d v="1899-12-30T00:00:00"/>
    <d v="1899-12-30T00:00:00"/>
    <d v="1899-12-30T00:00:00"/>
    <m/>
    <m/>
    <e v="#REF!"/>
    <e v="#REF!"/>
    <n v="0"/>
    <n v="0"/>
    <n v="0"/>
    <n v="0"/>
    <n v="0"/>
    <n v="0"/>
    <n v="0"/>
    <n v="0"/>
    <n v="0"/>
    <n v="0"/>
    <n v="0"/>
    <n v="0"/>
    <n v="0"/>
    <x v="5"/>
    <n v="-232"/>
    <n v="0"/>
    <n v="0"/>
  </r>
  <r>
    <m/>
    <x v="7"/>
    <s v="A-493-0072"/>
    <s v="713U"/>
    <s v="Pearl Harbor, HI"/>
    <d v="2024-01-02T00:00:00"/>
    <d v="2024-01-05T00:00:00"/>
    <d v="1899-12-30T08:00:00"/>
    <m/>
    <m/>
    <m/>
    <m/>
    <m/>
    <m/>
    <s v="B. Winslow"/>
    <s v="K. Seo"/>
    <e v="#REF!"/>
    <e v="#REF!"/>
    <m/>
    <m/>
    <m/>
    <n v="30"/>
    <n v="4"/>
    <n v="40"/>
    <n v="28"/>
    <n v="0"/>
    <n v="20"/>
    <n v="0"/>
    <n v="8"/>
    <n v="0"/>
    <n v="0"/>
    <x v="4"/>
    <n v="-228"/>
    <n v="0"/>
    <n v="0"/>
  </r>
  <r>
    <m/>
    <x v="27"/>
    <s v="A-493-0012"/>
    <n v="3682"/>
    <s v="Guam"/>
    <d v="2024-01-08T00:00:00"/>
    <d v="2024-01-12T00:00:00"/>
    <d v="1899-12-30T08:00:00"/>
    <m/>
    <m/>
    <m/>
    <m/>
    <m/>
    <m/>
    <s v="ENV Contractor"/>
    <m/>
    <e v="#REF!"/>
    <e v="#REF!"/>
    <m/>
    <m/>
    <m/>
    <n v="40"/>
    <n v="5"/>
    <n v="20"/>
    <n v="20"/>
    <n v="0"/>
    <n v="23"/>
    <n v="0"/>
    <n v="1"/>
    <n v="3"/>
    <n v="9"/>
    <x v="3"/>
    <n v="-221"/>
    <n v="0"/>
    <n v="0"/>
  </r>
  <r>
    <m/>
    <x v="22"/>
    <s v="A-493-0061"/>
    <s v="288E"/>
    <s v="Global Online"/>
    <d v="2024-01-08T00:00:00"/>
    <d v="2024-01-12T00:00:00"/>
    <m/>
    <d v="1899-12-30T07:00:00"/>
    <d v="1899-12-30T04:00:00"/>
    <d v="1899-12-30T15:00:00"/>
    <d v="1899-12-30T13:00:00"/>
    <d v="1899-12-30T02:00:00"/>
    <d v="1899-12-30T21:00:00"/>
    <s v="S. Griffin"/>
    <m/>
    <e v="#REF!"/>
    <e v="#REF!"/>
    <m/>
    <m/>
    <m/>
    <n v="45"/>
    <n v="5"/>
    <n v="50"/>
    <n v="31"/>
    <n v="0"/>
    <n v="29"/>
    <n v="0"/>
    <n v="3"/>
    <n v="0"/>
    <n v="0"/>
    <x v="1"/>
    <n v="-221"/>
    <n v="0"/>
    <n v="0"/>
  </r>
  <r>
    <m/>
    <x v="28"/>
    <s v="A-322-2604"/>
    <s v="10ZZ"/>
    <s v="Global Online"/>
    <d v="2024-01-08T00:00:00"/>
    <d v="2024-01-12T00:00:00"/>
    <m/>
    <d v="1899-12-30T08:00:00"/>
    <d v="1899-12-30T05:00:00"/>
    <d v="1899-12-30T16:00:00"/>
    <d v="1899-12-30T14:00:00"/>
    <d v="1899-12-30T03:00:00"/>
    <d v="1899-12-30T22:00:00"/>
    <s v="LSC Rouse "/>
    <m/>
    <e v="#REF!"/>
    <e v="#REF!"/>
    <m/>
    <m/>
    <m/>
    <n v="45"/>
    <n v="5"/>
    <n v="403"/>
    <n v="45"/>
    <n v="2"/>
    <n v="30"/>
    <n v="0"/>
    <n v="17"/>
    <n v="2"/>
    <n v="0"/>
    <x v="3"/>
    <n v="-221"/>
    <n v="0"/>
    <n v="0"/>
  </r>
  <r>
    <m/>
    <x v="4"/>
    <s v="A-493-0550"/>
    <s v="09K5"/>
    <s v="Global Online"/>
    <d v="2024-01-08T00:00:00"/>
    <d v="2024-01-12T00:00:00"/>
    <m/>
    <d v="1899-12-30T10:00:00"/>
    <d v="1899-12-30T07:00:00"/>
    <d v="1899-12-30T18:00:00"/>
    <d v="1899-12-30T16:00:00"/>
    <d v="1899-12-30T05:00:00"/>
    <d v="1899-12-30T00:00:00"/>
    <s v="D. Rodriguez"/>
    <m/>
    <e v="#REF!"/>
    <e v="#REF!"/>
    <m/>
    <m/>
    <m/>
    <n v="45"/>
    <n v="4"/>
    <n v="429"/>
    <n v="45"/>
    <n v="0"/>
    <n v="40"/>
    <n v="0"/>
    <n v="5"/>
    <n v="0"/>
    <n v="0"/>
    <x v="2"/>
    <n v="-221"/>
    <n v="0"/>
    <n v="0"/>
  </r>
  <r>
    <m/>
    <x v="5"/>
    <s v="A-493-0078"/>
    <n v="1228"/>
    <s v="Global Online"/>
    <d v="2024-01-08T00:00:00"/>
    <d v="2024-01-12T00:00:00"/>
    <m/>
    <d v="1899-12-30T07:00:00"/>
    <d v="1899-12-30T04:00:00"/>
    <d v="1899-12-30T15:00:00"/>
    <d v="1899-12-30T13:00:00"/>
    <d v="1899-12-30T02:00:00"/>
    <d v="1899-12-30T21:00:00"/>
    <s v="T. White"/>
    <m/>
    <e v="#REF!"/>
    <e v="#REF!"/>
    <m/>
    <m/>
    <m/>
    <n v="45"/>
    <n v="5"/>
    <n v="57"/>
    <n v="29"/>
    <n v="0"/>
    <n v="27"/>
    <n v="0"/>
    <n v="2"/>
    <n v="0"/>
    <n v="0"/>
    <x v="2"/>
    <n v="-221"/>
    <n v="0"/>
    <n v="0"/>
  </r>
  <r>
    <m/>
    <x v="7"/>
    <s v="A-493-0072"/>
    <s v="713U"/>
    <s v="Coronado, CA"/>
    <d v="2024-01-08T00:00:00"/>
    <d v="2024-01-11T00:00:00"/>
    <d v="1899-12-30T08:00:00"/>
    <m/>
    <m/>
    <m/>
    <m/>
    <m/>
    <m/>
    <s v="B. Winslow"/>
    <s v="K. Seo"/>
    <e v="#REF!"/>
    <e v="#REF!"/>
    <m/>
    <m/>
    <m/>
    <n v="30"/>
    <n v="4"/>
    <n v="55"/>
    <n v="33"/>
    <n v="3"/>
    <n v="28"/>
    <n v="0"/>
    <n v="5"/>
    <n v="4"/>
    <n v="0"/>
    <x v="4"/>
    <n v="-222"/>
    <n v="0"/>
    <n v="0"/>
  </r>
  <r>
    <m/>
    <x v="26"/>
    <s v="A-493-2098"/>
    <s v="09WW"/>
    <s v="Global Online"/>
    <d v="2024-01-08T00:00:00"/>
    <d v="2024-01-12T00:00:00"/>
    <m/>
    <d v="1899-12-30T13:00:00"/>
    <d v="1899-12-30T10:00:00"/>
    <d v="1899-12-30T21:00:00"/>
    <d v="1899-12-30T19:00:00"/>
    <d v="1899-12-30T08:00:00"/>
    <d v="1899-12-30T03:00:00"/>
    <s v="LSC Rouse "/>
    <m/>
    <e v="#REF!"/>
    <e v="#REF!"/>
    <m/>
    <m/>
    <m/>
    <n v="100"/>
    <n v="5"/>
    <n v="1257"/>
    <n v="100"/>
    <n v="3"/>
    <n v="85"/>
    <n v="1"/>
    <n v="16"/>
    <n v="1"/>
    <n v="0"/>
    <x v="2"/>
    <n v="-221"/>
    <n v="0"/>
    <n v="0"/>
  </r>
  <r>
    <m/>
    <x v="16"/>
    <s v="A-493-0099"/>
    <s v="12JW"/>
    <s v="Global Online"/>
    <d v="2024-01-09T00:00:00"/>
    <d v="2024-01-11T00:00:00"/>
    <m/>
    <d v="1899-12-30T10:00:00"/>
    <d v="1899-12-30T07:00:00"/>
    <d v="1899-12-30T18:00:00"/>
    <d v="1899-12-30T16:00:00"/>
    <d v="1899-12-30T05:00:00"/>
    <d v="1899-12-30T00:00:00"/>
    <s v="V. Kentish"/>
    <m/>
    <e v="#REF!"/>
    <e v="#REF!"/>
    <m/>
    <m/>
    <m/>
    <n v="45"/>
    <n v="3"/>
    <n v="381"/>
    <n v="45"/>
    <n v="0"/>
    <n v="32"/>
    <n v="0"/>
    <n v="13"/>
    <n v="0"/>
    <n v="0"/>
    <x v="1"/>
    <n v="-222"/>
    <n v="0"/>
    <n v="0"/>
  </r>
  <r>
    <m/>
    <x v="20"/>
    <s v="A-493-0331"/>
    <s v="10UG"/>
    <s v="Global Online"/>
    <d v="2024-01-09T00:00:00"/>
    <d v="2024-01-11T00:00:00"/>
    <m/>
    <d v="1899-12-30T12:00:00"/>
    <d v="1899-12-30T09:00:00"/>
    <d v="1899-12-30T20:00:00"/>
    <d v="1899-12-30T18:00:00"/>
    <d v="1899-12-30T07:00:00"/>
    <d v="1899-12-30T02:00:00"/>
    <s v="B. Jung"/>
    <s v="W. Mitchell"/>
    <e v="#REF!"/>
    <e v="#REF!"/>
    <m/>
    <m/>
    <m/>
    <n v="40"/>
    <n v="3"/>
    <n v="709"/>
    <n v="40"/>
    <n v="5"/>
    <n v="41"/>
    <n v="1"/>
    <n v="4"/>
    <n v="3"/>
    <n v="0"/>
    <x v="4"/>
    <n v="-222"/>
    <n v="0"/>
    <n v="0"/>
  </r>
  <r>
    <m/>
    <x v="29"/>
    <s v="A-493-2301"/>
    <s v="05ZD"/>
    <s v="Sasebo, Japan"/>
    <d v="2024-01-11T00:00:00"/>
    <d v="2024-01-11T00:00:00"/>
    <d v="1899-12-30T08:00:00"/>
    <m/>
    <m/>
    <m/>
    <m/>
    <m/>
    <m/>
    <s v="ENV Contractor"/>
    <m/>
    <e v="#REF!"/>
    <e v="#REF!"/>
    <m/>
    <m/>
    <m/>
    <n v="30"/>
    <n v="1"/>
    <n v="20"/>
    <n v="30"/>
    <n v="5"/>
    <n v="30"/>
    <n v="0"/>
    <n v="7"/>
    <n v="6"/>
    <n v="8"/>
    <x v="3"/>
    <n v="-222"/>
    <n v="0"/>
    <n v="0"/>
  </r>
  <r>
    <m/>
    <x v="30"/>
    <s v="A-493-2501"/>
    <s v="05ZE"/>
    <s v="Sasebo, Japan"/>
    <d v="2024-01-12T00:00:00"/>
    <d v="2024-01-12T00:00:00"/>
    <d v="1899-12-30T08:00:00"/>
    <m/>
    <m/>
    <m/>
    <m/>
    <m/>
    <m/>
    <s v="ENV Contractor"/>
    <m/>
    <e v="#REF!"/>
    <e v="#REF!"/>
    <m/>
    <m/>
    <m/>
    <n v="30"/>
    <n v="1"/>
    <n v="35"/>
    <n v="30"/>
    <n v="5"/>
    <n v="30"/>
    <n v="0"/>
    <n v="7"/>
    <n v="6"/>
    <n v="8"/>
    <x v="3"/>
    <n v="-221"/>
    <n v="0"/>
    <n v="0"/>
  </r>
  <r>
    <s v="JBPHH"/>
    <x v="27"/>
    <s v="A-493-0012"/>
    <n v="3682"/>
    <s v="Pearl Harbor, HI"/>
    <d v="2024-01-15T00:00:00"/>
    <d v="2024-01-19T00:00:00"/>
    <d v="1899-12-30T08:00:00"/>
    <m/>
    <m/>
    <m/>
    <m/>
    <m/>
    <m/>
    <s v="ENV Contractor"/>
    <m/>
    <e v="#REF!"/>
    <e v="#REF!"/>
    <m/>
    <m/>
    <m/>
    <n v="40"/>
    <n v="5"/>
    <n v="34"/>
    <n v="27"/>
    <n v="0"/>
    <n v="30"/>
    <n v="2"/>
    <n v="0"/>
    <n v="5"/>
    <n v="0"/>
    <x v="3"/>
    <n v="-214"/>
    <n v="0"/>
    <n v="0"/>
  </r>
  <r>
    <s v="MLK Day"/>
    <x v="9"/>
    <s v="Holiday"/>
    <s v="Holiday"/>
    <m/>
    <d v="2024-01-15T00:00:00"/>
    <d v="2024-01-15T00:00:00"/>
    <d v="1899-12-30T00:00:00"/>
    <d v="1899-12-30T00:00:00"/>
    <d v="1899-12-30T00:00:00"/>
    <d v="1899-12-30T00:00:00"/>
    <d v="1899-12-30T00:00:00"/>
    <d v="1899-12-30T00:00:00"/>
    <d v="1899-12-30T00:00:00"/>
    <m/>
    <m/>
    <e v="#REF!"/>
    <e v="#REF!"/>
    <n v="0"/>
    <n v="0"/>
    <n v="0"/>
    <n v="0"/>
    <n v="0"/>
    <n v="0"/>
    <n v="0"/>
    <n v="0"/>
    <n v="0"/>
    <n v="0"/>
    <n v="0"/>
    <n v="0"/>
    <n v="0"/>
    <x v="5"/>
    <n v="-218"/>
    <n v="0"/>
    <n v="0"/>
  </r>
  <r>
    <m/>
    <x v="31"/>
    <s v="A-493-0665"/>
    <s v="10KW"/>
    <s v="Global Online"/>
    <d v="2024-01-16T00:00:00"/>
    <d v="2024-01-19T00:00:00"/>
    <m/>
    <d v="1899-12-30T19:00:00"/>
    <d v="1899-12-30T16:00:00"/>
    <d v="1899-12-30T02:00:00"/>
    <d v="1899-12-30T00:00:00"/>
    <d v="1899-12-30T13:00:00"/>
    <d v="1899-12-30T08:00:00"/>
    <s v="LSC Rouse "/>
    <m/>
    <e v="#REF!"/>
    <e v="#REF!"/>
    <m/>
    <m/>
    <m/>
    <n v="45"/>
    <n v="5"/>
    <n v="43"/>
    <n v="45"/>
    <n v="1"/>
    <n v="37"/>
    <n v="4"/>
    <n v="5"/>
    <n v="1"/>
    <n v="0"/>
    <x v="6"/>
    <n v="-214"/>
    <n v="0"/>
    <n v="0"/>
  </r>
  <r>
    <m/>
    <x v="32"/>
    <s v="A-493-0073"/>
    <s v="714S"/>
    <s v="Global Online"/>
    <d v="2024-01-16T00:00:00"/>
    <d v="2024-01-19T00:00:00"/>
    <m/>
    <d v="1899-12-30T10:00:00"/>
    <d v="1899-12-30T07:00:00"/>
    <d v="1899-12-30T18:00:00"/>
    <d v="1899-12-30T16:00:00"/>
    <d v="1899-12-30T05:00:00"/>
    <d v="1899-12-30T00:00:00"/>
    <s v="SOH Contractor"/>
    <m/>
    <e v="#REF!"/>
    <e v="#REF!"/>
    <m/>
    <m/>
    <m/>
    <n v="30"/>
    <n v="4"/>
    <n v="318"/>
    <n v="29"/>
    <n v="1"/>
    <n v="26"/>
    <n v="0"/>
    <n v="4"/>
    <n v="0"/>
    <n v="0"/>
    <x v="1"/>
    <n v="-214"/>
    <n v="0"/>
    <n v="0"/>
  </r>
  <r>
    <m/>
    <x v="6"/>
    <s v="A-493-0085"/>
    <n v="3555"/>
    <s v="Global Online"/>
    <d v="2024-01-16T00:00:00"/>
    <d v="2024-01-19T00:00:00"/>
    <m/>
    <d v="1899-12-30T19:00:00"/>
    <d v="1899-12-30T16:00:00"/>
    <d v="1899-12-30T02:00:00"/>
    <d v="1899-12-30T00:00:00"/>
    <d v="1899-12-30T13:00:00"/>
    <d v="1899-12-30T08:00:00"/>
    <s v="B. Jung"/>
    <s v="B. Winslow"/>
    <e v="#REF!"/>
    <e v="#REF!"/>
    <m/>
    <m/>
    <m/>
    <n v="30"/>
    <n v="4"/>
    <n v="86"/>
    <n v="30"/>
    <n v="0"/>
    <n v="25"/>
    <n v="0"/>
    <n v="4"/>
    <n v="0"/>
    <n v="0"/>
    <x v="4"/>
    <n v="-214"/>
    <n v="0"/>
    <n v="0"/>
  </r>
  <r>
    <m/>
    <x v="26"/>
    <s v="A-493-2098"/>
    <s v="09WW"/>
    <s v="Global Online"/>
    <d v="2024-01-16T00:00:00"/>
    <d v="2024-01-19T00:00:00"/>
    <m/>
    <d v="1899-12-30T13:00:00"/>
    <d v="1899-12-30T10:00:00"/>
    <d v="1899-12-30T21:00:00"/>
    <d v="1899-12-30T19:00:00"/>
    <d v="1899-12-30T08:00:00"/>
    <d v="1899-12-30T03:00:00"/>
    <s v="LSC Rouse "/>
    <m/>
    <e v="#REF!"/>
    <e v="#REF!"/>
    <m/>
    <m/>
    <m/>
    <n v="100"/>
    <n v="5"/>
    <n v="1257"/>
    <n v="100"/>
    <n v="3"/>
    <n v="75"/>
    <n v="6"/>
    <n v="22"/>
    <n v="1"/>
    <n v="0"/>
    <x v="2"/>
    <n v="-214"/>
    <n v="0"/>
    <n v="0"/>
  </r>
  <r>
    <m/>
    <x v="24"/>
    <s v="A-493-0092"/>
    <n v="5891"/>
    <s v="Norfolk, VA Classroom 1"/>
    <d v="2024-01-17T00:00:00"/>
    <d v="2024-01-19T00:00:00"/>
    <d v="1899-12-30T08:00:00"/>
    <m/>
    <m/>
    <m/>
    <m/>
    <m/>
    <m/>
    <s v="A. Harris"/>
    <s v="W. Mitchell"/>
    <e v="#REF!"/>
    <e v="#REF!"/>
    <m/>
    <m/>
    <m/>
    <n v="25"/>
    <n v="3"/>
    <n v="192"/>
    <n v="16"/>
    <n v="0"/>
    <n v="15"/>
    <n v="0"/>
    <n v="1"/>
    <n v="1"/>
    <n v="0"/>
    <x v="2"/>
    <n v="-214"/>
    <n v="0"/>
    <n v="0"/>
  </r>
  <r>
    <m/>
    <x v="1"/>
    <s v="A-493-0103"/>
    <s v="12JY"/>
    <s v="Coronado, CA"/>
    <d v="2024-01-22T00:00:00"/>
    <d v="2024-01-26T00:00:00"/>
    <d v="1899-12-30T08:00:00"/>
    <m/>
    <m/>
    <m/>
    <m/>
    <m/>
    <m/>
    <s v="SOH Contractor"/>
    <m/>
    <e v="#REF!"/>
    <e v="#REF!"/>
    <m/>
    <m/>
    <m/>
    <n v="25"/>
    <n v="5"/>
    <n v="152"/>
    <n v="25"/>
    <n v="5"/>
    <n v="19"/>
    <n v="0"/>
    <n v="7"/>
    <n v="2"/>
    <n v="0"/>
    <x v="1"/>
    <n v="-207"/>
    <n v="0"/>
    <n v="0"/>
  </r>
  <r>
    <m/>
    <x v="2"/>
    <s v="A-493-0030"/>
    <s v="286X"/>
    <s v="San Diego, CA"/>
    <d v="2024-01-22T00:00:00"/>
    <d v="2024-01-26T00:00:00"/>
    <d v="1899-12-30T08:00:00"/>
    <m/>
    <m/>
    <m/>
    <m/>
    <m/>
    <m/>
    <s v="IH Contractor"/>
    <m/>
    <e v="#REF!"/>
    <e v="#REF!"/>
    <m/>
    <m/>
    <m/>
    <n v="25"/>
    <n v="5"/>
    <n v="59"/>
    <n v="25"/>
    <n v="1"/>
    <n v="22"/>
    <n v="0"/>
    <n v="5"/>
    <n v="2"/>
    <n v="0"/>
    <x v="2"/>
    <n v="-207"/>
    <n v="0"/>
    <n v="0"/>
  </r>
  <r>
    <m/>
    <x v="22"/>
    <s v="A-493-0061"/>
    <s v="288E"/>
    <s v="Global Online"/>
    <d v="2024-01-22T00:00:00"/>
    <d v="2024-01-26T00:00:00"/>
    <m/>
    <d v="1899-12-30T11:00:00"/>
    <d v="1899-12-30T08:00:00"/>
    <d v="1899-12-30T19:00:00"/>
    <d v="1899-12-30T17:00:00"/>
    <d v="1899-12-30T06:00:00"/>
    <d v="1899-12-30T01:00:00"/>
    <s v="S. Griffin"/>
    <m/>
    <e v="#REF!"/>
    <e v="#REF!"/>
    <m/>
    <m/>
    <m/>
    <n v="45"/>
    <n v="5"/>
    <n v="430"/>
    <n v="15"/>
    <n v="0"/>
    <n v="11"/>
    <n v="1"/>
    <n v="1"/>
    <n v="0"/>
    <n v="0"/>
    <x v="1"/>
    <n v="-207"/>
    <n v="0"/>
    <n v="0"/>
  </r>
  <r>
    <m/>
    <x v="28"/>
    <s v="A-322-2604"/>
    <s v="10ZZ"/>
    <s v="Global Online"/>
    <d v="2024-01-22T00:00:00"/>
    <d v="2024-01-26T00:00:00"/>
    <m/>
    <d v="1899-12-30T13:00:00"/>
    <d v="1899-12-30T10:00:00"/>
    <d v="1899-12-30T21:00:00"/>
    <d v="1899-12-30T19:00:00"/>
    <d v="1899-12-30T08:00:00"/>
    <d v="1899-12-30T03:00:00"/>
    <s v="LSC Rouse "/>
    <m/>
    <e v="#REF!"/>
    <e v="#REF!"/>
    <m/>
    <m/>
    <m/>
    <n v="45"/>
    <n v="5"/>
    <n v="653"/>
    <n v="45"/>
    <n v="3"/>
    <n v="38"/>
    <n v="0"/>
    <n v="9"/>
    <n v="0"/>
    <n v="0"/>
    <x v="4"/>
    <n v="-207"/>
    <n v="0"/>
    <n v="0"/>
  </r>
  <r>
    <m/>
    <x v="3"/>
    <s v="A-493-0077"/>
    <s v="0381"/>
    <s v="San Diego, CA"/>
    <d v="2024-01-22T00:00:00"/>
    <d v="2024-01-24T00:00:00"/>
    <d v="1899-12-30T08:00:00"/>
    <m/>
    <m/>
    <m/>
    <m/>
    <m/>
    <m/>
    <s v="ENV Contractor"/>
    <m/>
    <e v="#REF!"/>
    <e v="#REF!"/>
    <m/>
    <m/>
    <m/>
    <n v="25"/>
    <n v="3"/>
    <n v="93"/>
    <n v="9"/>
    <n v="0"/>
    <n v="6"/>
    <n v="0"/>
    <n v="3"/>
    <n v="0"/>
    <n v="0"/>
    <x v="3"/>
    <n v="-209"/>
    <n v="0"/>
    <n v="0"/>
  </r>
  <r>
    <m/>
    <x v="33"/>
    <s v="A-493-2300"/>
    <s v="993F"/>
    <s v="Yokosuka, Japan"/>
    <d v="2024-01-22T00:00:00"/>
    <d v="2024-01-23T00:00:00"/>
    <d v="1899-12-30T08:00:00"/>
    <m/>
    <m/>
    <m/>
    <m/>
    <m/>
    <m/>
    <s v="ENV Contractor"/>
    <m/>
    <e v="#REF!"/>
    <e v="#REF!"/>
    <m/>
    <m/>
    <m/>
    <n v="30"/>
    <n v="2"/>
    <n v="27"/>
    <n v="30"/>
    <n v="1"/>
    <n v="33"/>
    <n v="0"/>
    <n v="10"/>
    <n v="13"/>
    <n v="0"/>
    <x v="3"/>
    <n v="-210"/>
    <n v="0"/>
    <n v="0"/>
  </r>
  <r>
    <m/>
    <x v="4"/>
    <s v="A-493-0550"/>
    <s v="09K5"/>
    <s v="Global Online"/>
    <d v="2024-01-22T00:00:00"/>
    <d v="2024-01-26T00:00:00"/>
    <m/>
    <d v="1899-12-30T13:00:00"/>
    <d v="1899-12-30T10:00:00"/>
    <d v="1899-12-30T21:00:00"/>
    <d v="1899-12-30T19:00:00"/>
    <d v="1899-12-30T08:00:00"/>
    <d v="1899-12-30T03:00:00"/>
    <s v="D. Rodriguez"/>
    <m/>
    <e v="#REF!"/>
    <e v="#REF!"/>
    <m/>
    <m/>
    <m/>
    <n v="45"/>
    <n v="4"/>
    <n v="746"/>
    <n v="45"/>
    <n v="1"/>
    <n v="38"/>
    <n v="1"/>
    <n v="7"/>
    <n v="1"/>
    <n v="0"/>
    <x v="2"/>
    <n v="-207"/>
    <n v="0"/>
    <n v="0"/>
  </r>
  <r>
    <s v=" "/>
    <x v="5"/>
    <s v="A-493-0078"/>
    <n v="1228"/>
    <s v="Global Online"/>
    <d v="2024-01-22T00:00:00"/>
    <d v="2024-01-26T00:00:00"/>
    <m/>
    <d v="1899-12-30T19:00:00"/>
    <d v="1899-12-30T16:00:00"/>
    <d v="1899-12-30T03:00:00"/>
    <d v="1899-12-30T01:00:00"/>
    <d v="1899-12-30T14:00:00"/>
    <d v="1899-12-30T09:00:00"/>
    <s v="T. White"/>
    <m/>
    <e v="#REF!"/>
    <e v="#REF!"/>
    <m/>
    <m/>
    <m/>
    <n v="45"/>
    <n v="5"/>
    <n v="114"/>
    <n v="26"/>
    <n v="0"/>
    <n v="25"/>
    <n v="0"/>
    <n v="1"/>
    <n v="0"/>
    <n v="0"/>
    <x v="2"/>
    <n v="-207"/>
    <n v="0"/>
    <n v="0"/>
  </r>
  <r>
    <m/>
    <x v="34"/>
    <s v="A-493-0013"/>
    <n v="3683"/>
    <s v="Andros, Bahamas"/>
    <d v="2024-01-23T00:00:00"/>
    <d v="2024-01-25T00:00:00"/>
    <d v="1899-12-30T08:00:00"/>
    <m/>
    <m/>
    <m/>
    <m/>
    <m/>
    <m/>
    <s v="ENV Contractor"/>
    <m/>
    <e v="#REF!"/>
    <e v="#REF!"/>
    <m/>
    <m/>
    <m/>
    <n v="40"/>
    <n v="3"/>
    <n v="0"/>
    <n v="13"/>
    <n v="0"/>
    <n v="16"/>
    <n v="0"/>
    <n v="1"/>
    <n v="3"/>
    <n v="0"/>
    <x v="3"/>
    <n v="-208"/>
    <n v="0"/>
    <n v="0"/>
  </r>
  <r>
    <m/>
    <x v="16"/>
    <s v="A-493-0099"/>
    <s v="12JW"/>
    <s v="Global Online"/>
    <d v="2024-01-23T00:00:00"/>
    <d v="2024-01-25T00:00:00"/>
    <m/>
    <d v="1899-12-30T13:00:00"/>
    <d v="1899-12-30T10:00:00"/>
    <d v="1899-12-30T21:00:00"/>
    <d v="1899-12-30T19:00:00"/>
    <d v="1899-12-30T08:00:00"/>
    <d v="1899-12-30T03:00:00"/>
    <s v="V. Kentish"/>
    <m/>
    <e v="#REF!"/>
    <e v="#REF!"/>
    <m/>
    <m/>
    <m/>
    <n v="45"/>
    <n v="3"/>
    <n v="682"/>
    <n v="45"/>
    <n v="0"/>
    <n v="40"/>
    <n v="0"/>
    <n v="4"/>
    <n v="0"/>
    <n v="0"/>
    <x v="1"/>
    <n v="-208"/>
    <n v="0"/>
    <n v="0"/>
  </r>
  <r>
    <s v="23-26 Jan"/>
    <x v="7"/>
    <s v="A-493-0072"/>
    <s v="713U"/>
    <s v="Mayport, FL"/>
    <d v="2024-01-23T00:00:00"/>
    <d v="2024-01-26T00:00:00"/>
    <d v="1899-12-30T08:00:00"/>
    <m/>
    <m/>
    <m/>
    <m/>
    <m/>
    <m/>
    <s v="B. Winslow"/>
    <s v="A. Harris"/>
    <e v="#REF!"/>
    <e v="#REF!"/>
    <m/>
    <m/>
    <m/>
    <n v="30"/>
    <n v="4"/>
    <n v="34"/>
    <n v="30"/>
    <n v="0"/>
    <n v="28"/>
    <n v="0"/>
    <n v="2"/>
    <n v="0"/>
    <n v="0"/>
    <x v="4"/>
    <n v="-207"/>
    <n v="0"/>
    <n v="0"/>
  </r>
  <r>
    <m/>
    <x v="30"/>
    <s v="A-493-2501"/>
    <s v="05ZE"/>
    <s v="Yokosuka, Japan"/>
    <d v="2024-01-25T00:00:00"/>
    <d v="2024-01-25T00:00:00"/>
    <d v="1899-12-30T08:00:00"/>
    <m/>
    <m/>
    <m/>
    <m/>
    <m/>
    <m/>
    <s v="ENV Contractor"/>
    <m/>
    <e v="#REF!"/>
    <e v="#REF!"/>
    <m/>
    <m/>
    <m/>
    <n v="30"/>
    <n v="1"/>
    <n v="114"/>
    <n v="30"/>
    <n v="5"/>
    <n v="31"/>
    <n v="0"/>
    <n v="15"/>
    <n v="12"/>
    <n v="10"/>
    <x v="3"/>
    <n v="-208"/>
    <n v="0"/>
    <n v="0"/>
  </r>
  <r>
    <m/>
    <x v="35"/>
    <s v="A-493-0216"/>
    <s v="12X8"/>
    <s v="Yokosuka, Japan"/>
    <d v="2024-01-26T00:00:00"/>
    <d v="2024-01-26T00:00:00"/>
    <d v="1899-12-30T08:00:00"/>
    <m/>
    <m/>
    <m/>
    <m/>
    <m/>
    <m/>
    <s v="ENV Contractor"/>
    <m/>
    <e v="#REF!"/>
    <e v="#REF!"/>
    <m/>
    <m/>
    <m/>
    <n v="30"/>
    <n v="1"/>
    <n v="40"/>
    <n v="30"/>
    <n v="0"/>
    <n v="29"/>
    <n v="0"/>
    <n v="13"/>
    <n v="12"/>
    <n v="8"/>
    <x v="2"/>
    <n v="-207"/>
    <n v="0"/>
    <n v="0"/>
  </r>
  <r>
    <m/>
    <x v="28"/>
    <s v="A-322-2604"/>
    <s v="10ZZ"/>
    <s v="Global Online"/>
    <d v="2024-01-29T00:00:00"/>
    <d v="2024-02-02T00:00:00"/>
    <m/>
    <d v="1899-12-30T08:00:00"/>
    <d v="1899-12-30T05:00:00"/>
    <d v="1899-12-30T16:00:00"/>
    <d v="1899-12-30T14:00:00"/>
    <d v="1899-12-30T03:00:00"/>
    <d v="1899-12-30T22:00:00"/>
    <s v="LSC Rouse "/>
    <m/>
    <e v="#REF!"/>
    <e v="#REF!"/>
    <m/>
    <m/>
    <m/>
    <n v="45"/>
    <n v="5"/>
    <n v="403"/>
    <n v="45"/>
    <n v="0"/>
    <n v="41"/>
    <n v="0"/>
    <n v="6"/>
    <n v="3"/>
    <n v="0"/>
    <x v="4"/>
    <n v="-200"/>
    <n v="0"/>
    <n v="0"/>
  </r>
  <r>
    <m/>
    <x v="24"/>
    <s v="A-493-0092"/>
    <n v="5891"/>
    <s v="Mayport, FL"/>
    <d v="2024-01-29T00:00:00"/>
    <d v="2024-01-31T00:00:00"/>
    <d v="1899-12-30T08:00:00"/>
    <m/>
    <m/>
    <m/>
    <m/>
    <m/>
    <m/>
    <s v="B. Winslow"/>
    <s v="A. Harris"/>
    <e v="#REF!"/>
    <e v="#REF!"/>
    <m/>
    <m/>
    <m/>
    <n v="25"/>
    <n v="3"/>
    <n v="12"/>
    <n v="16"/>
    <n v="0"/>
    <n v="14"/>
    <n v="0"/>
    <n v="2"/>
    <n v="2"/>
    <n v="0"/>
    <x v="2"/>
    <n v="-202"/>
    <n v="0"/>
    <n v="0"/>
  </r>
  <r>
    <m/>
    <x v="23"/>
    <s v="A-493-0335"/>
    <s v="09ND"/>
    <s v="Global Online"/>
    <d v="2024-01-29T00:00:00"/>
    <d v="2024-02-01T00:00:00"/>
    <m/>
    <d v="1899-12-30T08:00:00"/>
    <d v="1899-12-30T06:00:00"/>
    <d v="1899-12-30T17:00:00"/>
    <d v="1899-12-30T15:00:00"/>
    <d v="1899-12-30T04:00:00"/>
    <d v="1899-12-30T23:00:00"/>
    <s v="W. Mitchell"/>
    <s v="B. Jung"/>
    <e v="#REF!"/>
    <e v="#REF!"/>
    <m/>
    <m/>
    <m/>
    <n v="30"/>
    <n v="4"/>
    <n v="368"/>
    <n v="30"/>
    <n v="4"/>
    <n v="27"/>
    <n v="1"/>
    <n v="3"/>
    <n v="0"/>
    <n v="0"/>
    <x v="4"/>
    <n v="-201"/>
    <n v="0"/>
    <n v="0"/>
  </r>
  <r>
    <m/>
    <x v="15"/>
    <s v="A-570-0100"/>
    <s v="18B7"/>
    <s v="Global Online"/>
    <d v="2024-01-29T00:00:00"/>
    <d v="2024-02-01T00:00:00"/>
    <m/>
    <d v="1899-12-30T13:00:00"/>
    <d v="1899-12-30T10:00:00"/>
    <d v="1899-12-30T21:00:00"/>
    <d v="1899-12-30T19:00:00"/>
    <d v="1899-12-30T08:00:00"/>
    <d v="1899-12-30T03:00:00"/>
    <s v="BMC Sosaya"/>
    <m/>
    <e v="#REF!"/>
    <e v="#REF!"/>
    <m/>
    <m/>
    <m/>
    <n v="30"/>
    <n v="4"/>
    <n v="459"/>
    <n v="30"/>
    <n v="4"/>
    <n v="20"/>
    <n v="2"/>
    <n v="10"/>
    <n v="2"/>
    <n v="0"/>
    <x v="4"/>
    <n v="-201"/>
    <n v="0"/>
    <n v="0"/>
  </r>
  <r>
    <m/>
    <x v="26"/>
    <s v="A-493-2098"/>
    <s v="09WW"/>
    <s v="Global Online"/>
    <d v="2024-01-29T00:00:00"/>
    <d v="2024-02-02T00:00:00"/>
    <m/>
    <d v="1899-12-30T13:00:00"/>
    <d v="1899-12-30T10:00:00"/>
    <d v="1899-12-30T21:00:00"/>
    <d v="1899-12-30T19:00:00"/>
    <d v="1899-12-30T08:00:00"/>
    <d v="1899-12-30T03:00:00"/>
    <s v="LSC Rouse "/>
    <m/>
    <e v="#REF!"/>
    <e v="#REF!"/>
    <m/>
    <m/>
    <m/>
    <n v="100"/>
    <n v="5"/>
    <n v="1257"/>
    <n v="100"/>
    <n v="3"/>
    <n v="88"/>
    <n v="4"/>
    <n v="11"/>
    <n v="0"/>
    <n v="0"/>
    <x v="2"/>
    <n v="-200"/>
    <n v="0"/>
    <n v="0"/>
  </r>
  <r>
    <m/>
    <x v="31"/>
    <s v="A-493-0665"/>
    <s v="10KW"/>
    <s v="Global Online"/>
    <d v="2024-02-05T00:00:00"/>
    <d v="2024-02-09T00:00:00"/>
    <m/>
    <d v="1899-12-30T08:00:00"/>
    <d v="1899-12-30T05:00:00"/>
    <d v="1899-12-30T16:00:00"/>
    <d v="1899-12-30T14:00:00"/>
    <d v="1899-12-30T03:00:00"/>
    <d v="1899-12-30T22:00:00"/>
    <s v="LSC Rouse "/>
    <m/>
    <e v="#REF!"/>
    <e v="#REF!"/>
    <m/>
    <m/>
    <m/>
    <n v="45"/>
    <n v="5"/>
    <n v="127"/>
    <n v="44"/>
    <n v="0"/>
    <n v="33"/>
    <n v="2"/>
    <n v="9"/>
    <n v="0"/>
    <n v="0"/>
    <x v="3"/>
    <n v="-193"/>
    <n v="0"/>
    <n v="0"/>
  </r>
  <r>
    <m/>
    <x v="1"/>
    <s v="A-493-0103"/>
    <s v="12JY"/>
    <s v="Mayport, FL"/>
    <d v="2024-02-05T00:00:00"/>
    <d v="2024-02-09T00:00:00"/>
    <d v="1899-12-30T08:00:00"/>
    <m/>
    <m/>
    <m/>
    <m/>
    <m/>
    <m/>
    <s v="SOH Contractor"/>
    <m/>
    <e v="#REF!"/>
    <e v="#REF!"/>
    <m/>
    <m/>
    <m/>
    <n v="25"/>
    <n v="5"/>
    <n v="58"/>
    <n v="25"/>
    <n v="0"/>
    <n v="16"/>
    <n v="0"/>
    <n v="10"/>
    <n v="0"/>
    <n v="0"/>
    <x v="1"/>
    <n v="-193"/>
    <n v="0"/>
    <n v="0"/>
  </r>
  <r>
    <m/>
    <x v="27"/>
    <s v="A-493-0012"/>
    <n v="3682"/>
    <s v="Key West, FL"/>
    <d v="2024-02-05T00:00:00"/>
    <d v="2024-02-09T00:00:00"/>
    <d v="1899-12-30T08:00:00"/>
    <m/>
    <m/>
    <m/>
    <m/>
    <m/>
    <m/>
    <s v="ENV Contractor"/>
    <m/>
    <e v="#REF!"/>
    <e v="#REF!"/>
    <m/>
    <m/>
    <m/>
    <n v="40"/>
    <n v="5"/>
    <n v="15"/>
    <n v="28"/>
    <n v="0"/>
    <n v="28"/>
    <n v="0"/>
    <n v="0"/>
    <n v="0"/>
    <n v="0"/>
    <x v="3"/>
    <n v="-193"/>
    <n v="0"/>
    <n v="0"/>
  </r>
  <r>
    <m/>
    <x v="34"/>
    <s v="A-493-0013"/>
    <n v="3683"/>
    <s v="Ventura County, CA"/>
    <d v="2024-02-05T00:00:00"/>
    <d v="2024-02-07T00:00:00"/>
    <d v="1899-12-30T08:00:00"/>
    <m/>
    <m/>
    <m/>
    <m/>
    <m/>
    <m/>
    <s v="ENV Contractor"/>
    <m/>
    <e v="#REF!"/>
    <e v="#REF!"/>
    <m/>
    <m/>
    <m/>
    <n v="40"/>
    <n v="3"/>
    <n v="0"/>
    <n v="11"/>
    <n v="0"/>
    <n v="14"/>
    <n v="0"/>
    <n v="1"/>
    <n v="4"/>
    <n v="0"/>
    <x v="3"/>
    <n v="-195"/>
    <n v="0"/>
    <n v="0"/>
  </r>
  <r>
    <m/>
    <x v="22"/>
    <s v="A-493-0061"/>
    <s v="288E"/>
    <s v="Global Online"/>
    <d v="2024-02-05T00:00:00"/>
    <d v="2024-02-09T00:00:00"/>
    <m/>
    <d v="1899-12-30T19:00:00"/>
    <d v="1899-12-30T16:00:00"/>
    <d v="1899-12-30T03:00:00"/>
    <d v="1899-12-30T01:00:00"/>
    <d v="1899-12-30T14:00:00"/>
    <d v="1899-12-30T09:00:00"/>
    <s v="S. Griffin"/>
    <m/>
    <e v="#REF!"/>
    <e v="#REF!"/>
    <m/>
    <m/>
    <m/>
    <n v="45"/>
    <n v="5"/>
    <n v="231"/>
    <n v="11"/>
    <n v="0"/>
    <n v="10"/>
    <n v="0"/>
    <n v="1"/>
    <n v="1"/>
    <n v="0"/>
    <x v="1"/>
    <n v="-193"/>
    <n v="0"/>
    <n v="0"/>
  </r>
  <r>
    <m/>
    <x v="28"/>
    <s v="A-322-2604"/>
    <s v="10ZZ"/>
    <s v="Global Online"/>
    <d v="2024-02-05T00:00:00"/>
    <d v="2024-02-09T00:00:00"/>
    <m/>
    <d v="1899-12-30T13:00:00"/>
    <d v="1899-12-30T10:00:00"/>
    <d v="1899-12-30T21:00:00"/>
    <d v="1899-12-30T19:00:00"/>
    <d v="1899-12-30T08:00:00"/>
    <d v="1899-12-30T03:00:00"/>
    <s v="LSC Rouse "/>
    <m/>
    <e v="#REF!"/>
    <e v="#REF!"/>
    <m/>
    <m/>
    <m/>
    <n v="45"/>
    <n v="5"/>
    <n v="653"/>
    <n v="45"/>
    <n v="1"/>
    <n v="40"/>
    <n v="1"/>
    <n v="5"/>
    <n v="0"/>
    <n v="0"/>
    <x v="4"/>
    <n v="-193"/>
    <n v="0"/>
    <n v="0"/>
  </r>
  <r>
    <m/>
    <x v="3"/>
    <s v="A-493-0077"/>
    <s v="0381"/>
    <s v="Bangor, WA"/>
    <d v="2024-02-05T00:00:00"/>
    <d v="2024-02-07T00:00:00"/>
    <d v="1899-12-30T08:00:00"/>
    <m/>
    <m/>
    <m/>
    <m/>
    <m/>
    <m/>
    <s v="ENV Contractor"/>
    <m/>
    <e v="#REF!"/>
    <e v="#REF!"/>
    <m/>
    <m/>
    <m/>
    <n v="25"/>
    <n v="3"/>
    <n v="74"/>
    <n v="24"/>
    <n v="0"/>
    <n v="19"/>
    <n v="0"/>
    <n v="5"/>
    <n v="0"/>
    <n v="0"/>
    <x v="3"/>
    <n v="-195"/>
    <n v="0"/>
    <n v="0"/>
  </r>
  <r>
    <m/>
    <x v="4"/>
    <s v="A-493-0550"/>
    <s v="09K5"/>
    <s v="Global Online"/>
    <d v="2024-02-05T00:00:00"/>
    <d v="2024-02-09T00:00:00"/>
    <m/>
    <d v="1899-12-30T19:00:00"/>
    <d v="1899-12-30T16:00:00"/>
    <d v="1899-12-30T03:00:00"/>
    <d v="1899-12-30T01:00:00"/>
    <d v="1899-12-30T14:00:00"/>
    <d v="1899-12-30T09:00:00"/>
    <s v="D. Rodriguez"/>
    <m/>
    <e v="#REF!"/>
    <e v="#REF!"/>
    <m/>
    <m/>
    <m/>
    <n v="45"/>
    <n v="4"/>
    <n v="167"/>
    <n v="45"/>
    <n v="4"/>
    <n v="36"/>
    <n v="1"/>
    <n v="8"/>
    <n v="2"/>
    <n v="0"/>
    <x v="2"/>
    <n v="-193"/>
    <n v="0"/>
    <n v="0"/>
  </r>
  <r>
    <m/>
    <x v="5"/>
    <s v="A-493-0078"/>
    <n v="1228"/>
    <s v="Global Online"/>
    <d v="2024-02-05T00:00:00"/>
    <d v="2024-02-09T00:00:00"/>
    <m/>
    <d v="1899-12-30T10:00:00"/>
    <d v="1899-12-30T07:00:00"/>
    <d v="1899-12-30T18:00:00"/>
    <d v="1899-12-30T16:00:00"/>
    <d v="1899-12-30T05:00:00"/>
    <d v="1899-12-30T00:00:00"/>
    <s v="T. White"/>
    <m/>
    <e v="#REF!"/>
    <e v="#REF!"/>
    <m/>
    <m/>
    <m/>
    <n v="45"/>
    <n v="5"/>
    <n v="543"/>
    <n v="37"/>
    <n v="0"/>
    <n v="34"/>
    <n v="0"/>
    <n v="3"/>
    <n v="0"/>
    <n v="0"/>
    <x v="2"/>
    <n v="-193"/>
    <n v="0"/>
    <n v="0"/>
  </r>
  <r>
    <m/>
    <x v="18"/>
    <s v="F-4J-0023"/>
    <s v="11A2"/>
    <s v="Global Online"/>
    <d v="2024-02-05T00:00:00"/>
    <d v="2024-02-09T00:00:00"/>
    <m/>
    <d v="1899-12-30T13:00:00"/>
    <d v="1899-12-30T10:00:00"/>
    <d v="1899-12-30T21:00:00"/>
    <d v="1899-12-30T19:00:00"/>
    <d v="1899-12-30T08:00:00"/>
    <d v="1899-12-30T03:00:00"/>
    <s v="LCDR Overton"/>
    <s v="LTJG Andrew"/>
    <e v="#REF!"/>
    <e v="#REF!"/>
    <m/>
    <m/>
    <m/>
    <n v="25"/>
    <n v="2"/>
    <n v="45"/>
    <n v="13"/>
    <n v="0"/>
    <n v="7"/>
    <n v="0"/>
    <n v="4"/>
    <n v="0"/>
    <n v="0"/>
    <x v="4"/>
    <n v="-193"/>
    <n v="0"/>
    <n v="0"/>
  </r>
  <r>
    <m/>
    <x v="36"/>
    <s v="A-493-2017"/>
    <s v="12x3"/>
    <s v="Baltimore, MD"/>
    <d v="2024-02-05T00:00:00"/>
    <d v="2024-02-09T00:00:00"/>
    <d v="1899-12-30T08:00:00"/>
    <m/>
    <m/>
    <m/>
    <m/>
    <m/>
    <m/>
    <s v="ENV Contractor"/>
    <m/>
    <e v="#REF!"/>
    <e v="#REF!"/>
    <m/>
    <m/>
    <m/>
    <n v="25"/>
    <n v="2"/>
    <n v="0"/>
    <n v="24"/>
    <n v="0"/>
    <n v="25"/>
    <n v="0"/>
    <n v="8"/>
    <n v="9"/>
    <n v="0"/>
    <x v="6"/>
    <n v="-193"/>
    <n v="0"/>
    <n v="0"/>
  </r>
  <r>
    <m/>
    <x v="16"/>
    <s v="A-493-0099"/>
    <s v="12JW"/>
    <s v="Global Online"/>
    <d v="2024-02-06T00:00:00"/>
    <d v="2024-02-08T00:00:00"/>
    <m/>
    <d v="1899-12-30T08:00:00"/>
    <d v="1899-12-30T05:00:00"/>
    <d v="1899-12-30T16:00:00"/>
    <d v="1899-12-30T14:00:00"/>
    <d v="1899-12-30T03:00:00"/>
    <d v="1899-12-30T22:00:00"/>
    <s v="V. Kentish"/>
    <m/>
    <e v="#REF!"/>
    <e v="#REF!"/>
    <m/>
    <m/>
    <m/>
    <n v="45"/>
    <n v="3"/>
    <n v="431"/>
    <n v="37"/>
    <n v="0"/>
    <n v="32"/>
    <n v="0"/>
    <n v="5"/>
    <n v="0"/>
    <n v="0"/>
    <x v="1"/>
    <n v="-194"/>
    <n v="0"/>
    <n v="0"/>
  </r>
  <r>
    <m/>
    <x v="19"/>
    <s v="A-493-0075 "/>
    <s v="714U"/>
    <s v="Port Hueneme, CA"/>
    <d v="2024-02-06T00:00:00"/>
    <d v="2024-02-09T00:00:00"/>
    <d v="1899-12-30T08:00:00"/>
    <m/>
    <m/>
    <m/>
    <m/>
    <m/>
    <m/>
    <s v="SOH Contractor"/>
    <m/>
    <e v="#REF!"/>
    <e v="#REF!"/>
    <m/>
    <m/>
    <m/>
    <n v="30"/>
    <n v="4"/>
    <n v="29"/>
    <n v="9"/>
    <n v="0"/>
    <n v="8"/>
    <n v="0"/>
    <n v="1"/>
    <n v="0"/>
    <n v="0"/>
    <x v="1"/>
    <n v="-193"/>
    <n v="0"/>
    <n v="0"/>
  </r>
  <r>
    <m/>
    <x v="20"/>
    <s v="A-493-0331"/>
    <s v="10UG"/>
    <s v="Global Online"/>
    <d v="2024-02-06T00:00:00"/>
    <d v="2024-02-08T00:00:00"/>
    <m/>
    <d v="1899-12-30T12:00:00"/>
    <d v="1899-12-30T09:00:00"/>
    <d v="1899-12-30T20:00:00"/>
    <d v="1899-12-30T18:00:00"/>
    <d v="1899-12-30T07:00:00"/>
    <d v="1899-12-30T02:00:00"/>
    <s v="B. Winslow"/>
    <s v="A. Harris"/>
    <e v="#REF!"/>
    <e v="#REF!"/>
    <m/>
    <m/>
    <m/>
    <n v="40"/>
    <n v="3"/>
    <n v="709"/>
    <n v="40"/>
    <n v="5"/>
    <n v="33"/>
    <n v="0"/>
    <n v="8"/>
    <n v="0"/>
    <n v="0"/>
    <x v="4"/>
    <n v="-194"/>
    <n v="0"/>
    <n v="0"/>
  </r>
  <r>
    <m/>
    <x v="34"/>
    <s v="A-493-0013"/>
    <n v="3683"/>
    <s v="Seal Beach, CA"/>
    <d v="2024-02-08T00:00:00"/>
    <d v="2024-02-10T00:00:00"/>
    <d v="1899-12-30T08:00:00"/>
    <m/>
    <m/>
    <m/>
    <m/>
    <m/>
    <m/>
    <s v="ENV Contractor"/>
    <m/>
    <e v="#REF!"/>
    <e v="#REF!"/>
    <m/>
    <m/>
    <m/>
    <n v="40"/>
    <n v="3"/>
    <n v="5"/>
    <n v="6"/>
    <n v="0"/>
    <n v="9"/>
    <n v="0"/>
    <n v="1"/>
    <n v="4"/>
    <n v="0"/>
    <x v="3"/>
    <n v="-192"/>
    <n v="0"/>
    <n v="0"/>
  </r>
  <r>
    <m/>
    <x v="8"/>
    <s v="A-493-0083"/>
    <s v="339E"/>
    <s v="Bangor, WA"/>
    <d v="2024-02-08T00:00:00"/>
    <d v="2024-02-08T00:00:00"/>
    <d v="1899-12-30T08:00:00"/>
    <m/>
    <m/>
    <m/>
    <m/>
    <m/>
    <m/>
    <s v="ENV Contractor"/>
    <m/>
    <e v="#REF!"/>
    <e v="#REF!"/>
    <m/>
    <m/>
    <m/>
    <n v="30"/>
    <n v="1"/>
    <n v="89"/>
    <n v="30"/>
    <m/>
    <n v="30"/>
    <n v="0"/>
    <n v="1"/>
    <n v="1"/>
    <n v="0"/>
    <x v="6"/>
    <n v="-194"/>
    <n v="0"/>
    <n v="0"/>
  </r>
  <r>
    <m/>
    <x v="0"/>
    <s v="A-4J-0022"/>
    <s v="09ER"/>
    <s v="Global Online"/>
    <d v="2024-02-12T00:00:00"/>
    <d v="2024-02-16T00:00:00"/>
    <m/>
    <d v="1899-12-30T13:00:00"/>
    <d v="1899-12-30T10:00:00"/>
    <d v="1899-12-30T21:00:00"/>
    <d v="1899-12-30T19:00:00"/>
    <d v="1899-12-30T08:00:00"/>
    <d v="1899-12-30T03:00:00"/>
    <s v="BMC Sosaya"/>
    <s v="K. Seo"/>
    <e v="#REF!"/>
    <e v="#REF!"/>
    <m/>
    <m/>
    <m/>
    <n v="45"/>
    <n v="5"/>
    <n v="282"/>
    <n v="32"/>
    <n v="0"/>
    <n v="24"/>
    <n v="1"/>
    <n v="7"/>
    <n v="0"/>
    <n v="0"/>
    <x v="3"/>
    <n v="-186"/>
    <n v="0"/>
    <n v="0"/>
  </r>
  <r>
    <m/>
    <x v="1"/>
    <s v="A-493-0103"/>
    <s v="12JY"/>
    <s v="Mayport, FL"/>
    <d v="2024-02-12T00:00:00"/>
    <d v="2024-02-16T00:00:00"/>
    <d v="1899-12-30T08:00:00"/>
    <m/>
    <m/>
    <m/>
    <m/>
    <m/>
    <m/>
    <s v="SOH Contractor"/>
    <m/>
    <e v="#REF!"/>
    <e v="#REF!"/>
    <m/>
    <m/>
    <m/>
    <n v="25"/>
    <n v="5"/>
    <n v="58"/>
    <n v="25"/>
    <n v="5"/>
    <n v="24"/>
    <n v="0"/>
    <n v="3"/>
    <n v="2"/>
    <n v="0"/>
    <x v="1"/>
    <n v="-186"/>
    <n v="0"/>
    <n v="0"/>
  </r>
  <r>
    <m/>
    <x v="27"/>
    <s v="A-493-0012"/>
    <n v="3682"/>
    <s v="San Diego, CA"/>
    <d v="2024-02-12T00:00:00"/>
    <d v="2024-02-16T00:00:00"/>
    <d v="1899-12-30T08:00:00"/>
    <m/>
    <m/>
    <m/>
    <m/>
    <m/>
    <m/>
    <s v="ENV Contractor"/>
    <m/>
    <e v="#REF!"/>
    <e v="#REF!"/>
    <m/>
    <m/>
    <m/>
    <n v="40"/>
    <n v="5"/>
    <n v="25"/>
    <n v="14"/>
    <n v="0"/>
    <n v="37"/>
    <n v="0"/>
    <n v="2"/>
    <n v="25"/>
    <n v="0"/>
    <x v="3"/>
    <n v="-186"/>
    <n v="0"/>
    <n v="0"/>
  </r>
  <r>
    <m/>
    <x v="19"/>
    <s v="A-493-0075 "/>
    <s v="714U"/>
    <s v="Coronado, CA"/>
    <d v="2024-02-12T00:00:00"/>
    <d v="2024-02-15T00:00:00"/>
    <d v="1899-12-30T08:00:00"/>
    <m/>
    <m/>
    <m/>
    <m/>
    <m/>
    <m/>
    <s v="SOH Contractor"/>
    <m/>
    <e v="#REF!"/>
    <e v="#REF!"/>
    <m/>
    <m/>
    <m/>
    <n v="30"/>
    <n v="4"/>
    <n v="6"/>
    <n v="23"/>
    <n v="0"/>
    <n v="13"/>
    <n v="0"/>
    <n v="10"/>
    <n v="0"/>
    <n v="0"/>
    <x v="1"/>
    <n v="-187"/>
    <n v="0"/>
    <n v="0"/>
  </r>
  <r>
    <m/>
    <x v="28"/>
    <s v="A-322-2604"/>
    <s v="10ZZ"/>
    <s v="Global Online"/>
    <d v="2024-02-12T00:00:00"/>
    <d v="2024-02-16T00:00:00"/>
    <m/>
    <d v="1899-12-30T19:00:00"/>
    <d v="1899-12-30T16:00:00"/>
    <d v="1899-12-30T02:00:00"/>
    <d v="1899-12-30T00:00:00"/>
    <d v="1899-12-30T13:00:00"/>
    <d v="1899-12-30T08:00:00"/>
    <s v="LSC Rouse "/>
    <m/>
    <e v="#REF!"/>
    <e v="#REF!"/>
    <m/>
    <m/>
    <m/>
    <n v="45"/>
    <n v="5"/>
    <n v="97"/>
    <n v="45"/>
    <m/>
    <n v="31"/>
    <n v="4"/>
    <n v="11"/>
    <n v="1"/>
    <n v="0"/>
    <x v="3"/>
    <n v="-186"/>
    <n v="0"/>
    <n v="0"/>
  </r>
  <r>
    <m/>
    <x v="8"/>
    <s v="A-493-0083"/>
    <s v="339E"/>
    <s v="Global Online"/>
    <d v="2024-02-12T00:00:00"/>
    <d v="2024-02-12T00:00:00"/>
    <m/>
    <d v="1903-01-04T11:00:00"/>
    <d v="1903-01-04T08:00:00"/>
    <d v="1899-12-30T19:00:00"/>
    <d v="1899-12-30T17:00:00"/>
    <d v="1899-12-30T06:00:00"/>
    <d v="1899-12-30T01:00:00"/>
    <s v="ENV Contractor"/>
    <m/>
    <e v="#REF!"/>
    <e v="#REF!"/>
    <m/>
    <m/>
    <m/>
    <n v="30"/>
    <n v="1"/>
    <n v="0"/>
    <n v="30"/>
    <n v="2"/>
    <n v="29"/>
    <n v="0"/>
    <n v="3"/>
    <n v="0"/>
    <n v="0"/>
    <x v="6"/>
    <n v="-190"/>
    <n v="0"/>
    <n v="0"/>
  </r>
  <r>
    <m/>
    <x v="6"/>
    <s v="A-493-0085"/>
    <n v="3555"/>
    <s v="Global Online"/>
    <d v="2024-02-12T00:00:00"/>
    <d v="2024-02-15T00:00:00"/>
    <m/>
    <d v="1899-12-30T12:00:00"/>
    <d v="1899-12-30T09:00:00"/>
    <d v="1899-12-30T19:00:00"/>
    <d v="1899-12-30T17:00:00"/>
    <d v="1899-12-30T06:00:00"/>
    <d v="1899-12-30T01:00:00"/>
    <s v="B. Winslow"/>
    <s v="A. Harris"/>
    <e v="#REF!"/>
    <e v="#REF!"/>
    <m/>
    <m/>
    <m/>
    <n v="30"/>
    <n v="4"/>
    <n v="464"/>
    <n v="28"/>
    <n v="0"/>
    <n v="27"/>
    <n v="1"/>
    <n v="2"/>
    <n v="0"/>
    <n v="0"/>
    <x v="4"/>
    <n v="-187"/>
    <n v="0"/>
    <n v="0"/>
  </r>
  <r>
    <m/>
    <x v="34"/>
    <s v="A-493-0013"/>
    <n v="3683"/>
    <s v="Guantanamo Bay, Cuba"/>
    <d v="2024-02-13T00:00:00"/>
    <d v="2024-02-15T00:00:00"/>
    <d v="1899-12-30T08:00:00"/>
    <m/>
    <m/>
    <m/>
    <m/>
    <m/>
    <m/>
    <s v="ENV Contractor"/>
    <m/>
    <e v="#REF!"/>
    <e v="#REF!"/>
    <m/>
    <m/>
    <m/>
    <n v="40"/>
    <n v="3"/>
    <n v="15"/>
    <n v="20"/>
    <n v="0"/>
    <n v="37"/>
    <n v="0"/>
    <n v="3"/>
    <n v="21"/>
    <n v="20"/>
    <x v="3"/>
    <n v="-187"/>
    <n v="0"/>
    <n v="0"/>
  </r>
  <r>
    <s v="Washington's Birthday"/>
    <x v="9"/>
    <s v="Holiday"/>
    <s v="Holiday"/>
    <m/>
    <d v="2024-02-19T00:00:00"/>
    <d v="2024-02-19T00:00:00"/>
    <d v="1899-12-30T00:00:00"/>
    <m/>
    <m/>
    <m/>
    <m/>
    <m/>
    <m/>
    <m/>
    <m/>
    <e v="#REF!"/>
    <e v="#REF!"/>
    <n v="0"/>
    <n v="0"/>
    <n v="0"/>
    <n v="0"/>
    <n v="0"/>
    <n v="0"/>
    <n v="0"/>
    <n v="0"/>
    <n v="0"/>
    <n v="0"/>
    <n v="0"/>
    <n v="0"/>
    <n v="0"/>
    <x v="5"/>
    <n v="-183"/>
    <n v="0"/>
    <n v="0"/>
  </r>
  <r>
    <m/>
    <x v="29"/>
    <s v="A-493-2301"/>
    <s v="05ZD"/>
    <s v="Whidbey Island, WA"/>
    <d v="2024-02-20T00:00:00"/>
    <d v="2024-02-20T00:00:00"/>
    <d v="1899-12-30T08:00:00"/>
    <m/>
    <m/>
    <m/>
    <m/>
    <m/>
    <m/>
    <s v="ENV Contractor"/>
    <m/>
    <e v="#REF!"/>
    <e v="#REF!"/>
    <m/>
    <m/>
    <m/>
    <n v="30"/>
    <n v="1"/>
    <n v="21"/>
    <n v="9"/>
    <n v="0"/>
    <n v="8"/>
    <n v="0"/>
    <n v="3"/>
    <n v="2"/>
    <n v="0"/>
    <x v="3"/>
    <n v="-182"/>
    <n v="0"/>
    <n v="0"/>
  </r>
  <r>
    <m/>
    <x v="23"/>
    <s v="A-493-0335"/>
    <s v="09ND"/>
    <s v="Global Online"/>
    <d v="2024-02-20T00:00:00"/>
    <d v="2024-02-23T00:00:00"/>
    <m/>
    <d v="1899-12-30T12:00:00"/>
    <d v="1899-12-30T09:00:00"/>
    <d v="1899-12-30T20:00:00"/>
    <d v="1899-12-30T18:00:00"/>
    <d v="1899-12-30T07:00:00"/>
    <d v="1899-12-30T02:00:00"/>
    <s v="B. Jung"/>
    <m/>
    <e v="#REF!"/>
    <e v="#REF!"/>
    <m/>
    <m/>
    <m/>
    <n v="30"/>
    <n v="4"/>
    <n v="499"/>
    <n v="30"/>
    <n v="4"/>
    <n v="31"/>
    <n v="0"/>
    <n v="3"/>
    <n v="0"/>
    <n v="0"/>
    <x v="4"/>
    <n v="-179"/>
    <n v="0"/>
    <n v="0"/>
  </r>
  <r>
    <m/>
    <x v="32"/>
    <s v="A-493-0073"/>
    <s v="714S"/>
    <s v="Global Online"/>
    <d v="2024-02-20T00:00:00"/>
    <d v="2024-02-23T00:00:00"/>
    <m/>
    <d v="1899-12-30T13:00:00"/>
    <d v="1899-12-30T10:00:00"/>
    <d v="1899-12-30T21:00:00"/>
    <d v="1899-12-30T19:00:00"/>
    <d v="1899-12-30T08:00:00"/>
    <d v="1899-12-30T03:00:00"/>
    <s v="SOH Contractor"/>
    <m/>
    <e v="#REF!"/>
    <e v="#REF!"/>
    <m/>
    <m/>
    <m/>
    <n v="30"/>
    <n v="4"/>
    <n v="453"/>
    <n v="29"/>
    <n v="0"/>
    <n v="23"/>
    <n v="0"/>
    <n v="6"/>
    <n v="0"/>
    <n v="0"/>
    <x v="1"/>
    <n v="-179"/>
    <n v="0"/>
    <n v="0"/>
  </r>
  <r>
    <s v="Pilot"/>
    <x v="37"/>
    <s v="A-4J-0019"/>
    <s v="28SL/285M"/>
    <s v="Norfolk, VA Naval Safety Command"/>
    <d v="2024-02-20T00:00:00"/>
    <d v="2024-02-23T00:00:00"/>
    <d v="1899-12-30T08:00:00"/>
    <m/>
    <m/>
    <m/>
    <m/>
    <m/>
    <m/>
    <s v="Jonathan Willson"/>
    <s v="M. Bailey"/>
    <m/>
    <m/>
    <m/>
    <m/>
    <m/>
    <n v="20"/>
    <n v="3"/>
    <n v="0"/>
    <n v="20"/>
    <n v="0"/>
    <n v="20"/>
    <n v="0"/>
    <n v="0"/>
    <n v="0"/>
    <n v="0"/>
    <x v="3"/>
    <n v="-179"/>
    <n v="0"/>
    <n v="0"/>
  </r>
  <r>
    <m/>
    <x v="24"/>
    <s v="A-493-0092"/>
    <n v="5891"/>
    <s v="Corpus Christi, TX"/>
    <d v="2024-02-21T00:00:00"/>
    <d v="2024-02-23T00:00:00"/>
    <d v="1899-12-30T08:00:00"/>
    <m/>
    <m/>
    <m/>
    <m/>
    <m/>
    <m/>
    <s v="W. Mitchell"/>
    <s v="CDR Schaal"/>
    <e v="#REF!"/>
    <e v="#REF!"/>
    <m/>
    <m/>
    <m/>
    <n v="25"/>
    <n v="3"/>
    <n v="0"/>
    <n v="9"/>
    <n v="0"/>
    <n v="9"/>
    <n v="0"/>
    <n v="0"/>
    <n v="0"/>
    <n v="0"/>
    <x v="3"/>
    <n v="-179"/>
    <n v="0"/>
    <n v="0"/>
  </r>
  <r>
    <m/>
    <x v="10"/>
    <s v="A-493-0070"/>
    <s v="450V"/>
    <s v="Global Online"/>
    <d v="2024-02-26T00:00:00"/>
    <d v="2024-02-27T00:00:00"/>
    <m/>
    <d v="1899-12-30T18:00:00"/>
    <d v="1899-12-30T15:00:00"/>
    <d v="1899-12-30T02:00:00"/>
    <d v="1899-12-30T00:00:00"/>
    <d v="1899-12-30T13:00:00"/>
    <d v="1899-12-30T08:00:00"/>
    <s v="B. Jung"/>
    <m/>
    <e v="#REF!"/>
    <e v="#REF!"/>
    <m/>
    <m/>
    <m/>
    <n v="30"/>
    <n v="1"/>
    <n v="0"/>
    <n v="19"/>
    <n v="0"/>
    <n v="22"/>
    <n v="0"/>
    <n v="0"/>
    <n v="0"/>
    <n v="0"/>
    <x v="4"/>
    <n v="-175"/>
    <n v="0"/>
    <n v="0"/>
  </r>
  <r>
    <m/>
    <x v="1"/>
    <s v="A-493-0103"/>
    <s v="12JY"/>
    <s v="Sasebo, Japan"/>
    <d v="2024-02-26T00:00:00"/>
    <d v="2024-03-01T00:00:00"/>
    <d v="1899-12-30T08:00:00"/>
    <m/>
    <m/>
    <m/>
    <m/>
    <m/>
    <m/>
    <s v="SOH Contractor"/>
    <m/>
    <e v="#REF!"/>
    <e v="#REF!"/>
    <m/>
    <m/>
    <m/>
    <n v="25"/>
    <n v="5"/>
    <n v="44"/>
    <n v="25"/>
    <n v="3"/>
    <n v="20"/>
    <n v="0"/>
    <n v="5"/>
    <n v="0"/>
    <n v="0"/>
    <x v="1"/>
    <n v="-172"/>
    <n v="0"/>
    <n v="0"/>
  </r>
  <r>
    <m/>
    <x v="27"/>
    <s v="A-493-0012"/>
    <n v="3682"/>
    <s v="Mayport, FL"/>
    <d v="2024-02-26T00:00:00"/>
    <d v="2024-03-01T00:00:00"/>
    <d v="1899-12-30T08:00:00"/>
    <m/>
    <m/>
    <m/>
    <m/>
    <m/>
    <m/>
    <s v="ENV Contractor"/>
    <m/>
    <e v="#REF!"/>
    <e v="#REF!"/>
    <m/>
    <m/>
    <m/>
    <n v="40"/>
    <n v="5"/>
    <n v="30"/>
    <n v="40"/>
    <n v="1"/>
    <n v="28"/>
    <n v="10"/>
    <n v="3"/>
    <n v="1"/>
    <n v="0"/>
    <x v="3"/>
    <n v="-172"/>
    <n v="0"/>
    <n v="0"/>
  </r>
  <r>
    <m/>
    <x v="28"/>
    <s v="A-322-2604"/>
    <s v="10ZZ"/>
    <s v="Global Online"/>
    <d v="2024-02-26T00:00:00"/>
    <d v="2024-03-01T00:00:00"/>
    <m/>
    <d v="1899-12-30T08:00:00"/>
    <d v="1899-12-30T05:00:00"/>
    <d v="1899-12-30T16:00:00"/>
    <d v="1899-12-30T14:00:00"/>
    <d v="1899-12-30T03:00:00"/>
    <d v="1899-12-30T22:00:00"/>
    <s v="LSC Rouse "/>
    <m/>
    <e v="#REF!"/>
    <e v="#REF!"/>
    <m/>
    <m/>
    <m/>
    <n v="45"/>
    <n v="5"/>
    <n v="403"/>
    <n v="45"/>
    <n v="1"/>
    <n v="43"/>
    <n v="1"/>
    <n v="2"/>
    <n v="0"/>
    <n v="0"/>
    <x v="4"/>
    <n v="-172"/>
    <n v="0"/>
    <n v="0"/>
  </r>
  <r>
    <m/>
    <x v="33"/>
    <s v="A-493-2300"/>
    <s v="993F"/>
    <s v="Pearl Harbor, HI"/>
    <d v="2024-02-26T00:00:00"/>
    <d v="2024-02-27T00:00:00"/>
    <d v="1899-12-30T08:00:00"/>
    <m/>
    <m/>
    <m/>
    <m/>
    <m/>
    <m/>
    <s v="ENV Contractor"/>
    <m/>
    <e v="#REF!"/>
    <e v="#REF!"/>
    <m/>
    <m/>
    <m/>
    <n v="30"/>
    <n v="2"/>
    <n v="40"/>
    <n v="14"/>
    <n v="0"/>
    <n v="14"/>
    <n v="0"/>
    <n v="3"/>
    <n v="3"/>
    <n v="0"/>
    <x v="3"/>
    <n v="-175"/>
    <n v="0"/>
    <n v="0"/>
  </r>
  <r>
    <m/>
    <x v="4"/>
    <s v="A-493-0550"/>
    <s v="09K5"/>
    <s v="Global Online"/>
    <d v="2024-02-26T00:00:00"/>
    <d v="2024-03-01T00:00:00"/>
    <m/>
    <d v="1899-12-30T08:00:00"/>
    <d v="1899-12-30T05:00:00"/>
    <d v="1899-12-30T16:00:00"/>
    <d v="1899-12-30T14:00:00"/>
    <d v="1899-12-30T03:00:00"/>
    <d v="1899-12-30T22:00:00"/>
    <s v="D. Rodriguez"/>
    <m/>
    <e v="#REF!"/>
    <e v="#REF!"/>
    <m/>
    <m/>
    <m/>
    <n v="45"/>
    <n v="4"/>
    <n v="480"/>
    <n v="45"/>
    <n v="3"/>
    <n v="39"/>
    <n v="0"/>
    <n v="9"/>
    <n v="4"/>
    <n v="0"/>
    <x v="2"/>
    <n v="-172"/>
    <n v="0"/>
    <n v="0"/>
  </r>
  <r>
    <m/>
    <x v="5"/>
    <s v="A-493-0078"/>
    <n v="1228"/>
    <s v="Global Online"/>
    <d v="2024-02-26T00:00:00"/>
    <d v="2024-03-01T00:00:00"/>
    <m/>
    <d v="1899-12-30T13:00:00"/>
    <d v="1899-12-30T10:00:00"/>
    <d v="1899-12-30T21:00:00"/>
    <d v="1899-12-30T19:00:00"/>
    <d v="1899-12-30T08:00:00"/>
    <d v="1899-12-30T03:00:00"/>
    <s v="T. White"/>
    <m/>
    <e v="#REF!"/>
    <e v="#REF!"/>
    <m/>
    <m/>
    <m/>
    <n v="45"/>
    <n v="5"/>
    <n v="836"/>
    <n v="45"/>
    <n v="0"/>
    <n v="38"/>
    <n v="1"/>
    <n v="6"/>
    <n v="0"/>
    <n v="0"/>
    <x v="2"/>
    <n v="-172"/>
    <n v="0"/>
    <n v="0"/>
  </r>
  <r>
    <m/>
    <x v="15"/>
    <s v="A-570-0100"/>
    <s v="18B7"/>
    <s v="Global Online"/>
    <d v="2024-02-26T00:00:00"/>
    <d v="2024-03-01T00:00:00"/>
    <m/>
    <d v="1899-12-30T19:00:00"/>
    <d v="1899-12-30T16:00:00"/>
    <d v="1899-12-30T02:00:00"/>
    <d v="1899-12-30T00:00:00"/>
    <d v="1899-12-30T13:00:00"/>
    <d v="1899-12-30T08:00:00"/>
    <s v="BMC Sosaya"/>
    <m/>
    <e v="#REF!"/>
    <e v="#REF!"/>
    <m/>
    <m/>
    <m/>
    <n v="30"/>
    <n v="4"/>
    <n v="90"/>
    <n v="30"/>
    <n v="0"/>
    <n v="20"/>
    <n v="2"/>
    <n v="8"/>
    <n v="0"/>
    <n v="0"/>
    <x v="4"/>
    <n v="-172"/>
    <n v="0"/>
    <n v="0"/>
  </r>
  <r>
    <m/>
    <x v="7"/>
    <s v="A-493-0072"/>
    <s v="713U"/>
    <s v="Corpus Christi, TX"/>
    <d v="2024-02-26T00:00:00"/>
    <d v="2024-02-29T00:00:00"/>
    <d v="1899-12-30T08:00:00"/>
    <m/>
    <m/>
    <m/>
    <m/>
    <m/>
    <m/>
    <s v="W. Mitchell"/>
    <s v="CDR Schaal"/>
    <e v="#REF!"/>
    <e v="#REF!"/>
    <m/>
    <m/>
    <m/>
    <n v="30"/>
    <n v="4"/>
    <n v="0"/>
    <n v="30"/>
    <n v="0"/>
    <n v="27"/>
    <n v="0"/>
    <n v="4"/>
    <n v="0"/>
    <n v="0"/>
    <x v="4"/>
    <n v="-173"/>
    <n v="0"/>
    <n v="0"/>
  </r>
  <r>
    <m/>
    <x v="26"/>
    <s v="A-493-2098"/>
    <s v="09WW"/>
    <s v="Global Online"/>
    <d v="2024-02-26T00:00:00"/>
    <d v="2024-03-01T00:00:00"/>
    <m/>
    <d v="1899-12-30T19:00:00"/>
    <d v="1899-12-30T16:00:00"/>
    <d v="1899-12-30T02:00:00"/>
    <d v="1899-12-30T00:00:00"/>
    <d v="1899-12-30T13:00:00"/>
    <d v="1899-12-30T08:00:00"/>
    <s v="LSC Rouse "/>
    <m/>
    <e v="#REF!"/>
    <e v="#REF!"/>
    <m/>
    <m/>
    <m/>
    <n v="100"/>
    <n v="5"/>
    <n v="237"/>
    <n v="100"/>
    <n v="4"/>
    <n v="87"/>
    <n v="2"/>
    <n v="15"/>
    <n v="2"/>
    <n v="0"/>
    <x v="2"/>
    <n v="-172"/>
    <n v="0"/>
    <n v="0"/>
  </r>
  <r>
    <m/>
    <x v="16"/>
    <s v="A-493-0099"/>
    <s v="12JW"/>
    <s v="Global Online"/>
    <d v="2024-02-27T00:00:00"/>
    <d v="2024-02-29T00:00:00"/>
    <m/>
    <d v="1899-12-30T19:00:00"/>
    <d v="1899-12-30T16:00:00"/>
    <d v="1899-12-30T03:00:00"/>
    <d v="1899-12-30T01:00:00"/>
    <d v="1899-12-30T14:00:00"/>
    <d v="1899-12-30T09:00:00"/>
    <s v="V. Kentish"/>
    <m/>
    <e v="#REF!"/>
    <e v="#REF!"/>
    <m/>
    <m/>
    <m/>
    <n v="45"/>
    <n v="3"/>
    <n v="102"/>
    <n v="24"/>
    <n v="0"/>
    <n v="23"/>
    <n v="0"/>
    <n v="1"/>
    <n v="0"/>
    <n v="0"/>
    <x v="1"/>
    <n v="-173"/>
    <n v="0"/>
    <n v="0"/>
  </r>
  <r>
    <m/>
    <x v="11"/>
    <s v="A-493-0015"/>
    <n v="3879"/>
    <s v="Global Online"/>
    <d v="2024-02-28T00:00:00"/>
    <d v="2024-02-28T00:00:00"/>
    <m/>
    <d v="1899-12-30T18:00:00"/>
    <d v="1899-12-30T15:00:00"/>
    <d v="1899-12-30T02:00:00"/>
    <d v="1899-12-30T00:00:00"/>
    <d v="1899-12-30T13:00:00"/>
    <d v="1899-12-30T08:00:00"/>
    <s v="B. Jung"/>
    <m/>
    <e v="#REF!"/>
    <e v="#REF!"/>
    <m/>
    <m/>
    <m/>
    <n v="30"/>
    <n v="1"/>
    <n v="0"/>
    <n v="35"/>
    <n v="0"/>
    <n v="29"/>
    <n v="0"/>
    <n v="2"/>
    <n v="0"/>
    <n v="0"/>
    <x v="4"/>
    <n v="-174"/>
    <n v="0"/>
    <n v="0"/>
  </r>
  <r>
    <m/>
    <x v="30"/>
    <s v="A-493-2501"/>
    <s v="05ZE"/>
    <s v="Pearl Harbor, HI"/>
    <d v="2024-02-28T00:00:00"/>
    <d v="2024-02-28T00:00:00"/>
    <d v="1899-12-30T08:00:00"/>
    <m/>
    <m/>
    <m/>
    <m/>
    <m/>
    <m/>
    <s v="ENV Contractor"/>
    <m/>
    <e v="#REF!"/>
    <e v="#REF!"/>
    <m/>
    <m/>
    <m/>
    <n v="30"/>
    <n v="1"/>
    <n v="80"/>
    <n v="10"/>
    <n v="0"/>
    <n v="7"/>
    <n v="0"/>
    <n v="3"/>
    <n v="4"/>
    <n v="0"/>
    <x v="3"/>
    <n v="-174"/>
    <n v="0"/>
    <n v="0"/>
  </r>
  <r>
    <m/>
    <x v="12"/>
    <s v="A-493-0020"/>
    <n v="3888"/>
    <s v="Global Online"/>
    <d v="2024-02-29T00:00:00"/>
    <d v="2024-02-29T00:00:00"/>
    <m/>
    <d v="1899-12-30T18:00:00"/>
    <d v="1899-12-30T15:00:00"/>
    <d v="1899-12-30T02:00:00"/>
    <d v="1899-12-30T00:00:00"/>
    <d v="1899-12-30T13:00:00"/>
    <d v="1899-12-30T08:00:00"/>
    <s v="B. Jung"/>
    <m/>
    <e v="#REF!"/>
    <e v="#REF!"/>
    <m/>
    <m/>
    <m/>
    <n v="30"/>
    <n v="1"/>
    <n v="0"/>
    <n v="19"/>
    <n v="0"/>
    <n v="18"/>
    <n v="0"/>
    <n v="1"/>
    <n v="0"/>
    <n v="0"/>
    <x v="4"/>
    <n v="-173"/>
    <n v="0"/>
    <n v="0"/>
  </r>
  <r>
    <m/>
    <x v="0"/>
    <s v="A-4J-0022"/>
    <s v="09ER"/>
    <s v="Global Online"/>
    <d v="2024-03-04T00:00:00"/>
    <d v="2024-03-08T00:00:00"/>
    <m/>
    <d v="1899-12-30T13:00:00"/>
    <d v="1899-12-30T10:00:00"/>
    <d v="1899-12-30T21:00:00"/>
    <d v="1899-12-30T19:00:00"/>
    <d v="1899-12-30T08:00:00"/>
    <d v="1899-12-30T03:00:00"/>
    <s v="K. Seo"/>
    <m/>
    <e v="#REF!"/>
    <e v="#REF!"/>
    <m/>
    <m/>
    <m/>
    <n v="45"/>
    <n v="5"/>
    <n v="282"/>
    <n v="20"/>
    <n v="0"/>
    <n v="16"/>
    <n v="0"/>
    <n v="5"/>
    <n v="1"/>
    <n v="0"/>
    <x v="3"/>
    <n v="-165"/>
    <n v="0"/>
    <n v="0"/>
  </r>
  <r>
    <m/>
    <x v="1"/>
    <s v="A-493-0103"/>
    <s v="12JY"/>
    <s v="Norfolk, VA Classroom 1"/>
    <d v="2024-03-04T00:00:00"/>
    <d v="2024-03-08T00:00:00"/>
    <d v="1899-12-30T08:00:00"/>
    <m/>
    <m/>
    <m/>
    <m/>
    <m/>
    <m/>
    <s v="SOH Contractor"/>
    <m/>
    <e v="#REF!"/>
    <e v="#REF!"/>
    <m/>
    <m/>
    <m/>
    <n v="25"/>
    <n v="5"/>
    <n v="388"/>
    <n v="25"/>
    <n v="5"/>
    <n v="20"/>
    <n v="0"/>
    <n v="6"/>
    <n v="0"/>
    <n v="0"/>
    <x v="1"/>
    <n v="-165"/>
    <n v="0"/>
    <n v="0"/>
  </r>
  <r>
    <m/>
    <x v="22"/>
    <s v="A-493-0061"/>
    <s v="288E"/>
    <s v="Global Online"/>
    <d v="2024-03-04T00:00:00"/>
    <d v="2024-03-08T00:00:00"/>
    <m/>
    <d v="1899-12-30T08:00:00"/>
    <d v="1899-12-30T05:00:00"/>
    <d v="1899-12-30T16:00:00"/>
    <d v="1899-12-30T14:00:00"/>
    <d v="1899-12-30T03:00:00"/>
    <d v="1899-12-30T22:00:00"/>
    <s v="S. Griffin"/>
    <m/>
    <e v="#REF!"/>
    <e v="#REF!"/>
    <m/>
    <m/>
    <m/>
    <n v="45"/>
    <n v="5"/>
    <n v="480"/>
    <n v="39"/>
    <n v="0"/>
    <n v="30"/>
    <n v="0"/>
    <n v="9"/>
    <n v="1"/>
    <n v="0"/>
    <x v="1"/>
    <n v="-165"/>
    <n v="0"/>
    <n v="0"/>
  </r>
  <r>
    <m/>
    <x v="28"/>
    <s v="A-322-2604"/>
    <s v="10ZZ"/>
    <s v="Global Online"/>
    <d v="2024-03-04T00:00:00"/>
    <d v="2024-03-08T00:00:00"/>
    <m/>
    <d v="1899-12-30T13:00:00"/>
    <d v="1899-12-30T10:00:00"/>
    <d v="1899-12-30T21:00:00"/>
    <d v="1899-12-30T19:00:00"/>
    <d v="1899-12-30T08:00:00"/>
    <d v="1899-12-30T03:00:00"/>
    <s v="LSC Rouse "/>
    <m/>
    <e v="#REF!"/>
    <e v="#REF!"/>
    <m/>
    <m/>
    <m/>
    <n v="45"/>
    <n v="5"/>
    <n v="653"/>
    <n v="45"/>
    <n v="2"/>
    <n v="41"/>
    <n v="3"/>
    <n v="3"/>
    <n v="2"/>
    <n v="0"/>
    <x v="4"/>
    <n v="-165"/>
    <n v="0"/>
    <n v="0"/>
  </r>
  <r>
    <m/>
    <x v="33"/>
    <s v="A-493-2300"/>
    <s v="993F"/>
    <s v="Pensacola, FL"/>
    <d v="2024-03-04T00:00:00"/>
    <d v="2024-03-05T00:00:00"/>
    <d v="1899-12-30T08:00:00"/>
    <m/>
    <m/>
    <m/>
    <m/>
    <m/>
    <m/>
    <s v="ENV Contractor"/>
    <m/>
    <e v="#REF!"/>
    <e v="#REF!"/>
    <m/>
    <m/>
    <m/>
    <n v="30"/>
    <n v="2"/>
    <n v="16"/>
    <n v="18"/>
    <n v="0"/>
    <n v="18"/>
    <n v="0"/>
    <n v="6"/>
    <n v="6"/>
    <n v="0"/>
    <x v="3"/>
    <n v="-168"/>
    <n v="0"/>
    <n v="0"/>
  </r>
  <r>
    <s v="Special-Do not Spread(Sea Bees)"/>
    <x v="4"/>
    <s v="A-493-0550"/>
    <s v="09K5"/>
    <s v="Global Online"/>
    <d v="2024-03-04T00:00:00"/>
    <d v="2024-03-08T00:00:00"/>
    <m/>
    <d v="1899-12-30T08:00:00"/>
    <d v="1899-12-30T05:00:00"/>
    <d v="1899-12-30T16:00:00"/>
    <d v="1899-12-30T14:00:00"/>
    <d v="1899-12-30T03:00:00"/>
    <d v="1899-12-30T22:00:00"/>
    <s v="T. White"/>
    <m/>
    <e v="#REF!"/>
    <e v="#REF!"/>
    <m/>
    <m/>
    <m/>
    <n v="45"/>
    <n v="4"/>
    <n v="480"/>
    <n v="26"/>
    <n v="0"/>
    <n v="17"/>
    <n v="0"/>
    <n v="9"/>
    <n v="0"/>
    <n v="0"/>
    <x v="2"/>
    <n v="-165"/>
    <n v="0"/>
    <n v="0"/>
  </r>
  <r>
    <m/>
    <x v="16"/>
    <s v="A-493-0099"/>
    <s v="12JW"/>
    <s v="Global Online"/>
    <d v="2024-03-05T00:00:00"/>
    <d v="2024-03-07T00:00:00"/>
    <m/>
    <d v="1899-12-30T08:00:00"/>
    <d v="1899-12-30T05:00:00"/>
    <d v="1899-12-30T16:00:00"/>
    <d v="1899-12-30T14:00:00"/>
    <d v="1899-12-30T03:00:00"/>
    <d v="1899-12-30T22:00:00"/>
    <s v="V. Kentish"/>
    <m/>
    <e v="#REF!"/>
    <e v="#REF!"/>
    <m/>
    <m/>
    <m/>
    <n v="45"/>
    <n v="3"/>
    <n v="431"/>
    <n v="44"/>
    <n v="0"/>
    <n v="34"/>
    <n v="1"/>
    <n v="9"/>
    <n v="0"/>
    <n v="0"/>
    <x v="1"/>
    <n v="-166"/>
    <n v="0"/>
    <n v="0"/>
  </r>
  <r>
    <m/>
    <x v="8"/>
    <s v="A-493-0083"/>
    <s v="339E"/>
    <s v="Global Online"/>
    <d v="2024-03-05T00:00:00"/>
    <d v="2024-03-05T00:00:00"/>
    <m/>
    <d v="1899-12-30T08:00:00"/>
    <d v="1899-12-30T05:00:00"/>
    <d v="1899-12-30T16:00:00"/>
    <d v="1899-12-30T14:00:00"/>
    <d v="1899-12-30T03:00:00"/>
    <d v="1899-12-30T22:00:00"/>
    <s v="ENV Contractor"/>
    <m/>
    <e v="#REF!"/>
    <e v="#REF!"/>
    <m/>
    <m/>
    <m/>
    <n v="30"/>
    <n v="1"/>
    <n v="0"/>
    <n v="30"/>
    <n v="4"/>
    <n v="29"/>
    <n v="0"/>
    <n v="1"/>
    <n v="2"/>
    <n v="0"/>
    <x v="3"/>
    <n v="-168"/>
    <n v="0"/>
    <n v="0"/>
  </r>
  <r>
    <m/>
    <x v="20"/>
    <s v="A-493-0331"/>
    <s v="10UG"/>
    <s v="Global Online"/>
    <d v="2024-03-05T00:00:00"/>
    <d v="2024-03-07T00:00:00"/>
    <m/>
    <d v="1899-12-30T12:00:00"/>
    <d v="1899-12-30T09:00:00"/>
    <d v="1899-12-30T20:00:00"/>
    <d v="1899-12-30T18:00:00"/>
    <d v="1899-12-30T07:00:00"/>
    <d v="1899-12-30T02:00:00"/>
    <s v="W. Mitchell"/>
    <m/>
    <e v="#REF!"/>
    <e v="#REF!"/>
    <m/>
    <m/>
    <m/>
    <n v="40"/>
    <n v="3"/>
    <n v="709"/>
    <n v="40"/>
    <n v="5"/>
    <n v="30"/>
    <n v="0"/>
    <n v="12"/>
    <n v="0"/>
    <n v="0"/>
    <x v="4"/>
    <n v="-166"/>
    <n v="0"/>
    <n v="0"/>
  </r>
  <r>
    <m/>
    <x v="35"/>
    <s v="A-493-0216"/>
    <s v="12X8"/>
    <s v="Pensacola, FL"/>
    <d v="2024-03-06T00:00:00"/>
    <d v="2024-03-06T00:00:00"/>
    <d v="1899-12-30T08:00:00"/>
    <m/>
    <m/>
    <m/>
    <m/>
    <m/>
    <m/>
    <s v="ENV Contractor"/>
    <m/>
    <e v="#REF!"/>
    <e v="#REF!"/>
    <m/>
    <m/>
    <m/>
    <n v="30"/>
    <n v="1"/>
    <n v="15"/>
    <n v="18"/>
    <n v="0"/>
    <n v="18"/>
    <n v="0"/>
    <n v="5"/>
    <n v="12"/>
    <n v="0"/>
    <x v="3"/>
    <n v="-167"/>
    <n v="0"/>
    <n v="0"/>
  </r>
  <r>
    <m/>
    <x v="31"/>
    <s v="A-493-0665"/>
    <s v="10KW"/>
    <s v="Global Online"/>
    <d v="2024-03-11T00:00:00"/>
    <d v="2024-03-15T00:00:00"/>
    <m/>
    <d v="1899-12-30T08:00:00"/>
    <d v="1899-12-30T05:00:00"/>
    <d v="1899-12-30T15:00:00"/>
    <d v="1899-12-30T13:00:00"/>
    <d v="1899-12-30T02:00:00"/>
    <d v="1899-12-30T21:00:00"/>
    <s v="LSC Rouse "/>
    <m/>
    <e v="#REF!"/>
    <e v="#REF!"/>
    <m/>
    <m/>
    <m/>
    <n v="45"/>
    <n v="5"/>
    <n v="127"/>
    <n v="45"/>
    <n v="1"/>
    <n v="40"/>
    <n v="2"/>
    <n v="4"/>
    <n v="1"/>
    <n v="0"/>
    <x v="3"/>
    <n v="-158"/>
    <n v="0"/>
    <n v="0"/>
  </r>
  <r>
    <m/>
    <x v="1"/>
    <s v="A-493-0103"/>
    <s v="12JY"/>
    <s v="Norfolk, VA Classroom 1"/>
    <d v="2024-03-11T00:00:00"/>
    <d v="2024-03-15T00:00:00"/>
    <d v="1899-12-30T08:00:00"/>
    <m/>
    <m/>
    <m/>
    <m/>
    <m/>
    <m/>
    <s v="SOH Contractor"/>
    <m/>
    <e v="#REF!"/>
    <e v="#REF!"/>
    <m/>
    <m/>
    <m/>
    <n v="25"/>
    <n v="5"/>
    <n v="388"/>
    <n v="25"/>
    <n v="2"/>
    <n v="25"/>
    <n v="0"/>
    <n v="3"/>
    <n v="1"/>
    <n v="0"/>
    <x v="1"/>
    <n v="-158"/>
    <n v="0"/>
    <n v="0"/>
  </r>
  <r>
    <m/>
    <x v="2"/>
    <s v="A-493-0030"/>
    <s v="286X"/>
    <s v="Sasebo, Japan"/>
    <d v="2024-03-11T00:00:00"/>
    <d v="2024-03-15T00:00:00"/>
    <d v="1899-12-30T08:00:00"/>
    <m/>
    <m/>
    <m/>
    <m/>
    <m/>
    <m/>
    <s v="IH Contractor"/>
    <m/>
    <e v="#REF!"/>
    <e v="#REF!"/>
    <m/>
    <m/>
    <m/>
    <n v="25"/>
    <n v="5"/>
    <n v="15"/>
    <n v="8"/>
    <m/>
    <n v="7"/>
    <n v="1"/>
    <n v="0"/>
    <n v="1"/>
    <n v="1"/>
    <x v="2"/>
    <n v="-158"/>
    <n v="0"/>
    <n v="0"/>
  </r>
  <r>
    <s v="Special-Do not Spread(Sea Bees)"/>
    <x v="38"/>
    <s v="A-493-0021"/>
    <s v="18BN"/>
    <s v="Gulfport, MS"/>
    <d v="2024-03-11T00:00:00"/>
    <d v="2024-03-15T00:00:00"/>
    <d v="1899-12-30T08:00:00"/>
    <m/>
    <m/>
    <m/>
    <m/>
    <m/>
    <m/>
    <s v="SOH Contractor"/>
    <m/>
    <e v="#REF!"/>
    <e v="#REF!"/>
    <m/>
    <m/>
    <m/>
    <n v="35"/>
    <n v="5"/>
    <n v="15"/>
    <n v="25"/>
    <n v="0"/>
    <n v="19"/>
    <n v="0"/>
    <n v="5"/>
    <n v="0"/>
    <n v="0"/>
    <x v="1"/>
    <n v="-158"/>
    <n v="0"/>
    <n v="0"/>
  </r>
  <r>
    <m/>
    <x v="27"/>
    <s v="A-493-0012"/>
    <n v="3682"/>
    <s v="Kings Bay, GA"/>
    <d v="2024-03-11T00:00:00"/>
    <d v="2024-03-15T00:00:00"/>
    <d v="1899-12-30T08:00:00"/>
    <m/>
    <m/>
    <m/>
    <m/>
    <m/>
    <m/>
    <s v="ENV Contractor"/>
    <m/>
    <e v="#REF!"/>
    <e v="#REF!"/>
    <m/>
    <m/>
    <m/>
    <n v="40"/>
    <n v="5"/>
    <n v="30"/>
    <n v="18"/>
    <n v="0"/>
    <n v="32"/>
    <n v="0"/>
    <n v="4"/>
    <n v="18"/>
    <n v="0"/>
    <x v="3"/>
    <n v="-158"/>
    <n v="0"/>
    <n v="0"/>
  </r>
  <r>
    <m/>
    <x v="19"/>
    <s v="A-493-0075 "/>
    <s v="714U"/>
    <s v="Yokosuka, Japan"/>
    <d v="2024-03-11T00:00:00"/>
    <d v="2024-03-14T00:00:00"/>
    <d v="1899-12-30T08:00:00"/>
    <m/>
    <m/>
    <m/>
    <m/>
    <m/>
    <m/>
    <s v="SOH Contractor"/>
    <m/>
    <e v="#REF!"/>
    <e v="#REF!"/>
    <m/>
    <m/>
    <m/>
    <n v="30"/>
    <n v="4"/>
    <n v="38"/>
    <n v="27"/>
    <n v="0"/>
    <n v="23"/>
    <n v="0"/>
    <n v="4"/>
    <n v="0"/>
    <n v="10"/>
    <x v="1"/>
    <n v="-159"/>
    <n v="0"/>
    <n v="0"/>
  </r>
  <r>
    <m/>
    <x v="5"/>
    <s v="A-493-0078"/>
    <n v="1228"/>
    <s v="Global Online"/>
    <d v="2024-03-11T00:00:00"/>
    <d v="2024-03-15T00:00:00"/>
    <m/>
    <d v="1899-12-30T08:00:00"/>
    <d v="1899-12-30T05:00:00"/>
    <d v="1899-12-30T15:00:00"/>
    <d v="1899-12-30T13:00:00"/>
    <d v="1899-12-30T02:00:00"/>
    <d v="1899-12-30T21:00:00"/>
    <s v="T. White"/>
    <m/>
    <e v="#REF!"/>
    <e v="#REF!"/>
    <m/>
    <m/>
    <m/>
    <n v="45"/>
    <n v="5"/>
    <n v="600"/>
    <n v="45"/>
    <n v="0"/>
    <n v="37"/>
    <n v="0"/>
    <n v="8"/>
    <n v="0"/>
    <n v="0"/>
    <x v="2"/>
    <n v="-158"/>
    <n v="0"/>
    <n v="0"/>
  </r>
  <r>
    <m/>
    <x v="26"/>
    <s v="A-493-2098"/>
    <s v="09WW"/>
    <s v="Global Online"/>
    <d v="2024-03-11T00:00:00"/>
    <d v="2024-03-15T00:00:00"/>
    <m/>
    <d v="1899-12-30T13:00:00"/>
    <d v="1899-12-30T10:00:00"/>
    <d v="1899-12-30T20:00:00"/>
    <d v="1899-12-30T18:00:00"/>
    <d v="1899-12-30T07:00:00"/>
    <d v="1899-12-30T02:00:00"/>
    <s v="LSC Rouse "/>
    <m/>
    <e v="#REF!"/>
    <e v="#REF!"/>
    <m/>
    <m/>
    <m/>
    <n v="100"/>
    <n v="5"/>
    <n v="1257"/>
    <n v="100"/>
    <n v="3"/>
    <n v="78"/>
    <n v="6"/>
    <n v="19"/>
    <n v="5"/>
    <n v="0"/>
    <x v="2"/>
    <n v="-158"/>
    <n v="0"/>
    <n v="0"/>
  </r>
  <r>
    <s v="Special-Do not Spread(USS GEORGE WASHINGTON (CVN 73)"/>
    <x v="39"/>
    <s v="A-493-2099"/>
    <s v="438G"/>
    <s v="Norfolk, VA"/>
    <d v="2024-03-11T00:00:00"/>
    <d v="2024-03-12T00:00:00"/>
    <m/>
    <m/>
    <m/>
    <m/>
    <m/>
    <m/>
    <m/>
    <s v="BMC Sosaya"/>
    <m/>
    <m/>
    <m/>
    <m/>
    <m/>
    <m/>
    <n v="0"/>
    <n v="2"/>
    <n v="0"/>
    <n v="28"/>
    <n v="0"/>
    <n v="28"/>
    <n v="0"/>
    <n v="0"/>
    <n v="0"/>
    <n v="0"/>
    <x v="2"/>
    <n v="-161"/>
    <n v="0"/>
    <n v="0"/>
  </r>
  <r>
    <m/>
    <x v="7"/>
    <s v="A-493-0072"/>
    <s v="713U"/>
    <s v="Seal Beach, CA"/>
    <d v="2024-03-12T00:00:00"/>
    <d v="2024-03-15T00:00:00"/>
    <d v="1899-12-30T08:00:00"/>
    <m/>
    <m/>
    <m/>
    <m/>
    <m/>
    <m/>
    <s v="B. Jung"/>
    <s v="CDR Schaal"/>
    <e v="#REF!"/>
    <e v="#REF!"/>
    <m/>
    <m/>
    <m/>
    <n v="30"/>
    <n v="4"/>
    <n v="2"/>
    <n v="30"/>
    <n v="3"/>
    <n v="30"/>
    <n v="0"/>
    <n v="2"/>
    <n v="0"/>
    <n v="0"/>
    <x v="4"/>
    <n v="-158"/>
    <n v="0"/>
    <n v="0"/>
  </r>
  <r>
    <m/>
    <x v="7"/>
    <s v="A-493-0072"/>
    <s v="713U"/>
    <s v="Sasebo, Japan"/>
    <d v="2024-03-12T00:00:00"/>
    <d v="2024-03-15T00:00:00"/>
    <d v="1899-12-30T08:00:00"/>
    <m/>
    <m/>
    <m/>
    <m/>
    <m/>
    <m/>
    <s v="W. Mitchell"/>
    <s v="A. Harris"/>
    <e v="#REF!"/>
    <e v="#REF!"/>
    <m/>
    <m/>
    <m/>
    <n v="30"/>
    <n v="4"/>
    <n v="17"/>
    <n v="17"/>
    <n v="0"/>
    <n v="13"/>
    <n v="0"/>
    <n v="4"/>
    <n v="0"/>
    <n v="0"/>
    <x v="4"/>
    <n v="-158"/>
    <n v="0"/>
    <n v="0"/>
  </r>
  <r>
    <m/>
    <x v="1"/>
    <s v="A-493-0103"/>
    <s v="12JY"/>
    <s v="Port Hueneme, CA"/>
    <d v="2024-03-18T00:00:00"/>
    <d v="2024-03-22T00:00:00"/>
    <d v="1899-12-30T08:00:00"/>
    <m/>
    <m/>
    <m/>
    <m/>
    <m/>
    <m/>
    <s v="SOH Contractor"/>
    <m/>
    <e v="#REF!"/>
    <e v="#REF!"/>
    <m/>
    <m/>
    <m/>
    <n v="25"/>
    <n v="5"/>
    <n v="49"/>
    <n v="23"/>
    <n v="0"/>
    <n v="14"/>
    <n v="0"/>
    <n v="8"/>
    <n v="0"/>
    <n v="0"/>
    <x v="1"/>
    <n v="-151"/>
    <n v="0"/>
    <n v="0"/>
  </r>
  <r>
    <s v="Special for USMC"/>
    <x v="27"/>
    <s v="A-493-0012"/>
    <n v="3682"/>
    <s v="Beaufort, SC"/>
    <d v="2024-03-18T00:00:00"/>
    <d v="2024-03-22T00:00:00"/>
    <d v="1902-03-10T00:00:00"/>
    <m/>
    <m/>
    <m/>
    <m/>
    <m/>
    <m/>
    <s v="ENV Contractor"/>
    <m/>
    <m/>
    <m/>
    <m/>
    <m/>
    <m/>
    <n v="40"/>
    <n v="5"/>
    <n v="0"/>
    <n v="29"/>
    <n v="0"/>
    <n v="31"/>
    <n v="0"/>
    <n v="0"/>
    <n v="2"/>
    <n v="0"/>
    <x v="3"/>
    <n v="-151"/>
    <n v="0"/>
    <n v="0"/>
  </r>
  <r>
    <m/>
    <x v="27"/>
    <s v="A-493-0012"/>
    <n v="3682"/>
    <s v="Panama City, FL"/>
    <d v="2024-03-18T00:00:00"/>
    <d v="2024-03-22T00:00:00"/>
    <d v="1899-12-30T08:00:00"/>
    <m/>
    <m/>
    <m/>
    <m/>
    <m/>
    <m/>
    <s v="ENV Contractor"/>
    <m/>
    <e v="#REF!"/>
    <e v="#REF!"/>
    <m/>
    <m/>
    <m/>
    <n v="40"/>
    <n v="5"/>
    <n v="15"/>
    <n v="25"/>
    <n v="0"/>
    <n v="24"/>
    <n v="0"/>
    <n v="2"/>
    <n v="1"/>
    <n v="0"/>
    <x v="3"/>
    <n v="-151"/>
    <n v="0"/>
    <n v="0"/>
  </r>
  <r>
    <m/>
    <x v="33"/>
    <s v="A-493-2300"/>
    <s v="993F"/>
    <s v="Global Online"/>
    <d v="2024-03-18T00:00:00"/>
    <d v="2024-03-19T00:00:00"/>
    <m/>
    <d v="1899-12-30T08:00:00"/>
    <d v="1899-12-30T05:00:00"/>
    <d v="1899-12-30T16:00:00"/>
    <d v="1899-12-30T14:00:00"/>
    <d v="1899-12-30T03:00:00"/>
    <d v="1899-12-30T22:00:00"/>
    <s v="ENV Contractor"/>
    <m/>
    <e v="#REF!"/>
    <e v="#REF!"/>
    <m/>
    <m/>
    <m/>
    <n v="30"/>
    <n v="2"/>
    <n v="0"/>
    <n v="29"/>
    <n v="0"/>
    <n v="35"/>
    <n v="0"/>
    <n v="6"/>
    <n v="11"/>
    <n v="5"/>
    <x v="3"/>
    <n v="-154"/>
    <n v="0"/>
    <n v="0"/>
  </r>
  <r>
    <s v="Location change"/>
    <x v="24"/>
    <s v="A-493-0092"/>
    <n v="5891"/>
    <s v="San Diego, CA"/>
    <d v="2024-03-18T00:00:00"/>
    <d v="2024-03-20T00:00:00"/>
    <d v="1899-12-30T08:00:00"/>
    <m/>
    <m/>
    <m/>
    <m/>
    <m/>
    <m/>
    <s v="B. Jung"/>
    <s v="CDR Schaal"/>
    <e v="#REF!"/>
    <e v="#REF!"/>
    <m/>
    <m/>
    <m/>
    <n v="25"/>
    <n v="3"/>
    <n v="77"/>
    <n v="14"/>
    <n v="0"/>
    <n v="12"/>
    <n v="0"/>
    <n v="2"/>
    <n v="0"/>
    <n v="0"/>
    <x v="6"/>
    <n v="-153"/>
    <n v="0"/>
    <n v="0"/>
  </r>
  <r>
    <m/>
    <x v="15"/>
    <s v="A-570-0100"/>
    <s v="18B7"/>
    <s v="Global Online"/>
    <d v="2024-03-18T00:00:00"/>
    <d v="2024-03-21T00:00:00"/>
    <m/>
    <d v="1899-12-30T13:00:00"/>
    <d v="1899-12-30T10:00:00"/>
    <d v="1899-12-30T20:00:00"/>
    <d v="1899-12-30T18:00:00"/>
    <d v="1899-12-30T07:00:00"/>
    <d v="1899-12-30T02:00:00"/>
    <s v="BMC Sosaya"/>
    <m/>
    <e v="#REF!"/>
    <e v="#REF!"/>
    <m/>
    <m/>
    <m/>
    <n v="30"/>
    <n v="4"/>
    <n v="459"/>
    <n v="30"/>
    <n v="3"/>
    <n v="26"/>
    <n v="0"/>
    <n v="7"/>
    <n v="0"/>
    <n v="0"/>
    <x v="4"/>
    <n v="-152"/>
    <n v="0"/>
    <n v="0"/>
  </r>
  <r>
    <m/>
    <x v="32"/>
    <s v="A-493-0073"/>
    <s v="714S"/>
    <s v="Global Online"/>
    <d v="2024-03-19T00:00:00"/>
    <d v="2024-03-22T00:00:00"/>
    <m/>
    <d v="1899-12-30T08:00:00"/>
    <d v="1899-12-30T05:00:00"/>
    <d v="1899-12-30T15:00:00"/>
    <d v="1899-12-30T13:00:00"/>
    <d v="1899-12-30T02:00:00"/>
    <d v="1899-12-30T21:00:00"/>
    <s v="SOH Contractor"/>
    <m/>
    <e v="#REF!"/>
    <e v="#REF!"/>
    <m/>
    <m/>
    <m/>
    <n v="30"/>
    <n v="4"/>
    <n v="361"/>
    <n v="26"/>
    <n v="0"/>
    <n v="19"/>
    <n v="0"/>
    <n v="7"/>
    <n v="0"/>
    <n v="1"/>
    <x v="1"/>
    <n v="-151"/>
    <n v="0"/>
    <n v="0"/>
  </r>
  <r>
    <m/>
    <x v="35"/>
    <s v="A-493-0216"/>
    <s v="12X8"/>
    <s v="Global Online"/>
    <d v="2024-03-20T00:00:00"/>
    <d v="2024-03-20T00:00:00"/>
    <m/>
    <d v="1899-12-30T08:00:00"/>
    <d v="1899-12-30T05:00:00"/>
    <d v="1899-12-30T15:00:00"/>
    <d v="1899-12-30T13:00:00"/>
    <d v="1899-12-30T02:00:00"/>
    <d v="1899-12-30T21:00:00"/>
    <s v="ENV Contractor"/>
    <m/>
    <m/>
    <m/>
    <m/>
    <m/>
    <m/>
    <n v="30"/>
    <n v="1"/>
    <n v="0"/>
    <n v="29"/>
    <n v="0"/>
    <n v="33"/>
    <n v="0"/>
    <n v="5"/>
    <n v="9"/>
    <n v="5"/>
    <x v="3"/>
    <n v="-153"/>
    <n v="0"/>
    <n v="0"/>
  </r>
  <r>
    <s v="Target Area: Sigonella, Italy"/>
    <x v="8"/>
    <s v="A-493-0083"/>
    <s v="339E"/>
    <s v="Global Online"/>
    <d v="2024-03-21T00:00:00"/>
    <d v="2024-03-21T00:00:00"/>
    <m/>
    <d v="1900-10-26T03:00:00"/>
    <d v="1899-12-30T23:00:00"/>
    <d v="1899-12-30T09:00:00"/>
    <d v="1899-12-30T08:00:00"/>
    <d v="1899-12-30T20:00:00"/>
    <d v="1899-12-30T15:00:00"/>
    <s v="ENV Contractor"/>
    <m/>
    <e v="#REF!"/>
    <e v="#REF!"/>
    <m/>
    <m/>
    <m/>
    <n v="30"/>
    <n v="1"/>
    <n v="0"/>
    <n v="30"/>
    <n v="5"/>
    <n v="23"/>
    <n v="0"/>
    <n v="7"/>
    <n v="0"/>
    <n v="8"/>
    <x v="3"/>
    <n v="-152"/>
    <n v="0"/>
    <n v="0"/>
  </r>
  <r>
    <m/>
    <x v="1"/>
    <s v="A-493-0103"/>
    <s v="12JY"/>
    <s v="Lemoore, CA"/>
    <d v="2024-03-25T00:00:00"/>
    <d v="2024-03-29T00:00:00"/>
    <d v="1899-12-30T08:00:00"/>
    <m/>
    <m/>
    <m/>
    <m/>
    <m/>
    <m/>
    <s v="SOH Contractor"/>
    <m/>
    <e v="#REF!"/>
    <e v="#REF!"/>
    <m/>
    <m/>
    <m/>
    <n v="25"/>
    <n v="5"/>
    <n v="64"/>
    <n v="20"/>
    <n v="0"/>
    <n v="12"/>
    <n v="0"/>
    <n v="8"/>
    <n v="0"/>
    <n v="0"/>
    <x v="1"/>
    <n v="-144"/>
    <n v="0"/>
    <n v="0"/>
  </r>
  <r>
    <m/>
    <x v="22"/>
    <s v="A-493-0061"/>
    <s v="288E"/>
    <s v="Global Online"/>
    <d v="2024-03-25T00:00:00"/>
    <d v="2024-03-29T00:00:00"/>
    <m/>
    <d v="1899-12-30T13:00:00"/>
    <d v="1899-12-30T10:00:00"/>
    <d v="1899-12-30T20:00:00"/>
    <d v="1899-12-30T18:00:00"/>
    <d v="1899-12-30T07:00:00"/>
    <d v="1899-12-30T02:00:00"/>
    <s v="S. Griffin"/>
    <m/>
    <e v="#REF!"/>
    <e v="#REF!"/>
    <m/>
    <m/>
    <m/>
    <n v="45"/>
    <n v="5"/>
    <n v="583"/>
    <n v="21"/>
    <n v="0"/>
    <n v="20"/>
    <n v="0"/>
    <n v="1"/>
    <n v="1"/>
    <n v="0"/>
    <x v="1"/>
    <n v="-144"/>
    <n v="0"/>
    <n v="0"/>
  </r>
  <r>
    <m/>
    <x v="28"/>
    <s v="A-322-2604"/>
    <s v="10ZZ"/>
    <s v="Global Online"/>
    <d v="2024-03-25T00:00:00"/>
    <d v="2024-03-29T00:00:00"/>
    <m/>
    <d v="1899-12-30T08:00:00"/>
    <d v="1899-12-30T05:00:00"/>
    <d v="1899-12-30T15:00:00"/>
    <d v="1899-12-30T13:00:00"/>
    <d v="1899-12-30T02:00:00"/>
    <d v="1899-12-30T21:00:00"/>
    <s v="LSC Rouse "/>
    <m/>
    <e v="#REF!"/>
    <e v="#REF!"/>
    <m/>
    <m/>
    <m/>
    <n v="45"/>
    <n v="5"/>
    <n v="403"/>
    <n v="45"/>
    <n v="3"/>
    <n v="42"/>
    <n v="2"/>
    <n v="6"/>
    <n v="2"/>
    <n v="0"/>
    <x v="4"/>
    <n v="-144"/>
    <n v="0"/>
    <n v="0"/>
  </r>
  <r>
    <m/>
    <x v="23"/>
    <s v="A-493-0335"/>
    <s v="09ND"/>
    <s v="Global Online"/>
    <d v="2024-03-25T00:00:00"/>
    <d v="2024-03-28T00:00:00"/>
    <m/>
    <d v="1899-12-30T19:00:00"/>
    <d v="1899-12-30T16:00:00"/>
    <d v="1899-12-30T03:00:00"/>
    <d v="1899-12-30T01:00:00"/>
    <d v="1899-12-30T14:00:00"/>
    <d v="1899-12-30T09:00:00"/>
    <s v="K. Seo"/>
    <s v="W. Mitchell"/>
    <e v="#REF!"/>
    <e v="#REF!"/>
    <m/>
    <m/>
    <m/>
    <n v="30"/>
    <n v="4"/>
    <n v="77"/>
    <n v="30"/>
    <n v="2"/>
    <n v="26"/>
    <n v="0"/>
    <n v="4"/>
    <n v="0"/>
    <n v="0"/>
    <x v="4"/>
    <n v="-145"/>
    <n v="0"/>
    <n v="0"/>
  </r>
  <r>
    <m/>
    <x v="4"/>
    <s v="A-493-0550"/>
    <s v="09K5"/>
    <s v="Global Online"/>
    <d v="2024-03-25T00:00:00"/>
    <d v="2024-03-29T00:00:00"/>
    <m/>
    <d v="1899-12-30T10:00:00"/>
    <d v="1899-12-30T07:00:00"/>
    <d v="1899-12-30T17:00:00"/>
    <d v="1899-12-30T15:00:00"/>
    <d v="1899-12-30T04:00:00"/>
    <d v="1899-12-30T23:00:00"/>
    <s v="D. Rodriguez"/>
    <m/>
    <e v="#REF!"/>
    <e v="#REF!"/>
    <m/>
    <m/>
    <m/>
    <n v="45"/>
    <n v="4"/>
    <n v="429"/>
    <n v="45"/>
    <n v="3"/>
    <n v="40"/>
    <n v="0"/>
    <n v="7"/>
    <n v="3"/>
    <n v="0"/>
    <x v="6"/>
    <n v="-144"/>
    <n v="0"/>
    <n v="0"/>
  </r>
  <r>
    <m/>
    <x v="5"/>
    <s v="A-493-0078"/>
    <n v="1228"/>
    <s v="Global Online"/>
    <d v="2024-03-25T00:00:00"/>
    <d v="2024-03-29T00:00:00"/>
    <m/>
    <d v="1899-12-30T08:00:00"/>
    <d v="1899-12-30T05:00:00"/>
    <d v="1899-12-30T15:00:00"/>
    <d v="1899-12-30T13:00:00"/>
    <d v="1899-12-30T02:00:00"/>
    <d v="1899-12-30T21:00:00"/>
    <s v="T. White"/>
    <m/>
    <e v="#REF!"/>
    <e v="#REF!"/>
    <m/>
    <m/>
    <m/>
    <n v="45"/>
    <n v="5"/>
    <n v="600"/>
    <n v="23"/>
    <n v="0"/>
    <n v="22"/>
    <n v="0"/>
    <n v="1"/>
    <n v="0"/>
    <n v="0"/>
    <x v="2"/>
    <n v="-144"/>
    <n v="0"/>
    <n v="0"/>
  </r>
  <r>
    <m/>
    <x v="6"/>
    <s v="A-493-0085"/>
    <n v="3555"/>
    <s v="Global Online"/>
    <d v="2024-03-25T00:00:00"/>
    <d v="2024-03-28T00:00:00"/>
    <m/>
    <d v="1899-12-30T12:00:00"/>
    <d v="1899-12-30T09:00:00"/>
    <d v="1899-12-30T19:00:00"/>
    <d v="1899-12-30T17:00:00"/>
    <d v="1899-12-30T06:00:00"/>
    <d v="1899-12-30T01:00:00"/>
    <s v="B. Jung"/>
    <m/>
    <e v="#REF!"/>
    <e v="#REF!"/>
    <m/>
    <m/>
    <m/>
    <n v="30"/>
    <n v="4"/>
    <n v="464"/>
    <n v="30"/>
    <n v="0"/>
    <n v="24"/>
    <n v="0"/>
    <n v="3"/>
    <n v="0"/>
    <n v="0"/>
    <x v="4"/>
    <n v="-145"/>
    <n v="0"/>
    <n v="0"/>
  </r>
  <r>
    <m/>
    <x v="26"/>
    <s v="A-493-2098"/>
    <s v="09WW"/>
    <s v="Global Online"/>
    <d v="2024-03-25T00:00:00"/>
    <d v="2024-03-29T00:00:00"/>
    <m/>
    <d v="1899-12-30T13:00:00"/>
    <d v="1899-12-30T10:00:00"/>
    <d v="1899-12-30T20:00:00"/>
    <d v="1899-12-30T18:00:00"/>
    <d v="1899-12-30T07:00:00"/>
    <d v="1899-12-30T02:00:00"/>
    <s v="LSC Rouse "/>
    <m/>
    <e v="#REF!"/>
    <e v="#REF!"/>
    <m/>
    <m/>
    <m/>
    <n v="100"/>
    <n v="5"/>
    <n v="1257"/>
    <n v="100"/>
    <n v="6"/>
    <n v="92"/>
    <n v="4"/>
    <n v="9"/>
    <n v="1"/>
    <n v="0"/>
    <x v="6"/>
    <n v="-144"/>
    <n v="0"/>
    <n v="0"/>
  </r>
  <r>
    <m/>
    <x v="16"/>
    <s v="A-493-0099"/>
    <s v="12JW"/>
    <s v="Global Online"/>
    <d v="2024-03-26T00:00:00"/>
    <d v="2024-03-28T00:00:00"/>
    <m/>
    <d v="1899-12-30T13:00:00"/>
    <d v="1899-12-30T10:00:00"/>
    <d v="1899-12-30T20:00:00"/>
    <d v="1899-12-30T18:00:00"/>
    <d v="1899-12-30T07:00:00"/>
    <d v="1899-12-30T02:00:00"/>
    <s v="V. Kentish"/>
    <m/>
    <e v="#REF!"/>
    <e v="#REF!"/>
    <m/>
    <m/>
    <m/>
    <n v="45"/>
    <n v="3"/>
    <n v="682"/>
    <n v="41"/>
    <n v="0"/>
    <n v="40"/>
    <n v="1"/>
    <n v="2"/>
    <n v="0"/>
    <n v="0"/>
    <x v="1"/>
    <n v="-145"/>
    <n v="0"/>
    <n v="0"/>
  </r>
  <r>
    <s v="NAVSUP FLC  Sasebo Detachment, Japan"/>
    <x v="34"/>
    <s v="A-493-0013"/>
    <n v="3683"/>
    <s v="Sasebo, Japan"/>
    <d v="2024-03-27T00:00:00"/>
    <d v="2024-03-29T00:00:00"/>
    <d v="1899-12-30T08:00:00"/>
    <m/>
    <m/>
    <m/>
    <m/>
    <m/>
    <m/>
    <s v="ENV Contractor"/>
    <m/>
    <e v="#REF!"/>
    <e v="#REF!"/>
    <m/>
    <m/>
    <m/>
    <n v="40"/>
    <n v="3"/>
    <s v="0"/>
    <n v="40"/>
    <n v="5"/>
    <n v="40"/>
    <n v="0"/>
    <n v="0"/>
    <n v="17"/>
    <n v="33"/>
    <x v="3"/>
    <n v="-144"/>
    <n v="0"/>
    <n v="0"/>
  </r>
  <r>
    <m/>
    <x v="31"/>
    <s v="A-493-0665"/>
    <s v="10KW"/>
    <s v="Global Online"/>
    <d v="2024-04-01T00:00:00"/>
    <d v="2024-04-05T00:00:00"/>
    <m/>
    <d v="1899-12-30T19:00:00"/>
    <d v="1899-12-30T16:00:00"/>
    <d v="1899-12-30T02:00:00"/>
    <d v="1899-12-30T00:00:00"/>
    <d v="1899-12-30T13:00:00"/>
    <d v="1899-12-30T08:00:00"/>
    <s v="LSC Rouse "/>
    <m/>
    <e v="#REF!"/>
    <e v="#REF!"/>
    <m/>
    <m/>
    <m/>
    <n v="45"/>
    <n v="5"/>
    <n v="43"/>
    <n v="35"/>
    <n v="0"/>
    <n v="30"/>
    <n v="1"/>
    <n v="4"/>
    <n v="1"/>
    <n v="0"/>
    <x v="3"/>
    <n v="-137"/>
    <n v="0"/>
    <n v="0"/>
  </r>
  <r>
    <m/>
    <x v="1"/>
    <s v="A-493-0103"/>
    <s v="12JY"/>
    <s v="Pax River, MD"/>
    <d v="2024-04-01T00:00:00"/>
    <d v="2024-04-05T00:00:00"/>
    <d v="1899-12-30T08:00:00"/>
    <m/>
    <m/>
    <m/>
    <m/>
    <m/>
    <m/>
    <s v="SOH Contractor"/>
    <m/>
    <e v="#REF!"/>
    <e v="#REF!"/>
    <m/>
    <m/>
    <m/>
    <n v="25"/>
    <n v="5"/>
    <n v="10"/>
    <n v="25"/>
    <n v="1"/>
    <n v="21"/>
    <n v="0"/>
    <n v="2"/>
    <n v="0"/>
    <n v="0"/>
    <x v="1"/>
    <n v="-137"/>
    <n v="0"/>
    <n v="0"/>
  </r>
  <r>
    <s v="Special for USMC"/>
    <x v="27"/>
    <s v="A-493-0012"/>
    <n v="3682"/>
    <s v="Iwakuni, Japan"/>
    <d v="2024-04-01T00:00:00"/>
    <d v="2024-04-05T00:00:00"/>
    <d v="1899-12-30T08:00:00"/>
    <m/>
    <m/>
    <m/>
    <m/>
    <m/>
    <m/>
    <s v="ENV Contractor"/>
    <m/>
    <e v="#REF!"/>
    <e v="#REF!"/>
    <m/>
    <m/>
    <m/>
    <n v="40"/>
    <n v="5"/>
    <n v="0"/>
    <n v="13"/>
    <n v="0"/>
    <n v="13"/>
    <n v="0"/>
    <n v="0"/>
    <n v="3"/>
    <n v="1"/>
    <x v="3"/>
    <n v="-137"/>
    <n v="0"/>
    <n v="0"/>
  </r>
  <r>
    <m/>
    <x v="22"/>
    <s v="A-493-0061"/>
    <s v="288E"/>
    <s v="Global Online"/>
    <d v="2024-04-01T00:00:00"/>
    <d v="2024-04-04T00:00:00"/>
    <m/>
    <d v="1899-12-30T10:00:00"/>
    <d v="1899-12-30T07:00:00"/>
    <d v="1899-12-30T17:00:00"/>
    <d v="1899-12-30T15:00:00"/>
    <d v="1899-12-30T04:00:00"/>
    <d v="1899-12-30T23:00:00"/>
    <s v="S. Griffin"/>
    <m/>
    <e v="#REF!"/>
    <e v="#REF!"/>
    <m/>
    <m/>
    <m/>
    <n v="45"/>
    <n v="5"/>
    <n v="430"/>
    <n v="29"/>
    <n v="0"/>
    <n v="25"/>
    <n v="0"/>
    <n v="3"/>
    <n v="0"/>
    <n v="1"/>
    <x v="1"/>
    <n v="-138"/>
    <n v="0"/>
    <n v="0"/>
  </r>
  <r>
    <m/>
    <x v="33"/>
    <s v="A-493-2300"/>
    <s v="993F"/>
    <s v="Panama City, FL"/>
    <d v="2024-04-01T00:00:00"/>
    <d v="2024-04-02T00:00:00"/>
    <d v="1899-12-30T08:00:00"/>
    <m/>
    <m/>
    <m/>
    <m/>
    <m/>
    <m/>
    <s v="ENV Contractor"/>
    <m/>
    <m/>
    <m/>
    <m/>
    <m/>
    <m/>
    <n v="30"/>
    <n v="2"/>
    <n v="16"/>
    <n v="23"/>
    <n v="0"/>
    <n v="11"/>
    <n v="0"/>
    <n v="14"/>
    <n v="2"/>
    <n v="0"/>
    <x v="3"/>
    <n v="-140"/>
    <n v="0"/>
    <n v="0"/>
  </r>
  <r>
    <m/>
    <x v="32"/>
    <s v="A-493-0073"/>
    <s v="714S"/>
    <s v="Global Online"/>
    <d v="2024-04-01T00:00:00"/>
    <d v="2024-04-04T00:00:00"/>
    <m/>
    <d v="1899-12-30T08:00:00"/>
    <d v="1899-12-30T05:00:00"/>
    <d v="1899-12-30T16:00:00"/>
    <d v="1899-12-30T14:00:00"/>
    <d v="1899-12-30T03:00:00"/>
    <d v="1899-12-30T22:00:00"/>
    <s v="SOH Contractor"/>
    <m/>
    <e v="#REF!"/>
    <e v="#REF!"/>
    <m/>
    <m/>
    <m/>
    <n v="30"/>
    <n v="4"/>
    <n v="361"/>
    <n v="25"/>
    <n v="0"/>
    <n v="19"/>
    <n v="0"/>
    <n v="6"/>
    <n v="0"/>
    <n v="0"/>
    <x v="1"/>
    <n v="-138"/>
    <n v="0"/>
    <n v="0"/>
  </r>
  <r>
    <m/>
    <x v="15"/>
    <s v="A-570-0100"/>
    <s v="18B7"/>
    <s v="Global Online"/>
    <d v="2024-04-01T00:00:00"/>
    <d v="2024-04-04T00:00:00"/>
    <m/>
    <d v="1899-12-30T13:00:00"/>
    <d v="1899-12-30T10:00:00"/>
    <d v="1899-12-30T20:00:00"/>
    <d v="1899-12-30T18:00:00"/>
    <d v="1899-12-30T07:00:00"/>
    <d v="1899-12-30T02:00:00"/>
    <s v="BMC Sosaya"/>
    <m/>
    <e v="#REF!"/>
    <e v="#REF!"/>
    <m/>
    <m/>
    <m/>
    <n v="30"/>
    <n v="4"/>
    <n v="459"/>
    <n v="29"/>
    <n v="0"/>
    <n v="24"/>
    <n v="1"/>
    <n v="4"/>
    <n v="0"/>
    <n v="0"/>
    <x v="4"/>
    <n v="-138"/>
    <n v="0"/>
    <n v="0"/>
  </r>
  <r>
    <s v="Special for USMC"/>
    <x v="7"/>
    <s v="A-493-0072"/>
    <s v="713U"/>
    <s v="Camp Lejeune, NC"/>
    <d v="2024-04-01T00:00:00"/>
    <d v="2024-04-04T00:00:00"/>
    <d v="1899-12-30T08:00:00"/>
    <m/>
    <m/>
    <m/>
    <m/>
    <m/>
    <m/>
    <s v="B. Jung"/>
    <s v="W. Mitchell"/>
    <e v="#REF!"/>
    <e v="#REF!"/>
    <m/>
    <m/>
    <m/>
    <n v="30"/>
    <n v="4"/>
    <n v="52"/>
    <n v="29"/>
    <n v="1"/>
    <n v="28"/>
    <n v="1"/>
    <n v="0"/>
    <n v="0"/>
    <n v="0"/>
    <x v="4"/>
    <n v="-138"/>
    <n v="0"/>
    <n v="0"/>
  </r>
  <r>
    <m/>
    <x v="35"/>
    <s v="A-493-0216"/>
    <s v="12X8"/>
    <s v="Panama City, FL"/>
    <d v="2024-04-03T00:00:00"/>
    <d v="2024-04-03T00:00:00"/>
    <d v="1899-12-30T08:00:00"/>
    <m/>
    <m/>
    <m/>
    <m/>
    <m/>
    <m/>
    <s v="ENV Contractor"/>
    <m/>
    <m/>
    <m/>
    <m/>
    <m/>
    <m/>
    <n v="30"/>
    <n v="1"/>
    <n v="16"/>
    <n v="23"/>
    <n v="0"/>
    <n v="25"/>
    <n v="0"/>
    <n v="1"/>
    <n v="3"/>
    <n v="0"/>
    <x v="3"/>
    <n v="-139"/>
    <n v="0"/>
    <n v="0"/>
  </r>
  <r>
    <s v="Target Area: Souda Bay, Greece"/>
    <x v="8"/>
    <s v="A-493-0083"/>
    <s v="339E"/>
    <s v="Global Online"/>
    <d v="2024-04-04T00:00:00"/>
    <d v="2024-04-04T00:00:00"/>
    <m/>
    <d v="1899-12-30T02:00:00"/>
    <d v="1899-12-30T23:00:00"/>
    <d v="1899-12-30T09:00:00"/>
    <d v="1899-12-30T08:00:00"/>
    <d v="1899-12-30T20:00:00"/>
    <d v="1899-12-30T15:00:00"/>
    <s v="ENV Contractor"/>
    <m/>
    <e v="#REF!"/>
    <e v="#REF!"/>
    <m/>
    <m/>
    <m/>
    <n v="30"/>
    <n v="1"/>
    <n v="0"/>
    <n v="30"/>
    <n v="5"/>
    <n v="29"/>
    <n v="0"/>
    <n v="2"/>
    <n v="1"/>
    <n v="2"/>
    <x v="3"/>
    <n v="-138"/>
    <n v="0"/>
    <n v="0"/>
  </r>
  <r>
    <m/>
    <x v="1"/>
    <s v="A-493-0103"/>
    <s v="12JY"/>
    <s v="Philadelphia, PA"/>
    <d v="2024-04-08T00:00:00"/>
    <d v="2024-04-12T00:00:00"/>
    <d v="1899-12-30T08:00:00"/>
    <m/>
    <m/>
    <m/>
    <m/>
    <m/>
    <m/>
    <s v="SOH Contractor"/>
    <m/>
    <e v="#REF!"/>
    <e v="#REF!"/>
    <m/>
    <m/>
    <m/>
    <n v="25"/>
    <n v="5"/>
    <n v="18"/>
    <n v="23"/>
    <n v="0"/>
    <n v="18"/>
    <n v="0"/>
    <n v="5"/>
    <n v="0"/>
    <n v="0"/>
    <x v="1"/>
    <n v="-130"/>
    <n v="0"/>
    <n v="0"/>
  </r>
  <r>
    <m/>
    <x v="1"/>
    <s v="A-493-0103"/>
    <s v="12JY"/>
    <s v="Whidbey Island, WA"/>
    <d v="2024-04-08T00:00:00"/>
    <d v="2024-04-12T00:00:00"/>
    <d v="1899-12-30T08:00:00"/>
    <m/>
    <m/>
    <m/>
    <m/>
    <m/>
    <m/>
    <s v="SOH Contractor"/>
    <m/>
    <e v="#REF!"/>
    <e v="#REF!"/>
    <m/>
    <m/>
    <m/>
    <n v="25"/>
    <n v="5"/>
    <n v="44"/>
    <n v="24"/>
    <n v="0"/>
    <n v="24"/>
    <n v="0"/>
    <n v="0"/>
    <n v="0"/>
    <n v="0"/>
    <x v="1"/>
    <n v="-130"/>
    <n v="0"/>
    <n v="0"/>
  </r>
  <r>
    <m/>
    <x v="2"/>
    <s v="A-493-0030"/>
    <s v="286X"/>
    <s v="Indian Head, MD"/>
    <d v="2024-04-08T00:00:00"/>
    <d v="2024-04-12T00:00:00"/>
    <d v="1899-12-30T08:00:00"/>
    <m/>
    <m/>
    <m/>
    <m/>
    <m/>
    <m/>
    <s v="IH Contractor"/>
    <m/>
    <e v="#REF!"/>
    <e v="#REF!"/>
    <m/>
    <m/>
    <m/>
    <n v="25"/>
    <n v="5"/>
    <n v="10"/>
    <n v="25"/>
    <m/>
    <n v="18"/>
    <n v="2"/>
    <n v="5"/>
    <n v="1"/>
    <n v="0"/>
    <x v="6"/>
    <n v="-130"/>
    <n v="0"/>
    <n v="0"/>
  </r>
  <r>
    <m/>
    <x v="28"/>
    <s v="A-322-2604"/>
    <s v="10ZZ"/>
    <s v="Global Online"/>
    <d v="2024-04-08T00:00:00"/>
    <d v="2024-04-12T00:00:00"/>
    <m/>
    <d v="1899-12-30T13:00:00"/>
    <d v="1899-12-30T10:00:00"/>
    <d v="1899-12-30T20:00:00"/>
    <d v="1899-12-30T18:00:00"/>
    <d v="1899-12-30T07:00:00"/>
    <d v="1899-12-30T02:00:00"/>
    <s v="LSC Rouse "/>
    <m/>
    <e v="#REF!"/>
    <e v="#REF!"/>
    <m/>
    <m/>
    <m/>
    <n v="45"/>
    <n v="5"/>
    <n v="653"/>
    <n v="42"/>
    <n v="0"/>
    <n v="36"/>
    <n v="0"/>
    <n v="6"/>
    <n v="0"/>
    <n v="0"/>
    <x v="4"/>
    <n v="-130"/>
    <n v="0"/>
    <n v="0"/>
  </r>
  <r>
    <m/>
    <x v="3"/>
    <s v="A-493-0077"/>
    <s v="0381"/>
    <s v="Norfolk, VA Classroom 1"/>
    <d v="2024-04-08T00:00:00"/>
    <d v="2024-04-10T00:00:00"/>
    <d v="1899-12-30T08:00:00"/>
    <m/>
    <m/>
    <m/>
    <m/>
    <m/>
    <m/>
    <s v="ENV Contractor"/>
    <m/>
    <e v="#REF!"/>
    <e v="#REF!"/>
    <m/>
    <m/>
    <m/>
    <n v="25"/>
    <n v="3"/>
    <n v="86"/>
    <n v="25"/>
    <n v="2"/>
    <n v="14"/>
    <n v="0"/>
    <n v="11"/>
    <n v="0"/>
    <n v="0"/>
    <x v="3"/>
    <n v="-132"/>
    <n v="0"/>
    <n v="0"/>
  </r>
  <r>
    <m/>
    <x v="5"/>
    <s v="A-493-0078"/>
    <n v="1228"/>
    <s v="Global Online"/>
    <d v="2024-04-08T00:00:00"/>
    <d v="2024-04-12T00:00:00"/>
    <m/>
    <d v="1899-12-30T13:00:00"/>
    <d v="1899-12-30T10:00:00"/>
    <d v="1899-12-30T20:00:00"/>
    <d v="1899-12-30T18:00:00"/>
    <d v="1899-12-30T07:00:00"/>
    <d v="1899-12-30T02:00:00"/>
    <s v="T. White"/>
    <m/>
    <e v="#REF!"/>
    <e v="#REF!"/>
    <m/>
    <m/>
    <m/>
    <n v="45"/>
    <n v="5"/>
    <n v="836"/>
    <n v="42"/>
    <n v="0"/>
    <n v="39"/>
    <n v="0"/>
    <n v="3"/>
    <n v="0"/>
    <n v="0"/>
    <x v="6"/>
    <n v="-130"/>
    <n v="0"/>
    <n v="0"/>
  </r>
  <r>
    <m/>
    <x v="6"/>
    <s v="A-493-0085"/>
    <n v="3555"/>
    <s v="Global Online"/>
    <d v="2024-04-08T00:00:00"/>
    <d v="2024-04-11T00:00:00"/>
    <m/>
    <d v="1899-12-30T19:00:00"/>
    <d v="1899-12-30T16:00:00"/>
    <d v="1899-12-30T02:00:00"/>
    <d v="1899-12-30T00:00:00"/>
    <d v="1899-12-30T13:00:00"/>
    <d v="1899-12-30T08:00:00"/>
    <s v="B. Jung"/>
    <m/>
    <e v="#REF!"/>
    <e v="#REF!"/>
    <m/>
    <m/>
    <m/>
    <n v="30"/>
    <n v="4"/>
    <n v="86"/>
    <n v="30"/>
    <n v="1"/>
    <n v="24"/>
    <n v="1"/>
    <n v="7"/>
    <n v="0"/>
    <n v="0"/>
    <x v="4"/>
    <n v="-131"/>
    <n v="0"/>
    <n v="0"/>
  </r>
  <r>
    <m/>
    <x v="16"/>
    <s v="A-493-0099"/>
    <s v="12JW"/>
    <s v="Global Online"/>
    <d v="2024-04-09T00:00:00"/>
    <d v="2024-04-11T00:00:00"/>
    <m/>
    <d v="1899-12-30T10:00:00"/>
    <d v="1899-12-30T07:00:00"/>
    <d v="1899-12-30T17:00:00"/>
    <d v="1899-12-30T15:00:00"/>
    <d v="1899-12-30T04:00:00"/>
    <d v="1899-12-30T23:00:00"/>
    <s v="V. Kentish"/>
    <m/>
    <e v="#REF!"/>
    <e v="#REF!"/>
    <m/>
    <m/>
    <m/>
    <n v="45"/>
    <n v="3"/>
    <n v="381"/>
    <n v="21"/>
    <n v="0"/>
    <n v="16"/>
    <n v="0"/>
    <n v="3"/>
    <n v="0"/>
    <n v="0"/>
    <x v="1"/>
    <n v="-131"/>
    <n v="0"/>
    <n v="0"/>
  </r>
  <r>
    <m/>
    <x v="19"/>
    <s v="A-493-0075 "/>
    <s v="714U"/>
    <s v="Virginia Beach, VA "/>
    <d v="2024-04-09T00:00:00"/>
    <d v="2024-04-12T00:00:00"/>
    <d v="1899-12-30T08:00:00"/>
    <m/>
    <m/>
    <m/>
    <m/>
    <m/>
    <m/>
    <s v="SOH Contractor"/>
    <m/>
    <e v="#REF!"/>
    <e v="#REF!"/>
    <m/>
    <m/>
    <m/>
    <n v="30"/>
    <n v="4"/>
    <n v="23"/>
    <n v="16"/>
    <n v="0"/>
    <n v="15"/>
    <n v="0"/>
    <n v="1"/>
    <n v="0"/>
    <n v="0"/>
    <x v="1"/>
    <n v="-130"/>
    <n v="0"/>
    <n v="0"/>
  </r>
  <r>
    <m/>
    <x v="20"/>
    <s v="A-493-0331"/>
    <s v="10UG"/>
    <s v="Global Online"/>
    <d v="2024-04-09T00:00:00"/>
    <d v="2024-04-11T00:00:00"/>
    <m/>
    <d v="1899-12-30T12:00:00"/>
    <d v="1899-12-30T09:00:00"/>
    <d v="1899-12-30T19:00:00"/>
    <d v="1899-12-30T17:00:00"/>
    <d v="1899-12-30T06:00:00"/>
    <d v="1899-12-30T01:00:00"/>
    <s v="W. Mitchell"/>
    <m/>
    <e v="#REF!"/>
    <e v="#REF!"/>
    <m/>
    <m/>
    <m/>
    <n v="40"/>
    <n v="3"/>
    <n v="709"/>
    <n v="39"/>
    <n v="4"/>
    <n v="28"/>
    <n v="1"/>
    <n v="10"/>
    <n v="0"/>
    <n v="0"/>
    <x v="4"/>
    <n v="-131"/>
    <n v="0"/>
    <n v="0"/>
  </r>
  <r>
    <m/>
    <x v="8"/>
    <s v="A-493-0083"/>
    <s v="339E"/>
    <s v="Norfolk, VA Classroom 1"/>
    <d v="2024-04-11T00:00:00"/>
    <d v="2024-04-11T00:00:00"/>
    <d v="1899-12-30T08:00:00"/>
    <m/>
    <m/>
    <m/>
    <m/>
    <m/>
    <m/>
    <s v="ENV Contractor"/>
    <m/>
    <e v="#REF!"/>
    <e v="#REF!"/>
    <m/>
    <m/>
    <m/>
    <n v="30"/>
    <n v="1"/>
    <n v="191"/>
    <n v="25"/>
    <n v="0"/>
    <n v="27"/>
    <n v="0"/>
    <n v="2"/>
    <n v="4"/>
    <n v="0"/>
    <x v="3"/>
    <n v="-131"/>
    <n v="0"/>
    <n v="0"/>
  </r>
  <r>
    <m/>
    <x v="0"/>
    <s v="A-4J-0022"/>
    <s v="09ER"/>
    <s v="Global Online"/>
    <d v="2024-04-15T00:00:00"/>
    <d v="2024-04-19T00:00:00"/>
    <m/>
    <d v="1899-12-30T13:00:00"/>
    <d v="1899-12-30T10:00:00"/>
    <d v="1899-12-30T20:00:00"/>
    <d v="1899-12-30T18:00:00"/>
    <d v="1899-12-30T07:00:00"/>
    <d v="1899-12-30T02:00:00"/>
    <s v="K. Seo"/>
    <m/>
    <e v="#REF!"/>
    <e v="#REF!"/>
    <m/>
    <m/>
    <m/>
    <n v="45"/>
    <n v="5"/>
    <n v="282"/>
    <n v="26"/>
    <n v="0"/>
    <n v="24"/>
    <n v="0"/>
    <n v="2"/>
    <n v="0"/>
    <n v="0"/>
    <x v="3"/>
    <n v="-123"/>
    <n v="0"/>
    <n v="0"/>
  </r>
  <r>
    <s v="All Hands @0900"/>
    <x v="25"/>
    <s v="NA"/>
    <s v="NA"/>
    <s v="Norfolk, VA Classroom 1"/>
    <d v="2024-04-15T00:00:00"/>
    <d v="2024-04-15T00:00:00"/>
    <d v="1899-12-30T09:00:00"/>
    <m/>
    <m/>
    <m/>
    <m/>
    <m/>
    <m/>
    <m/>
    <m/>
    <e v="#REF!"/>
    <e v="#REF!"/>
    <n v="0"/>
    <n v="0"/>
    <n v="0"/>
    <n v="0"/>
    <n v="0"/>
    <n v="0"/>
    <n v="0"/>
    <n v="0"/>
    <n v="0"/>
    <n v="0"/>
    <n v="0"/>
    <n v="0"/>
    <n v="0"/>
    <x v="5"/>
    <n v="-127"/>
    <n v="0"/>
    <n v="0"/>
  </r>
  <r>
    <m/>
    <x v="27"/>
    <s v="A-493-0012"/>
    <n v="3682"/>
    <s v="Souda Bay, Greece"/>
    <d v="2024-04-15T00:00:00"/>
    <d v="2024-04-19T00:00:00"/>
    <d v="1899-12-30T08:00:00"/>
    <m/>
    <m/>
    <m/>
    <m/>
    <m/>
    <m/>
    <s v="ENV Contractor"/>
    <m/>
    <e v="#REF!"/>
    <e v="#REF!"/>
    <m/>
    <m/>
    <m/>
    <n v="40"/>
    <n v="5"/>
    <n v="20"/>
    <n v="14"/>
    <n v="0"/>
    <n v="12"/>
    <n v="0"/>
    <n v="2"/>
    <n v="0"/>
    <n v="0"/>
    <x v="3"/>
    <n v="-123"/>
    <n v="0"/>
    <n v="0"/>
  </r>
  <r>
    <m/>
    <x v="8"/>
    <s v="A-493-0083"/>
    <s v="339E"/>
    <s v="Global Online"/>
    <d v="2024-04-15T00:00:00"/>
    <d v="2024-04-15T00:00:00"/>
    <m/>
    <d v="1899-12-30T14:00:00"/>
    <d v="1899-12-30T11:00:00"/>
    <d v="1899-12-30T21:00:00"/>
    <d v="1899-12-30T19:00:00"/>
    <d v="1899-12-30T08:00:00"/>
    <d v="1899-12-30T03:00:00"/>
    <s v="ENV Contractor"/>
    <m/>
    <e v="#REF!"/>
    <e v="#REF!"/>
    <m/>
    <m/>
    <m/>
    <n v="30"/>
    <n v="1"/>
    <n v="0"/>
    <n v="30"/>
    <n v="5"/>
    <n v="18"/>
    <n v="0"/>
    <n v="12"/>
    <n v="0"/>
    <n v="0"/>
    <x v="3"/>
    <n v="-127"/>
    <n v="0"/>
    <n v="0"/>
  </r>
  <r>
    <m/>
    <x v="40"/>
    <s v="PDS"/>
    <s v="PDS"/>
    <m/>
    <d v="2024-04-15T00:00:00"/>
    <d v="2024-04-26T00:00:00"/>
    <d v="1899-12-30T00:00:00"/>
    <d v="1899-12-30T00:00:00"/>
    <d v="1899-12-30T00:00:00"/>
    <d v="1899-12-30T00:00:00"/>
    <d v="1899-12-30T00:00:00"/>
    <d v="1899-12-30T00:00:00"/>
    <d v="1899-12-30T00:00:00"/>
    <m/>
    <m/>
    <e v="#REF!"/>
    <e v="#REF!"/>
    <n v="0"/>
    <n v="0"/>
    <n v="0"/>
    <n v="0"/>
    <n v="0"/>
    <m/>
    <m/>
    <m/>
    <n v="0"/>
    <n v="0"/>
    <n v="0"/>
    <n v="0"/>
    <n v="0"/>
    <x v="5"/>
    <n v="-116"/>
    <n v="0"/>
    <n v="0"/>
  </r>
  <r>
    <m/>
    <x v="34"/>
    <s v="A-493-0013"/>
    <n v="3683"/>
    <s v="Pensacola, FL"/>
    <d v="2024-04-16T00:00:00"/>
    <d v="2024-04-18T00:00:00"/>
    <d v="1899-12-30T08:00:00"/>
    <m/>
    <m/>
    <m/>
    <m/>
    <m/>
    <m/>
    <s v="ENV Contractor"/>
    <m/>
    <e v="#REF!"/>
    <e v="#REF!"/>
    <m/>
    <m/>
    <m/>
    <n v="40"/>
    <n v="3"/>
    <n v="0"/>
    <n v="18"/>
    <n v="0"/>
    <n v="17"/>
    <n v="0"/>
    <n v="0"/>
    <n v="0"/>
    <n v="0"/>
    <x v="3"/>
    <n v="-124"/>
    <n v="0"/>
    <n v="0"/>
  </r>
  <r>
    <m/>
    <x v="29"/>
    <s v="A-493-2301"/>
    <s v="05ZD"/>
    <s v="Bangor, WA"/>
    <d v="2024-04-17T00:00:00"/>
    <d v="2024-04-17T00:00:00"/>
    <d v="1899-12-30T08:00:00"/>
    <m/>
    <m/>
    <m/>
    <m/>
    <m/>
    <m/>
    <s v="ENV Contractor"/>
    <m/>
    <e v="#REF!"/>
    <e v="#REF!"/>
    <m/>
    <m/>
    <m/>
    <n v="30"/>
    <n v="1"/>
    <n v="36"/>
    <n v="20"/>
    <n v="0"/>
    <n v="16"/>
    <n v="0"/>
    <n v="5"/>
    <n v="1"/>
    <n v="0"/>
    <x v="3"/>
    <n v="-125"/>
    <n v="0"/>
    <n v="0"/>
  </r>
  <r>
    <m/>
    <x v="35"/>
    <s v="A-493-0216"/>
    <s v="12X8"/>
    <s v="Bangor, WA"/>
    <d v="2024-04-18T00:00:00"/>
    <d v="2024-04-18T00:00:00"/>
    <d v="1899-12-30T08:00:00"/>
    <m/>
    <m/>
    <m/>
    <m/>
    <m/>
    <m/>
    <s v="ENV Contractor"/>
    <m/>
    <e v="#REF!"/>
    <e v="#REF!"/>
    <m/>
    <m/>
    <m/>
    <n v="30"/>
    <n v="1"/>
    <n v="42"/>
    <n v="15"/>
    <n v="0"/>
    <n v="16"/>
    <n v="0"/>
    <n v="7"/>
    <n v="8"/>
    <n v="0"/>
    <x v="3"/>
    <n v="-124"/>
    <n v="0"/>
    <n v="0"/>
  </r>
  <r>
    <m/>
    <x v="30"/>
    <s v="A-493-2501"/>
    <s v="05ZE"/>
    <s v="Bangor, WA"/>
    <d v="2024-04-19T00:00:00"/>
    <d v="2024-04-19T00:00:00"/>
    <d v="1899-12-30T08:00:00"/>
    <m/>
    <m/>
    <m/>
    <m/>
    <m/>
    <m/>
    <s v="ENV Contractor"/>
    <m/>
    <e v="#REF!"/>
    <e v="#REF!"/>
    <m/>
    <m/>
    <m/>
    <n v="30"/>
    <n v="1"/>
    <n v="38"/>
    <n v="28"/>
    <n v="0"/>
    <n v="37"/>
    <n v="0"/>
    <n v="7"/>
    <n v="16"/>
    <n v="0"/>
    <x v="3"/>
    <n v="-123"/>
    <n v="0"/>
    <n v="0"/>
  </r>
  <r>
    <m/>
    <x v="2"/>
    <s v="A-493-0030"/>
    <s v="286X"/>
    <s v="Bremerton, WA"/>
    <d v="2024-04-22T00:00:00"/>
    <d v="2024-04-26T00:00:00"/>
    <d v="1899-12-30T08:00:00"/>
    <m/>
    <m/>
    <m/>
    <m/>
    <m/>
    <m/>
    <s v="IH Contractor"/>
    <m/>
    <e v="#REF!"/>
    <e v="#REF!"/>
    <m/>
    <m/>
    <m/>
    <n v="25"/>
    <n v="5"/>
    <n v="22"/>
    <n v="16"/>
    <m/>
    <n v="12"/>
    <n v="0"/>
    <n v="4"/>
    <n v="0"/>
    <n v="0"/>
    <x v="6"/>
    <n v="-116"/>
    <n v="0"/>
    <n v="0"/>
  </r>
  <r>
    <s v="Special-Do not Spread(Sea Bees)"/>
    <x v="38"/>
    <s v="A-493-0021"/>
    <s v="18BN"/>
    <s v="Port Hueneme, CA"/>
    <d v="2024-04-22T00:00:00"/>
    <d v="2024-04-26T00:00:00"/>
    <d v="1899-12-30T08:00:00"/>
    <m/>
    <m/>
    <m/>
    <m/>
    <m/>
    <m/>
    <s v="SOH Contractor"/>
    <m/>
    <e v="#REF!"/>
    <e v="#REF!"/>
    <m/>
    <m/>
    <m/>
    <n v="35"/>
    <n v="5"/>
    <n v="22"/>
    <n v="12"/>
    <n v="0"/>
    <n v="12"/>
    <n v="0"/>
    <n v="2"/>
    <n v="2"/>
    <n v="0"/>
    <x v="1"/>
    <n v="-116"/>
    <n v="0"/>
    <n v="0"/>
  </r>
  <r>
    <s v="Special for USMC"/>
    <x v="27"/>
    <s v="A-493-0012"/>
    <n v="3682"/>
    <s v="Cherry Point, NC"/>
    <d v="2024-04-22T00:00:00"/>
    <d v="2024-04-26T00:00:00"/>
    <d v="1899-12-30T08:00:00"/>
    <m/>
    <m/>
    <m/>
    <m/>
    <m/>
    <m/>
    <s v="ENV Contractor"/>
    <m/>
    <m/>
    <m/>
    <m/>
    <m/>
    <m/>
    <n v="40"/>
    <n v="5"/>
    <n v="0"/>
    <n v="17"/>
    <n v="0"/>
    <n v="30"/>
    <n v="0"/>
    <n v="4"/>
    <n v="17"/>
    <n v="0"/>
    <x v="3"/>
    <n v="-116"/>
    <n v="0"/>
    <n v="0"/>
  </r>
  <r>
    <m/>
    <x v="27"/>
    <s v="A-493-0012"/>
    <n v="3682"/>
    <s v="Rota, Spain"/>
    <d v="2024-04-22T00:00:00"/>
    <d v="2024-04-26T00:00:00"/>
    <d v="1899-12-30T08:00:00"/>
    <m/>
    <m/>
    <m/>
    <m/>
    <m/>
    <m/>
    <s v="ENV Contractor"/>
    <m/>
    <e v="#REF!"/>
    <e v="#REF!"/>
    <m/>
    <m/>
    <m/>
    <n v="40"/>
    <n v="5"/>
    <n v="0"/>
    <n v="32"/>
    <n v="0"/>
    <n v="28"/>
    <n v="0"/>
    <n v="8"/>
    <n v="5"/>
    <n v="0"/>
    <x v="3"/>
    <n v="-116"/>
    <n v="0"/>
    <n v="0"/>
  </r>
  <r>
    <m/>
    <x v="32"/>
    <s v="A-493-0073"/>
    <s v="714S"/>
    <s v="Global Online"/>
    <d v="2024-04-23T00:00:00"/>
    <d v="2024-04-26T00:00:00"/>
    <m/>
    <d v="1899-12-30T13:00:00"/>
    <d v="1899-12-30T10:00:00"/>
    <d v="1899-12-30T20:00:00"/>
    <d v="1899-12-30T18:00:00"/>
    <d v="1899-12-30T07:00:00"/>
    <d v="1899-12-30T02:00:00"/>
    <s v="SOH Contractor"/>
    <m/>
    <e v="#REF!"/>
    <e v="#REF!"/>
    <m/>
    <m/>
    <m/>
    <n v="30"/>
    <n v="4"/>
    <n v="453"/>
    <n v="21"/>
    <n v="0"/>
    <n v="17"/>
    <n v="0"/>
    <n v="4"/>
    <n v="0"/>
    <n v="0"/>
    <x v="7"/>
    <n v="-116"/>
    <n v="0"/>
    <n v="0"/>
  </r>
  <r>
    <m/>
    <x v="1"/>
    <s v="A-493-0103"/>
    <s v="12JY"/>
    <s v="Bremerton, WA"/>
    <d v="2024-04-29T00:00:00"/>
    <d v="2024-05-03T00:00:00"/>
    <d v="1899-12-30T08:00:00"/>
    <m/>
    <m/>
    <m/>
    <m/>
    <m/>
    <m/>
    <s v="SOH Contractor"/>
    <m/>
    <e v="#REF!"/>
    <e v="#REF!"/>
    <m/>
    <m/>
    <m/>
    <n v="25"/>
    <n v="5"/>
    <n v="42"/>
    <n v="16"/>
    <n v="0"/>
    <n v="14"/>
    <n v="0"/>
    <n v="2"/>
    <n v="0"/>
    <n v="0"/>
    <x v="1"/>
    <n v="-109"/>
    <n v="0"/>
    <n v="0"/>
  </r>
  <r>
    <s v="USMC"/>
    <x v="1"/>
    <s v="A-493-0103"/>
    <s v="12JY"/>
    <s v="Iwakuni, Japan"/>
    <d v="2024-04-29T00:00:00"/>
    <d v="2024-05-03T00:00:00"/>
    <d v="1899-12-30T08:00:00"/>
    <m/>
    <m/>
    <m/>
    <m/>
    <m/>
    <m/>
    <s v="SOH Contractor"/>
    <m/>
    <e v="#REF!"/>
    <e v="#REF!"/>
    <m/>
    <m/>
    <m/>
    <n v="25"/>
    <n v="5"/>
    <n v="50"/>
    <m/>
    <m/>
    <n v="18"/>
    <n v="0"/>
    <n v="4"/>
    <n v="0"/>
    <n v="4"/>
    <x v="1"/>
    <n v="-109"/>
    <n v="0"/>
    <n v="0"/>
  </r>
  <r>
    <m/>
    <x v="22"/>
    <s v="A-493-0061"/>
    <s v="288E"/>
    <s v="Global Online"/>
    <d v="2024-04-29T00:00:00"/>
    <d v="2024-05-03T00:00:00"/>
    <m/>
    <d v="1899-12-30T07:00:00"/>
    <d v="1899-12-30T04:00:00"/>
    <d v="1899-12-30T14:00:00"/>
    <d v="1899-12-30T12:00:00"/>
    <d v="1899-12-30T01:00:00"/>
    <d v="1899-12-30T20:00:00"/>
    <s v="S. Griffin"/>
    <m/>
    <e v="#REF!"/>
    <e v="#REF!"/>
    <m/>
    <m/>
    <m/>
    <n v="45"/>
    <n v="5"/>
    <n v="50"/>
    <n v="29"/>
    <n v="0"/>
    <n v="21"/>
    <n v="1"/>
    <n v="7"/>
    <n v="0"/>
    <n v="0"/>
    <x v="3"/>
    <n v="-109"/>
    <n v="0"/>
    <n v="0"/>
  </r>
  <r>
    <m/>
    <x v="28"/>
    <s v="A-322-2604"/>
    <s v="10ZZ"/>
    <s v="Global Online"/>
    <d v="2024-04-29T00:00:00"/>
    <d v="2024-05-03T00:00:00"/>
    <m/>
    <d v="1899-12-30T08:00:00"/>
    <d v="1899-12-30T05:00:00"/>
    <d v="1899-12-30T15:00:00"/>
    <d v="1899-12-30T13:00:00"/>
    <d v="1899-12-30T02:00:00"/>
    <d v="1899-12-30T21:00:00"/>
    <s v="LSC Rouse "/>
    <m/>
    <e v="#REF!"/>
    <e v="#REF!"/>
    <m/>
    <m/>
    <m/>
    <n v="45"/>
    <n v="5"/>
    <n v="403"/>
    <n v="45"/>
    <n v="0"/>
    <n v="37"/>
    <n v="1"/>
    <n v="7"/>
    <n v="0"/>
    <n v="0"/>
    <x v="7"/>
    <n v="-109"/>
    <n v="0"/>
    <n v="0"/>
  </r>
  <r>
    <m/>
    <x v="23"/>
    <s v="A-493-0335"/>
    <s v="09ND"/>
    <s v="Global Online"/>
    <d v="2024-04-29T00:00:00"/>
    <d v="2024-05-02T00:00:00"/>
    <m/>
    <d v="1899-12-30T12:00:00"/>
    <d v="1899-12-30T09:00:00"/>
    <d v="1899-12-30T19:00:00"/>
    <d v="1899-12-30T17:00:00"/>
    <d v="1899-12-30T06:00:00"/>
    <d v="1899-12-30T01:00:00"/>
    <s v="W. Mitchell"/>
    <m/>
    <e v="#REF!"/>
    <e v="#REF!"/>
    <m/>
    <m/>
    <m/>
    <n v="30"/>
    <n v="4"/>
    <n v="709"/>
    <n v="30"/>
    <n v="2"/>
    <n v="23"/>
    <n v="3"/>
    <n v="4"/>
    <n v="0"/>
    <n v="0"/>
    <x v="4"/>
    <n v="-110"/>
    <n v="0"/>
    <n v="0"/>
  </r>
  <r>
    <m/>
    <x v="7"/>
    <s v="A-493-0072"/>
    <s v="713U"/>
    <s v="Norfolk, VA Classroom 1"/>
    <d v="2024-04-29T00:00:00"/>
    <d v="2024-05-02T00:00:00"/>
    <d v="1899-12-30T08:00:00"/>
    <m/>
    <m/>
    <m/>
    <m/>
    <m/>
    <m/>
    <s v="B. Jung"/>
    <s v="K. Seo"/>
    <e v="#REF!"/>
    <e v="#REF!"/>
    <m/>
    <m/>
    <m/>
    <n v="30"/>
    <n v="4"/>
    <n v="235"/>
    <n v="30"/>
    <n v="3"/>
    <n v="30"/>
    <n v="0"/>
    <n v="5"/>
    <n v="4"/>
    <n v="0"/>
    <x v="3"/>
    <n v="-110"/>
    <n v="0"/>
    <n v="0"/>
  </r>
  <r>
    <m/>
    <x v="26"/>
    <s v="A-493-2098"/>
    <s v="09WW"/>
    <s v="Global Online"/>
    <d v="2024-04-29T00:00:00"/>
    <d v="2024-05-03T00:00:00"/>
    <m/>
    <d v="1899-12-30T13:00:00"/>
    <d v="1899-12-30T10:00:00"/>
    <d v="1899-12-30T20:00:00"/>
    <d v="1899-12-30T18:00:00"/>
    <d v="1899-12-30T07:00:00"/>
    <d v="1899-12-30T02:00:00"/>
    <s v="LSC Rouse "/>
    <m/>
    <e v="#REF!"/>
    <e v="#REF!"/>
    <m/>
    <m/>
    <m/>
    <n v="100"/>
    <n v="5"/>
    <n v="1257"/>
    <n v="100"/>
    <n v="16"/>
    <n v="88"/>
    <n v="4"/>
    <n v="24"/>
    <n v="0"/>
    <n v="0"/>
    <x v="6"/>
    <n v="-109"/>
    <n v="0"/>
    <n v="0"/>
  </r>
  <r>
    <m/>
    <x v="16"/>
    <s v="A-493-0099"/>
    <s v="12JW"/>
    <s v="Global Online"/>
    <d v="2024-04-30T00:00:00"/>
    <d v="2024-05-02T00:00:00"/>
    <m/>
    <d v="1899-12-30T10:00:00"/>
    <d v="1899-12-30T07:00:00"/>
    <d v="1899-12-30T17:00:00"/>
    <d v="1899-12-30T15:00:00"/>
    <d v="1899-12-30T04:00:00"/>
    <d v="1899-12-30T23:00:00"/>
    <s v="V. Kentish"/>
    <m/>
    <e v="#REF!"/>
    <e v="#REF!"/>
    <m/>
    <m/>
    <m/>
    <n v="45"/>
    <n v="3"/>
    <n v="381"/>
    <n v="31"/>
    <n v="0"/>
    <n v="25"/>
    <n v="0"/>
    <n v="5"/>
    <n v="0"/>
    <n v="0"/>
    <x v="1"/>
    <n v="-110"/>
    <n v="0"/>
    <n v="0"/>
  </r>
  <r>
    <s v="NAVSUP FLC Yokosuka – Hachinohe Detachment"/>
    <x v="34"/>
    <s v="A-493-0013"/>
    <n v="3683"/>
    <s v="Hachinohe, Japan"/>
    <d v="2024-05-01T00:00:00"/>
    <d v="2024-05-03T00:00:00"/>
    <d v="1899-12-30T08:00:00"/>
    <m/>
    <m/>
    <m/>
    <m/>
    <m/>
    <m/>
    <s v="ENV Contractor"/>
    <m/>
    <e v="#REF!"/>
    <e v="#REF!"/>
    <m/>
    <m/>
    <m/>
    <n v="40"/>
    <n v="3"/>
    <n v="26"/>
    <n v="24"/>
    <n v="0"/>
    <n v="24"/>
    <n v="0"/>
    <n v="0"/>
    <n v="19"/>
    <n v="24"/>
    <x v="3"/>
    <n v="-109"/>
    <n v="0"/>
    <n v="0"/>
  </r>
  <r>
    <m/>
    <x v="1"/>
    <s v="A-493-0103"/>
    <s v="12JY"/>
    <s v="Yokosuka, Japan"/>
    <d v="2024-05-06T00:00:00"/>
    <d v="2024-05-10T00:00:00"/>
    <d v="1899-12-30T08:00:00"/>
    <m/>
    <m/>
    <m/>
    <m/>
    <m/>
    <m/>
    <s v="SOH Contractor"/>
    <m/>
    <e v="#REF!"/>
    <e v="#REF!"/>
    <m/>
    <m/>
    <m/>
    <n v="25"/>
    <n v="5"/>
    <n v="82"/>
    <n v="25"/>
    <n v="4"/>
    <m/>
    <m/>
    <m/>
    <m/>
    <m/>
    <x v="8"/>
    <n v="-102"/>
    <n v="1"/>
    <n v="0"/>
  </r>
  <r>
    <m/>
    <x v="31"/>
    <s v="A-493-0665"/>
    <s v="10KW"/>
    <s v="Global Online"/>
    <d v="2024-05-06T00:00:00"/>
    <d v="2024-05-10T00:00:00"/>
    <m/>
    <d v="1899-12-30T13:00:00"/>
    <d v="1899-12-30T10:00:00"/>
    <d v="1899-12-30T20:00:00"/>
    <d v="1899-12-30T18:00:00"/>
    <d v="1899-12-30T07:00:00"/>
    <d v="1899-12-30T02:00:00"/>
    <s v="LSC Rouse "/>
    <m/>
    <e v="#REF!"/>
    <e v="#REF!"/>
    <m/>
    <m/>
    <m/>
    <n v="45"/>
    <n v="5"/>
    <n v="343"/>
    <n v="33"/>
    <n v="0"/>
    <n v="28"/>
    <n v="0"/>
    <n v="5"/>
    <n v="0"/>
    <n v="0"/>
    <x v="6"/>
    <n v="-102"/>
    <n v="0"/>
    <n v="0"/>
  </r>
  <r>
    <m/>
    <x v="1"/>
    <s v="A-493-0103"/>
    <s v="12JY"/>
    <s v="Everett, WA"/>
    <d v="2024-05-06T00:00:00"/>
    <d v="2024-05-10T00:00:00"/>
    <d v="1899-12-30T08:00:00"/>
    <m/>
    <m/>
    <m/>
    <m/>
    <m/>
    <m/>
    <s v="SOH Contractor"/>
    <m/>
    <e v="#REF!"/>
    <e v="#REF!"/>
    <m/>
    <m/>
    <m/>
    <n v="25"/>
    <n v="5"/>
    <n v="25"/>
    <n v="12"/>
    <n v="0"/>
    <n v="10"/>
    <n v="0"/>
    <n v="6"/>
    <n v="1"/>
    <n v="0"/>
    <x v="1"/>
    <n v="-102"/>
    <n v="0"/>
    <n v="0"/>
  </r>
  <r>
    <m/>
    <x v="2"/>
    <s v="A-493-0030"/>
    <s v="286X"/>
    <s v="Global Online"/>
    <d v="2024-05-06T00:00:00"/>
    <d v="2024-05-10T00:00:00"/>
    <m/>
    <d v="1899-12-30T08:00:00"/>
    <d v="1899-12-30T05:00:00"/>
    <d v="1899-12-30T15:00:00"/>
    <d v="1899-12-30T13:00:00"/>
    <d v="1899-12-30T02:00:00"/>
    <d v="1899-12-30T21:00:00"/>
    <s v="IH Contractor"/>
    <m/>
    <e v="#REF!"/>
    <e v="#REF!"/>
    <m/>
    <m/>
    <m/>
    <n v="25"/>
    <n v="5"/>
    <n v="0"/>
    <n v="25"/>
    <n v="1"/>
    <n v="14"/>
    <n v="3"/>
    <n v="11"/>
    <n v="4"/>
    <n v="0"/>
    <x v="4"/>
    <n v="-102"/>
    <n v="0"/>
    <n v="0"/>
  </r>
  <r>
    <m/>
    <x v="27"/>
    <s v="A-493-0012"/>
    <n v="3682"/>
    <s v="Bremerton, WA"/>
    <d v="2024-05-06T00:00:00"/>
    <d v="2024-05-10T00:00:00"/>
    <d v="1899-12-30T08:00:00"/>
    <m/>
    <m/>
    <m/>
    <m/>
    <m/>
    <m/>
    <s v="ENV Contractor"/>
    <m/>
    <e v="#REF!"/>
    <e v="#REF!"/>
    <m/>
    <m/>
    <m/>
    <n v="40"/>
    <n v="5"/>
    <n v="0"/>
    <n v="39"/>
    <n v="0"/>
    <n v="21"/>
    <n v="0"/>
    <n v="1"/>
    <n v="4"/>
    <n v="0"/>
    <x v="3"/>
    <n v="-102"/>
    <n v="0"/>
    <n v="0"/>
  </r>
  <r>
    <m/>
    <x v="27"/>
    <s v="A-493-0012"/>
    <n v="3682"/>
    <s v="Yokosuka, Japan"/>
    <d v="2024-05-06T00:00:00"/>
    <d v="2024-05-10T00:00:00"/>
    <d v="1899-12-30T08:00:00"/>
    <m/>
    <m/>
    <m/>
    <m/>
    <m/>
    <m/>
    <s v="ENV Contractor"/>
    <m/>
    <e v="#REF!"/>
    <e v="#REF!"/>
    <m/>
    <m/>
    <m/>
    <n v="40"/>
    <n v="5"/>
    <n v="20"/>
    <n v="40"/>
    <n v="4"/>
    <n v="32"/>
    <n v="0"/>
    <n v="7"/>
    <n v="0"/>
    <n v="0"/>
    <x v="3"/>
    <n v="-102"/>
    <n v="0"/>
    <n v="0"/>
  </r>
  <r>
    <m/>
    <x v="22"/>
    <s v="A-493-0061"/>
    <s v="288E"/>
    <s v="Global Online"/>
    <d v="2024-05-06T00:00:00"/>
    <d v="2024-05-10T00:00:00"/>
    <m/>
    <d v="1899-12-30T13:00:00"/>
    <d v="1899-12-30T10:00:00"/>
    <d v="1899-12-30T20:00:00"/>
    <d v="1899-12-30T18:00:00"/>
    <d v="1899-12-30T07:00:00"/>
    <d v="1899-12-30T02:00:00"/>
    <s v="S. Griffin"/>
    <m/>
    <e v="#REF!"/>
    <e v="#REF!"/>
    <m/>
    <m/>
    <m/>
    <n v="45"/>
    <n v="5"/>
    <n v="583"/>
    <n v="13"/>
    <n v="0"/>
    <n v="10"/>
    <n v="0"/>
    <n v="2"/>
    <n v="0"/>
    <n v="0"/>
    <x v="3"/>
    <n v="-102"/>
    <n v="0"/>
    <n v="0"/>
  </r>
  <r>
    <m/>
    <x v="8"/>
    <s v="A-493-0083"/>
    <s v="339E"/>
    <s v="Global Online"/>
    <d v="2024-05-06T00:00:00"/>
    <d v="2024-05-06T00:00:00"/>
    <m/>
    <d v="1899-12-30T11:00:00"/>
    <d v="1899-12-30T08:00:00"/>
    <d v="1899-12-30T18:00:00"/>
    <d v="1899-12-30T16:00:00"/>
    <d v="1899-12-30T05:00:00"/>
    <d v="1899-12-30T00:00:00"/>
    <s v="ENV Contractor"/>
    <m/>
    <e v="#REF!"/>
    <e v="#REF!"/>
    <m/>
    <m/>
    <m/>
    <n v="30"/>
    <n v="1"/>
    <n v="0"/>
    <n v="30"/>
    <n v="5"/>
    <n v="32"/>
    <n v="0"/>
    <n v="3"/>
    <n v="4"/>
    <n v="0"/>
    <x v="6"/>
    <n v="-106"/>
    <n v="0"/>
    <n v="0"/>
  </r>
  <r>
    <m/>
    <x v="4"/>
    <s v="A-493-0550"/>
    <s v="09K5"/>
    <s v="Global Online"/>
    <d v="2024-05-06T00:00:00"/>
    <d v="2024-05-10T00:00:00"/>
    <m/>
    <d v="1899-12-30T08:00:00"/>
    <d v="1899-12-30T05:00:00"/>
    <d v="1899-12-30T15:00:00"/>
    <d v="1899-12-30T13:00:00"/>
    <d v="1899-12-30T02:00:00"/>
    <d v="1899-12-30T21:00:00"/>
    <s v="D. Rodriguez"/>
    <m/>
    <e v="#REF!"/>
    <e v="#REF!"/>
    <m/>
    <m/>
    <m/>
    <n v="45"/>
    <n v="4"/>
    <n v="480"/>
    <n v="45"/>
    <n v="0"/>
    <n v="39"/>
    <n v="1"/>
    <n v="5"/>
    <n v="0"/>
    <n v="0"/>
    <x v="4"/>
    <n v="-102"/>
    <n v="0"/>
    <n v="0"/>
  </r>
  <r>
    <m/>
    <x v="5"/>
    <s v="A-493-0078"/>
    <n v="1228"/>
    <s v="Global Online"/>
    <d v="2024-05-06T00:00:00"/>
    <d v="2024-05-10T00:00:00"/>
    <m/>
    <d v="1899-12-30T10:00:00"/>
    <d v="1899-12-30T07:00:00"/>
    <d v="1899-12-30T17:00:00"/>
    <d v="1899-12-30T15:00:00"/>
    <d v="1899-12-30T04:00:00"/>
    <d v="1899-12-30T23:00:00"/>
    <s v="T. White"/>
    <m/>
    <e v="#REF!"/>
    <e v="#REF!"/>
    <m/>
    <m/>
    <m/>
    <n v="45"/>
    <n v="5"/>
    <n v="543"/>
    <n v="44"/>
    <n v="0"/>
    <n v="35"/>
    <n v="0"/>
    <n v="9"/>
    <n v="1"/>
    <n v="0"/>
    <x v="6"/>
    <n v="-102"/>
    <n v="0"/>
    <n v="0"/>
  </r>
  <r>
    <m/>
    <x v="15"/>
    <s v="A-570-0100"/>
    <s v="18B7"/>
    <s v="Global Online"/>
    <d v="2024-05-06T00:00:00"/>
    <d v="2024-05-09T00:00:00"/>
    <m/>
    <d v="1899-12-30T13:00:00"/>
    <d v="1899-12-30T10:00:00"/>
    <d v="1899-12-30T20:00:00"/>
    <d v="1899-12-30T18:00:00"/>
    <d v="1899-12-30T07:00:00"/>
    <d v="1899-12-30T02:00:00"/>
    <s v="BMC Sosaya"/>
    <m/>
    <e v="#REF!"/>
    <e v="#REF!"/>
    <m/>
    <m/>
    <m/>
    <n v="30"/>
    <n v="4"/>
    <n v="459"/>
    <n v="33"/>
    <n v="0"/>
    <n v="25"/>
    <n v="1"/>
    <n v="7"/>
    <n v="3"/>
    <n v="0"/>
    <x v="7"/>
    <n v="-103"/>
    <n v="0"/>
    <n v="0"/>
  </r>
  <r>
    <s v="USAF Special Convening do not spread quotas"/>
    <x v="36"/>
    <s v="A-493-2017"/>
    <s v="12x3"/>
    <s v="Ownings Mills, MD"/>
    <d v="2024-05-06T00:00:00"/>
    <d v="2024-05-10T00:00:00"/>
    <d v="1899-12-30T08:00:00"/>
    <m/>
    <m/>
    <m/>
    <m/>
    <m/>
    <m/>
    <s v="ENV Contractor"/>
    <m/>
    <m/>
    <m/>
    <m/>
    <m/>
    <m/>
    <n v="25"/>
    <n v="2"/>
    <n v="0"/>
    <n v="13"/>
    <n v="0"/>
    <n v="12"/>
    <n v="0"/>
    <n v="1"/>
    <n v="0"/>
    <n v="0"/>
    <x v="6"/>
    <n v="-102"/>
    <n v="0"/>
    <n v="0"/>
  </r>
  <r>
    <m/>
    <x v="20"/>
    <s v="A-493-0331"/>
    <s v="10UG"/>
    <s v="Global Online"/>
    <d v="2024-05-07T00:00:00"/>
    <d v="2024-05-09T00:00:00"/>
    <m/>
    <d v="1899-12-30T12:00:00"/>
    <d v="1899-12-30T09:00:00"/>
    <d v="1899-12-30T19:00:00"/>
    <d v="1899-12-30T17:00:00"/>
    <d v="1899-12-30T06:00:00"/>
    <d v="1899-12-30T01:00:00"/>
    <s v="W. Mitchell"/>
    <m/>
    <e v="#REF!"/>
    <e v="#REF!"/>
    <m/>
    <m/>
    <m/>
    <n v="40"/>
    <n v="3"/>
    <n v="709"/>
    <n v="40"/>
    <n v="9"/>
    <n v="38"/>
    <n v="1"/>
    <n v="6"/>
    <n v="0"/>
    <n v="0"/>
    <x v="4"/>
    <n v="-103"/>
    <n v="0"/>
    <n v="0"/>
  </r>
  <r>
    <m/>
    <x v="38"/>
    <s v="A-493-0021"/>
    <s v="18BN"/>
    <s v="Great Lakes, IL"/>
    <d v="2024-05-13T00:00:00"/>
    <d v="2024-05-17T00:00:00"/>
    <d v="1899-12-30T08:00:00"/>
    <m/>
    <m/>
    <m/>
    <m/>
    <m/>
    <m/>
    <s v="SOH Contractor"/>
    <m/>
    <e v="#REF!"/>
    <e v="#REF!"/>
    <m/>
    <m/>
    <m/>
    <n v="35"/>
    <n v="5"/>
    <n v="20"/>
    <n v="35"/>
    <n v="7"/>
    <n v="32"/>
    <n v="0"/>
    <n v="10"/>
    <n v="8"/>
    <n v="0"/>
    <x v="1"/>
    <n v="-95"/>
    <n v="0"/>
    <n v="0"/>
  </r>
  <r>
    <s v="NAVSUP FLC Yokosuka – Hakozaki Detachment"/>
    <x v="34"/>
    <s v="A-493-0013"/>
    <n v="3683"/>
    <s v="Hakozaki, Japan"/>
    <d v="2024-05-13T00:00:00"/>
    <d v="2024-05-15T00:00:00"/>
    <d v="1899-12-30T08:00:00"/>
    <m/>
    <m/>
    <m/>
    <m/>
    <m/>
    <m/>
    <s v="ENV Contractor"/>
    <m/>
    <e v="#REF!"/>
    <e v="#REF!"/>
    <m/>
    <m/>
    <m/>
    <n v="40"/>
    <n v="3"/>
    <n v="0"/>
    <n v="10"/>
    <n v="0"/>
    <n v="25"/>
    <n v="0"/>
    <n v="0"/>
    <n v="12"/>
    <n v="16"/>
    <x v="3"/>
    <n v="-97"/>
    <n v="0"/>
    <n v="0"/>
  </r>
  <r>
    <m/>
    <x v="19"/>
    <s v="A-493-0075 "/>
    <s v="714U"/>
    <s v="Coronado, CA"/>
    <d v="2024-05-13T00:00:00"/>
    <d v="2024-05-16T00:00:00"/>
    <d v="1899-12-30T08:00:00"/>
    <m/>
    <m/>
    <m/>
    <m/>
    <m/>
    <m/>
    <s v="SOH Contractor"/>
    <m/>
    <e v="#REF!"/>
    <e v="#REF!"/>
    <m/>
    <m/>
    <m/>
    <n v="30"/>
    <n v="4"/>
    <n v="6"/>
    <n v="11"/>
    <n v="0"/>
    <n v="10"/>
    <n v="0"/>
    <n v="1"/>
    <n v="0"/>
    <n v="0"/>
    <x v="3"/>
    <n v="-96"/>
    <n v="0"/>
    <n v="0"/>
  </r>
  <r>
    <m/>
    <x v="28"/>
    <s v="A-322-2604"/>
    <s v="10ZZ"/>
    <s v="Global Online"/>
    <d v="2024-05-13T00:00:00"/>
    <d v="2024-05-17T00:00:00"/>
    <m/>
    <d v="1899-12-30T08:00:00"/>
    <d v="1899-12-30T05:00:00"/>
    <d v="1899-12-30T15:00:00"/>
    <d v="1899-12-30T13:00:00"/>
    <d v="1899-12-30T02:00:00"/>
    <d v="1899-12-30T21:00:00"/>
    <s v="LSC Rouse "/>
    <m/>
    <e v="#REF!"/>
    <e v="#REF!"/>
    <m/>
    <m/>
    <m/>
    <n v="45"/>
    <n v="5"/>
    <n v="403"/>
    <n v="28"/>
    <n v="5"/>
    <n v="37"/>
    <n v="0"/>
    <n v="8"/>
    <n v="0"/>
    <n v="0"/>
    <x v="6"/>
    <n v="-95"/>
    <n v="0"/>
    <n v="0"/>
  </r>
  <r>
    <m/>
    <x v="7"/>
    <s v="A-493-0072"/>
    <s v="713U"/>
    <s v="Atsugi, Japan"/>
    <d v="2024-05-13T00:00:00"/>
    <d v="2024-05-16T00:00:00"/>
    <d v="1899-12-30T08:00:00"/>
    <m/>
    <m/>
    <m/>
    <m/>
    <m/>
    <m/>
    <s v="K. Seo"/>
    <s v="A. Harris"/>
    <e v="#REF!"/>
    <e v="#REF!"/>
    <m/>
    <m/>
    <m/>
    <n v="30"/>
    <n v="4"/>
    <n v="23"/>
    <n v="28"/>
    <n v="0"/>
    <n v="25"/>
    <n v="0"/>
    <n v="6"/>
    <n v="3"/>
    <n v="0"/>
    <x v="4"/>
    <n v="-96"/>
    <n v="0"/>
    <n v="0"/>
  </r>
  <r>
    <m/>
    <x v="26"/>
    <s v="A-493-2098"/>
    <s v="09WW"/>
    <s v="Global Online"/>
    <d v="2024-05-13T00:00:00"/>
    <d v="2024-05-17T00:00:00"/>
    <m/>
    <d v="1899-12-30T08:00:00"/>
    <d v="1899-12-30T05:00:00"/>
    <d v="1899-12-30T15:00:00"/>
    <d v="1899-12-30T13:00:00"/>
    <d v="1899-12-30T02:00:00"/>
    <d v="1899-12-30T21:00:00"/>
    <s v="BMC Sosaya"/>
    <m/>
    <e v="#REF!"/>
    <e v="#REF!"/>
    <m/>
    <m/>
    <m/>
    <n v="100"/>
    <n v="5"/>
    <n v="383"/>
    <n v="100"/>
    <n v="4"/>
    <n v="80"/>
    <n v="1"/>
    <n v="21"/>
    <n v="3"/>
    <n v="0"/>
    <x v="3"/>
    <n v="-95"/>
    <n v="0"/>
    <n v="0"/>
  </r>
  <r>
    <m/>
    <x v="18"/>
    <s v="F-4J-0023"/>
    <s v="11A2"/>
    <s v="Global Online"/>
    <d v="2024-05-13T00:00:00"/>
    <d v="2024-05-17T00:00:00"/>
    <m/>
    <d v="1899-12-30T13:00:00"/>
    <d v="1899-12-30T10:00:00"/>
    <d v="1899-12-30T20:00:00"/>
    <d v="1899-12-30T18:00:00"/>
    <d v="1899-12-30T07:00:00"/>
    <d v="1899-12-30T02:00:00"/>
    <s v="LCDR Overton"/>
    <s v="LTJG Andrew"/>
    <e v="#REF!"/>
    <e v="#REF!"/>
    <m/>
    <m/>
    <m/>
    <n v="25"/>
    <n v="2"/>
    <n v="45"/>
    <n v="100"/>
    <n v="2"/>
    <n v="9"/>
    <n v="0"/>
    <n v="1"/>
    <n v="1"/>
    <n v="0"/>
    <x v="3"/>
    <n v="-95"/>
    <n v="0"/>
    <n v="0"/>
  </r>
  <r>
    <m/>
    <x v="16"/>
    <s v="A-493-0099"/>
    <s v="12JW"/>
    <s v="Global Online"/>
    <d v="2024-05-14T00:00:00"/>
    <d v="2024-05-16T00:00:00"/>
    <m/>
    <d v="1899-12-30T07:00:00"/>
    <d v="1899-12-30T04:00:00"/>
    <d v="1899-12-30T14:00:00"/>
    <d v="1899-12-30T12:00:00"/>
    <d v="1899-12-30T01:00:00"/>
    <d v="1899-12-30T20:00:00"/>
    <s v="V. Kentish"/>
    <m/>
    <e v="#REF!"/>
    <e v="#REF!"/>
    <m/>
    <m/>
    <m/>
    <n v="45"/>
    <n v="3"/>
    <n v="50"/>
    <n v="22"/>
    <n v="0"/>
    <n v="20"/>
    <n v="0"/>
    <n v="2"/>
    <n v="0"/>
    <n v="0"/>
    <x v="1"/>
    <n v="-96"/>
    <n v="0"/>
    <n v="0"/>
  </r>
  <r>
    <s v="NAVSUP FLC Yokosuka – Tsurumi Detachment"/>
    <x v="34"/>
    <s v="A-493-0013"/>
    <n v="3683"/>
    <s v="Tsurumi, Japan"/>
    <d v="2024-05-16T00:00:00"/>
    <d v="2024-05-20T00:00:00"/>
    <d v="1899-12-30T08:00:00"/>
    <m/>
    <m/>
    <m/>
    <m/>
    <m/>
    <m/>
    <s v="ENV Contractor"/>
    <m/>
    <e v="#REF!"/>
    <e v="#REF!"/>
    <m/>
    <m/>
    <m/>
    <n v="40"/>
    <n v="3"/>
    <n v="0"/>
    <n v="8"/>
    <n v="0"/>
    <n v="20"/>
    <n v="0"/>
    <n v="0"/>
    <n v="11"/>
    <n v="17"/>
    <x v="3"/>
    <n v="-92"/>
    <n v="0"/>
    <n v="0"/>
  </r>
  <r>
    <m/>
    <x v="0"/>
    <s v="A-4J-0022"/>
    <s v="09ER"/>
    <s v="Global Online"/>
    <d v="2024-05-20T00:00:00"/>
    <d v="2024-05-24T00:00:00"/>
    <m/>
    <d v="1899-12-30T13:00:00"/>
    <d v="1899-12-30T10:00:00"/>
    <d v="1899-12-30T20:00:00"/>
    <d v="1899-12-30T18:00:00"/>
    <d v="1899-12-30T07:00:00"/>
    <d v="1899-12-30T02:00:00"/>
    <s v="BMC Sosaya"/>
    <m/>
    <e v="#REF!"/>
    <e v="#REF!"/>
    <m/>
    <m/>
    <m/>
    <n v="45"/>
    <n v="5"/>
    <n v="282"/>
    <n v="38"/>
    <n v="0"/>
    <n v="39"/>
    <n v="0"/>
    <n v="0"/>
    <n v="0"/>
    <n v="0"/>
    <x v="6"/>
    <n v="-88"/>
    <n v="0"/>
    <n v="0"/>
  </r>
  <r>
    <m/>
    <x v="2"/>
    <s v="A-493-0030"/>
    <s v="286X"/>
    <s v="Portsmouth, NH"/>
    <d v="2024-05-20T00:00:00"/>
    <d v="2024-05-24T00:00:00"/>
    <d v="1899-12-30T08:00:00"/>
    <m/>
    <m/>
    <m/>
    <m/>
    <m/>
    <m/>
    <s v="IH Contractor"/>
    <m/>
    <e v="#REF!"/>
    <e v="#REF!"/>
    <m/>
    <m/>
    <m/>
    <n v="25"/>
    <n v="5"/>
    <n v="9"/>
    <n v="18"/>
    <m/>
    <n v="9"/>
    <n v="0"/>
    <n v="11"/>
    <n v="2"/>
    <n v="0"/>
    <x v="4"/>
    <n v="-88"/>
    <n v="0"/>
    <n v="0"/>
  </r>
  <r>
    <m/>
    <x v="27"/>
    <s v="A-493-0012"/>
    <n v="3682"/>
    <s v="Portsmouth, VA"/>
    <d v="2024-05-20T00:00:00"/>
    <d v="2024-05-24T00:00:00"/>
    <d v="1899-12-30T08:00:00"/>
    <m/>
    <m/>
    <m/>
    <m/>
    <m/>
    <m/>
    <s v="ENV Contractor"/>
    <m/>
    <e v="#REF!"/>
    <e v="#REF!"/>
    <m/>
    <m/>
    <m/>
    <n v="40"/>
    <n v="5"/>
    <n v="0"/>
    <n v="11"/>
    <n v="0"/>
    <n v="10"/>
    <n v="2"/>
    <n v="2"/>
    <n v="3"/>
    <n v="0"/>
    <x v="3"/>
    <n v="-88"/>
    <n v="0"/>
    <n v="0"/>
  </r>
  <r>
    <m/>
    <x v="3"/>
    <s v="A-493-0077"/>
    <s v="0381"/>
    <s v="Chinhae, Korea"/>
    <d v="2024-05-20T00:00:00"/>
    <d v="2024-05-22T00:00:00"/>
    <d v="1899-12-30T08:00:00"/>
    <m/>
    <m/>
    <m/>
    <m/>
    <m/>
    <m/>
    <s v="ENV Contractor"/>
    <m/>
    <e v="#REF!"/>
    <e v="#REF!"/>
    <m/>
    <m/>
    <m/>
    <n v="25"/>
    <n v="3"/>
    <n v="8"/>
    <n v="12"/>
    <n v="0"/>
    <n v="12"/>
    <n v="0"/>
    <n v="1"/>
    <n v="1"/>
    <n v="0"/>
    <x v="3"/>
    <n v="-90"/>
    <n v="0"/>
    <n v="0"/>
  </r>
  <r>
    <m/>
    <x v="4"/>
    <s v="A-493-0550"/>
    <s v="09K5"/>
    <s v="Global Online"/>
    <d v="2024-05-20T00:00:00"/>
    <d v="2024-05-24T00:00:00"/>
    <m/>
    <d v="1899-12-30T11:00:00"/>
    <d v="1899-12-30T08:00:00"/>
    <d v="1899-12-30T18:00:00"/>
    <d v="1899-12-30T16:00:00"/>
    <d v="1899-12-30T05:00:00"/>
    <d v="1899-12-30T00:00:00"/>
    <s v="D. Rodriguez"/>
    <m/>
    <e v="#REF!"/>
    <e v="#REF!"/>
    <m/>
    <m/>
    <m/>
    <n v="45"/>
    <n v="4"/>
    <n v="746"/>
    <n v="45"/>
    <n v="3"/>
    <n v="35"/>
    <n v="0"/>
    <n v="13"/>
    <n v="0"/>
    <n v="0"/>
    <x v="1"/>
    <n v="-88"/>
    <n v="0"/>
    <n v="0"/>
  </r>
  <r>
    <m/>
    <x v="32"/>
    <s v="A-493-0073"/>
    <s v="714S"/>
    <s v="Global Online"/>
    <d v="2024-05-20T00:00:00"/>
    <d v="2024-05-23T00:00:00"/>
    <m/>
    <d v="1899-12-30T11:00:00"/>
    <d v="1899-12-30T08:00:00"/>
    <d v="1899-12-30T18:00:00"/>
    <d v="1899-12-30T16:00:00"/>
    <d v="1899-12-30T05:00:00"/>
    <d v="1899-12-30T00:00:00"/>
    <s v="SOH Contractor"/>
    <m/>
    <e v="#REF!"/>
    <e v="#REF!"/>
    <m/>
    <m/>
    <m/>
    <n v="30"/>
    <n v="4"/>
    <n v="453"/>
    <n v="17"/>
    <n v="0"/>
    <n v="15"/>
    <n v="0"/>
    <n v="2"/>
    <n v="0"/>
    <n v="0"/>
    <x v="1"/>
    <n v="-89"/>
    <n v="0"/>
    <n v="0"/>
  </r>
  <r>
    <m/>
    <x v="5"/>
    <s v="A-493-0078"/>
    <n v="1228"/>
    <s v="Global Online"/>
    <d v="2024-05-20T00:00:00"/>
    <d v="2024-05-24T00:00:00"/>
    <m/>
    <d v="1899-12-30T07:00:00"/>
    <d v="1899-12-30T04:00:00"/>
    <d v="1899-12-30T14:00:00"/>
    <d v="1899-12-30T12:00:00"/>
    <d v="1899-12-30T01:00:00"/>
    <d v="1899-12-30T20:00:00"/>
    <s v="T. White"/>
    <m/>
    <e v="#REF!"/>
    <e v="#REF!"/>
    <m/>
    <m/>
    <m/>
    <n v="45"/>
    <n v="5"/>
    <n v="57"/>
    <n v="27"/>
    <n v="0"/>
    <n v="25"/>
    <n v="0"/>
    <n v="2"/>
    <n v="0"/>
    <n v="0"/>
    <x v="1"/>
    <n v="-88"/>
    <n v="0"/>
    <n v="0"/>
  </r>
  <r>
    <m/>
    <x v="6"/>
    <s v="A-493-0085"/>
    <n v="3555"/>
    <s v="Global Online"/>
    <d v="2024-05-20T00:00:00"/>
    <d v="2024-05-23T00:00:00"/>
    <m/>
    <d v="1899-12-30T12:00:00"/>
    <d v="1899-12-30T09:00:00"/>
    <d v="1899-12-30T19:00:00"/>
    <d v="1899-12-30T17:00:00"/>
    <d v="1899-12-30T06:00:00"/>
    <d v="1899-12-30T01:00:00"/>
    <s v="B. Jung"/>
    <m/>
    <e v="#REF!"/>
    <e v="#REF!"/>
    <m/>
    <m/>
    <m/>
    <n v="30"/>
    <n v="4"/>
    <n v="464"/>
    <n v="29"/>
    <n v="0"/>
    <n v="24"/>
    <n v="0"/>
    <n v="5"/>
    <m/>
    <n v="0"/>
    <x v="4"/>
    <n v="-89"/>
    <n v="0"/>
    <n v="0"/>
  </r>
  <r>
    <m/>
    <x v="7"/>
    <s v="A-493-0072"/>
    <s v="713U"/>
    <s v="Rota, Spain"/>
    <d v="2024-05-20T00:00:00"/>
    <d v="2024-05-23T00:00:00"/>
    <d v="1899-12-30T08:00:00"/>
    <m/>
    <m/>
    <m/>
    <m/>
    <m/>
    <m/>
    <s v="W. Mitchell"/>
    <m/>
    <e v="#REF!"/>
    <e v="#REF!"/>
    <m/>
    <m/>
    <m/>
    <n v="30"/>
    <n v="4"/>
    <n v="0"/>
    <n v="20"/>
    <n v="0"/>
    <n v="16"/>
    <n v="0"/>
    <n v="4"/>
    <n v="0"/>
    <n v="0"/>
    <x v="4"/>
    <n v="-89"/>
    <n v="0"/>
    <n v="0"/>
  </r>
  <r>
    <s v="POC: Adrian Sexton USFF N43 Support 1200-1700"/>
    <x v="13"/>
    <s v="NA"/>
    <s v="NA"/>
    <s v="Norfolk, VA Classroom 1"/>
    <d v="2024-05-22T00:00:00"/>
    <d v="2024-05-22T00:00:00"/>
    <d v="1899-12-30T00:00:00"/>
    <d v="1899-12-30T00:00:00"/>
    <d v="1899-12-30T00:00:00"/>
    <d v="1899-12-30T00:00:00"/>
    <d v="1899-12-30T00:00:00"/>
    <d v="1899-12-30T00:00:00"/>
    <d v="1899-12-30T00:00:00"/>
    <m/>
    <m/>
    <m/>
    <m/>
    <m/>
    <m/>
    <m/>
    <m/>
    <m/>
    <n v="0"/>
    <n v="0"/>
    <n v="0"/>
    <m/>
    <m/>
    <m/>
    <m/>
    <m/>
    <x v="8"/>
    <n v="-90"/>
    <n v="1"/>
    <n v="0"/>
  </r>
  <r>
    <m/>
    <x v="8"/>
    <s v="A-493-0083"/>
    <s v="339E"/>
    <s v="Chinhae, Korea"/>
    <d v="2024-05-23T00:00:00"/>
    <d v="2024-05-23T00:00:00"/>
    <d v="1899-12-30T08:00:00"/>
    <m/>
    <m/>
    <m/>
    <m/>
    <m/>
    <m/>
    <s v="ENV Contractor"/>
    <m/>
    <e v="#REF!"/>
    <e v="#REF!"/>
    <m/>
    <m/>
    <m/>
    <n v="30"/>
    <n v="1"/>
    <n v="7"/>
    <n v="26"/>
    <m/>
    <n v="15"/>
    <n v="0"/>
    <n v="11"/>
    <n v="1"/>
    <n v="0"/>
    <x v="6"/>
    <n v="-89"/>
    <n v="0"/>
    <n v="0"/>
  </r>
  <r>
    <s v="Memorial Day"/>
    <x v="9"/>
    <s v="Holiday"/>
    <s v="Holiday"/>
    <m/>
    <d v="2024-05-27T00:00:00"/>
    <d v="2024-05-27T00:00:00"/>
    <d v="1899-12-30T00:00:00"/>
    <d v="1899-12-30T00:00:00"/>
    <d v="1899-12-30T00:00:00"/>
    <d v="1899-12-30T00:00:00"/>
    <d v="1899-12-30T00:00:00"/>
    <d v="1899-12-30T00:00:00"/>
    <d v="1899-12-30T00:00:00"/>
    <m/>
    <m/>
    <e v="#REF!"/>
    <e v="#REF!"/>
    <n v="0"/>
    <n v="0"/>
    <n v="0"/>
    <n v="0"/>
    <n v="0"/>
    <n v="0"/>
    <n v="0"/>
    <n v="0"/>
    <n v="0"/>
    <n v="0"/>
    <n v="0"/>
    <n v="0"/>
    <n v="0"/>
    <x v="5"/>
    <n v="-85"/>
    <n v="0"/>
    <n v="0"/>
  </r>
  <r>
    <m/>
    <x v="16"/>
    <s v="A-493-0099"/>
    <s v="12JW"/>
    <s v="Global Online"/>
    <d v="2024-05-28T00:00:00"/>
    <d v="2024-05-30T00:00:00"/>
    <m/>
    <d v="1899-12-30T13:00:00"/>
    <d v="1899-12-30T10:00:00"/>
    <d v="1899-12-30T20:00:00"/>
    <d v="1899-12-30T18:00:00"/>
    <d v="1899-12-30T07:00:00"/>
    <d v="1899-12-30T02:00:00"/>
    <s v="V. Kentish"/>
    <m/>
    <e v="#REF!"/>
    <e v="#REF!"/>
    <m/>
    <m/>
    <m/>
    <n v="45"/>
    <n v="3"/>
    <n v="682"/>
    <n v="28"/>
    <n v="0"/>
    <n v="20"/>
    <n v="0"/>
    <n v="8"/>
    <n v="0"/>
    <n v="0"/>
    <x v="1"/>
    <n v="-82"/>
    <n v="0"/>
    <n v="0"/>
  </r>
  <r>
    <m/>
    <x v="20"/>
    <s v="A-493-0331"/>
    <s v="10UG"/>
    <s v="Global Online"/>
    <d v="2024-05-28T00:00:00"/>
    <d v="2024-05-30T00:00:00"/>
    <m/>
    <d v="1899-12-30T12:00:00"/>
    <d v="1899-12-30T09:00:00"/>
    <d v="1899-12-30T19:00:00"/>
    <d v="1899-12-30T17:00:00"/>
    <d v="1899-12-30T06:00:00"/>
    <d v="1899-12-30T01:00:00"/>
    <s v="W. Mitchell"/>
    <m/>
    <e v="#REF!"/>
    <e v="#REF!"/>
    <m/>
    <m/>
    <m/>
    <n v="40"/>
    <n v="3"/>
    <n v="709"/>
    <n v="40"/>
    <n v="5"/>
    <n v="32"/>
    <n v="0"/>
    <n v="9"/>
    <n v="0"/>
    <n v="0"/>
    <x v="4"/>
    <n v="-82"/>
    <n v="0"/>
    <n v="0"/>
  </r>
  <r>
    <m/>
    <x v="23"/>
    <s v="A-493-0335"/>
    <s v="09ND"/>
    <s v="Global Online"/>
    <d v="2024-05-28T00:00:00"/>
    <d v="2024-05-31T00:00:00"/>
    <m/>
    <d v="1899-12-30T12:00:00"/>
    <d v="1899-12-30T09:00:00"/>
    <d v="1899-12-30T19:00:00"/>
    <d v="1899-12-30T17:00:00"/>
    <d v="1899-12-30T06:00:00"/>
    <d v="1899-12-30T01:00:00"/>
    <s v="B. Jung"/>
    <m/>
    <e v="#REF!"/>
    <e v="#REF!"/>
    <m/>
    <m/>
    <m/>
    <n v="30"/>
    <n v="4"/>
    <n v="499"/>
    <n v="30"/>
    <n v="2"/>
    <n v="25"/>
    <n v="2"/>
    <n v="5"/>
    <n v="0"/>
    <n v="0"/>
    <x v="4"/>
    <n v="-81"/>
    <n v="0"/>
    <n v="0"/>
  </r>
  <r>
    <m/>
    <x v="15"/>
    <s v="A-570-0100"/>
    <s v="18B7"/>
    <s v="Global Online"/>
    <d v="2024-05-28T00:00:00"/>
    <d v="2024-05-31T00:00:00"/>
    <m/>
    <d v="1899-12-30T13:00:00"/>
    <d v="1899-12-30T10:00:00"/>
    <d v="1899-12-30T20:00:00"/>
    <d v="1899-12-30T18:00:00"/>
    <d v="1899-12-30T07:00:00"/>
    <d v="1899-12-30T02:00:00"/>
    <s v="BMC Sosaya"/>
    <m/>
    <e v="#REF!"/>
    <e v="#REF!"/>
    <m/>
    <m/>
    <m/>
    <n v="30"/>
    <n v="4"/>
    <n v="459"/>
    <n v="30"/>
    <n v="0"/>
    <n v="19"/>
    <n v="4"/>
    <n v="7"/>
    <n v="0"/>
    <n v="0"/>
    <x v="6"/>
    <n v="-81"/>
    <n v="0"/>
    <n v="0"/>
  </r>
  <r>
    <m/>
    <x v="31"/>
    <s v="A-493-0665"/>
    <s v="10KW"/>
    <s v="Global Online"/>
    <d v="2024-06-03T00:00:00"/>
    <d v="2024-06-07T00:00:00"/>
    <m/>
    <d v="1899-12-30T08:00:00"/>
    <d v="1899-12-30T05:00:00"/>
    <d v="1899-12-30T15:00:00"/>
    <d v="1899-12-30T13:00:00"/>
    <d v="1899-12-30T02:00:00"/>
    <d v="1899-12-30T21:00:00"/>
    <s v="T. White"/>
    <m/>
    <e v="#REF!"/>
    <e v="#REF!"/>
    <m/>
    <m/>
    <m/>
    <n v="45"/>
    <n v="5"/>
    <n v="127"/>
    <n v="25"/>
    <n v="0"/>
    <n v="19"/>
    <n v="0"/>
    <n v="6"/>
    <n v="0"/>
    <n v="0"/>
    <x v="6"/>
    <n v="-74"/>
    <n v="0"/>
    <n v="0"/>
  </r>
  <r>
    <m/>
    <x v="28"/>
    <s v="A-322-2604"/>
    <s v="10ZZ"/>
    <s v="Global Online"/>
    <d v="2024-06-03T00:00:00"/>
    <d v="2024-06-07T00:00:00"/>
    <m/>
    <d v="1899-12-30T13:00:00"/>
    <d v="1899-12-30T10:00:00"/>
    <d v="1899-12-30T20:00:00"/>
    <d v="1899-12-30T18:00:00"/>
    <d v="1899-12-30T07:00:00"/>
    <d v="1899-12-30T02:00:00"/>
    <s v="EMC Stroughn"/>
    <m/>
    <e v="#REF!"/>
    <e v="#REF!"/>
    <m/>
    <m/>
    <m/>
    <n v="45"/>
    <n v="5"/>
    <n v="653"/>
    <n v="42"/>
    <m/>
    <n v="38"/>
    <n v="0"/>
    <n v="4"/>
    <n v="0"/>
    <n v="0"/>
    <x v="6"/>
    <n v="-74"/>
    <n v="0"/>
    <n v="0"/>
  </r>
  <r>
    <m/>
    <x v="7"/>
    <s v="A-493-0072"/>
    <s v="713U"/>
    <s v="Norfolk, VA Classroom 1"/>
    <d v="2024-06-03T00:00:00"/>
    <d v="2024-06-06T00:00:00"/>
    <d v="1899-12-30T08:00:00"/>
    <m/>
    <m/>
    <m/>
    <m/>
    <m/>
    <m/>
    <s v="B. Jung"/>
    <s v="A. Harris"/>
    <e v="#REF!"/>
    <e v="#REF!"/>
    <m/>
    <m/>
    <m/>
    <n v="30"/>
    <n v="4"/>
    <n v="235"/>
    <n v="30"/>
    <n v="5"/>
    <n v="29"/>
    <n v="0"/>
    <n v="3"/>
    <n v="2"/>
    <n v="0"/>
    <x v="4"/>
    <n v="-75"/>
    <n v="0"/>
    <n v="0"/>
  </r>
  <r>
    <m/>
    <x v="36"/>
    <s v="A-493-2017"/>
    <s v="12x3"/>
    <s v="Pearl Harbor, HI"/>
    <d v="2024-06-03T00:00:00"/>
    <d v="2024-06-07T00:00:00"/>
    <d v="1899-12-30T08:00:00"/>
    <m/>
    <m/>
    <m/>
    <m/>
    <m/>
    <m/>
    <s v="ENV Contractor"/>
    <m/>
    <e v="#REF!"/>
    <e v="#REF!"/>
    <m/>
    <m/>
    <m/>
    <n v="25"/>
    <n v="2"/>
    <n v="16"/>
    <n v="25"/>
    <n v="5"/>
    <n v="23"/>
    <n v="0"/>
    <n v="3"/>
    <n v="0"/>
    <n v="0"/>
    <x v="6"/>
    <n v="-74"/>
    <n v="0"/>
    <n v="0"/>
  </r>
  <r>
    <m/>
    <x v="34"/>
    <s v="A-493-0013"/>
    <n v="3683"/>
    <s v="San Clemente Island, CA"/>
    <d v="2024-06-04T00:00:00"/>
    <d v="2024-06-06T00:00:00"/>
    <d v="1899-12-30T08:00:00"/>
    <m/>
    <m/>
    <m/>
    <m/>
    <m/>
    <m/>
    <s v="ENV Contractor"/>
    <m/>
    <e v="#REF!"/>
    <e v="#REF!"/>
    <m/>
    <m/>
    <m/>
    <n v="40"/>
    <n v="3"/>
    <n v="5"/>
    <n v="10"/>
    <n v="0"/>
    <n v="10"/>
    <n v="0"/>
    <n v="0"/>
    <n v="0"/>
    <n v="0"/>
    <x v="3"/>
    <n v="-75"/>
    <n v="0"/>
    <n v="0"/>
  </r>
  <r>
    <s v="Special for USMC"/>
    <x v="7"/>
    <s v="A-493-0072"/>
    <s v="713U"/>
    <s v="Okinawa, Japan"/>
    <d v="2024-06-04T00:00:00"/>
    <d v="2024-06-07T00:00:00"/>
    <d v="1899-12-30T08:00:00"/>
    <m/>
    <m/>
    <m/>
    <m/>
    <m/>
    <m/>
    <s v="K. Seo"/>
    <s v="W. Mitchell"/>
    <e v="#REF!"/>
    <e v="#REF!"/>
    <m/>
    <m/>
    <m/>
    <n v="30"/>
    <n v="4"/>
    <n v="8"/>
    <n v="23"/>
    <n v="0"/>
    <n v="23"/>
    <n v="0"/>
    <n v="0"/>
    <n v="0"/>
    <n v="0"/>
    <x v="4"/>
    <n v="-74"/>
    <n v="0"/>
    <n v="0"/>
  </r>
  <r>
    <m/>
    <x v="1"/>
    <s v="A-493-0103"/>
    <s v="12JY"/>
    <s v="Coronado, CA"/>
    <d v="2024-06-10T00:00:00"/>
    <d v="2024-06-14T00:00:00"/>
    <d v="1899-12-30T08:00:00"/>
    <m/>
    <m/>
    <m/>
    <m/>
    <m/>
    <m/>
    <s v="SOH Contractor"/>
    <m/>
    <e v="#REF!"/>
    <e v="#REF!"/>
    <m/>
    <m/>
    <m/>
    <n v="25"/>
    <n v="5"/>
    <n v="152"/>
    <n v="24"/>
    <n v="0"/>
    <n v="17"/>
    <n v="0"/>
    <n v="8"/>
    <n v="1"/>
    <n v="0"/>
    <x v="3"/>
    <n v="-67"/>
    <n v="0"/>
    <n v="0"/>
  </r>
  <r>
    <m/>
    <x v="2"/>
    <s v="A-493-0030"/>
    <s v="286X"/>
    <s v="Global Online"/>
    <d v="2024-06-10T00:00:00"/>
    <d v="2024-06-14T00:00:00"/>
    <m/>
    <d v="1899-12-30T08:00:00"/>
    <d v="1899-12-30T05:00:00"/>
    <d v="1899-12-30T15:00:00"/>
    <d v="1899-12-30T13:00:00"/>
    <d v="1899-12-30T02:00:00"/>
    <d v="1899-12-30T21:00:00"/>
    <s v="IH Contractor"/>
    <m/>
    <e v="#REF!"/>
    <e v="#REF!"/>
    <m/>
    <m/>
    <m/>
    <n v="25"/>
    <n v="5"/>
    <n v="0"/>
    <n v="25"/>
    <n v="5"/>
    <n v="20"/>
    <n v="3"/>
    <n v="4"/>
    <n v="0"/>
    <m/>
    <x v="4"/>
    <n v="-67"/>
    <n v="0"/>
    <n v="0"/>
  </r>
  <r>
    <m/>
    <x v="38"/>
    <s v="A-493-0021"/>
    <s v="18BN"/>
    <s v="Portsmouth, NH"/>
    <d v="2024-06-10T00:00:00"/>
    <d v="2024-06-14T00:00:00"/>
    <d v="1899-12-30T08:00:00"/>
    <m/>
    <m/>
    <m/>
    <m/>
    <m/>
    <m/>
    <s v="SOH Contractor"/>
    <m/>
    <e v="#REF!"/>
    <e v="#REF!"/>
    <m/>
    <m/>
    <m/>
    <n v="35"/>
    <n v="5"/>
    <n v="47"/>
    <n v="11"/>
    <n v="0"/>
    <n v="9"/>
    <n v="0"/>
    <n v="2"/>
    <n v="0"/>
    <n v="0"/>
    <x v="1"/>
    <n v="-67"/>
    <n v="0"/>
    <n v="0"/>
  </r>
  <r>
    <m/>
    <x v="27"/>
    <s v="A-493-0012"/>
    <n v="3682"/>
    <s v="Coronado, CA"/>
    <d v="2024-06-10T00:00:00"/>
    <d v="2024-06-14T00:00:00"/>
    <d v="1899-12-30T08:00:00"/>
    <m/>
    <m/>
    <m/>
    <m/>
    <m/>
    <m/>
    <s v="ENV Contractor"/>
    <m/>
    <e v="#REF!"/>
    <e v="#REF!"/>
    <m/>
    <m/>
    <m/>
    <n v="40"/>
    <n v="5"/>
    <n v="20"/>
    <n v="28"/>
    <n v="0"/>
    <n v="22"/>
    <n v="0"/>
    <n v="6"/>
    <n v="7"/>
    <n v="0"/>
    <x v="3"/>
    <n v="-67"/>
    <n v="0"/>
    <n v="0"/>
  </r>
  <r>
    <m/>
    <x v="22"/>
    <s v="A-493-0061"/>
    <s v="288E"/>
    <s v="Global Online"/>
    <d v="2024-06-10T00:00:00"/>
    <d v="2024-06-14T00:00:00"/>
    <m/>
    <d v="1899-12-30T08:00:00"/>
    <d v="1899-12-30T05:00:00"/>
    <d v="1899-12-30T15:00:00"/>
    <d v="1899-12-30T13:00:00"/>
    <d v="1899-12-30T02:00:00"/>
    <d v="1899-12-30T21:00:00"/>
    <s v="S. Griffin"/>
    <m/>
    <e v="#REF!"/>
    <e v="#REF!"/>
    <m/>
    <m/>
    <m/>
    <n v="45"/>
    <n v="5"/>
    <n v="480"/>
    <n v="31"/>
    <n v="0"/>
    <n v="25"/>
    <n v="0"/>
    <n v="6"/>
    <n v="0"/>
    <n v="0"/>
    <x v="1"/>
    <n v="-67"/>
    <n v="0"/>
    <n v="0"/>
  </r>
  <r>
    <m/>
    <x v="5"/>
    <s v="A-493-0078"/>
    <n v="1228"/>
    <s v="Global Online"/>
    <d v="2024-06-10T00:00:00"/>
    <d v="2024-06-14T00:00:00"/>
    <m/>
    <d v="1899-12-30T13:00:00"/>
    <d v="1899-12-30T10:00:00"/>
    <d v="1899-12-30T20:00:00"/>
    <d v="1899-12-30T18:00:00"/>
    <d v="1899-12-30T07:00:00"/>
    <d v="1899-12-30T02:00:00"/>
    <s v="T. White"/>
    <m/>
    <e v="#REF!"/>
    <e v="#REF!"/>
    <m/>
    <m/>
    <m/>
    <n v="45"/>
    <n v="5"/>
    <n v="836"/>
    <n v="30"/>
    <n v="0"/>
    <n v="26"/>
    <n v="0"/>
    <n v="4"/>
    <n v="0"/>
    <n v="0"/>
    <x v="1"/>
    <n v="-67"/>
    <n v="0"/>
    <n v="0"/>
  </r>
  <r>
    <m/>
    <x v="26"/>
    <s v="A-493-2098"/>
    <s v="09WW"/>
    <s v="Global Online"/>
    <d v="2024-06-10T00:00:00"/>
    <d v="2024-06-14T00:00:00"/>
    <m/>
    <d v="1899-12-30T19:00:00"/>
    <d v="1899-12-30T16:00:00"/>
    <d v="1899-12-30T02:00:00"/>
    <d v="1899-12-30T00:00:00"/>
    <d v="1899-12-30T13:00:00"/>
    <d v="1899-12-30T08:00:00"/>
    <s v="BMC Sosaya"/>
    <m/>
    <e v="#REF!"/>
    <e v="#REF!"/>
    <m/>
    <m/>
    <m/>
    <n v="100"/>
    <n v="5"/>
    <n v="237"/>
    <n v="93"/>
    <n v="0"/>
    <n v="65"/>
    <n v="0"/>
    <n v="35"/>
    <n v="0"/>
    <n v="0"/>
    <x v="7"/>
    <n v="-67"/>
    <n v="0"/>
    <n v="0"/>
  </r>
  <r>
    <m/>
    <x v="34"/>
    <s v="A-493-0013"/>
    <n v="3683"/>
    <s v="Virginia Beach, VA "/>
    <d v="2024-06-11T00:00:00"/>
    <d v="2024-06-13T00:00:00"/>
    <d v="1899-12-30T08:00:00"/>
    <m/>
    <m/>
    <m/>
    <m/>
    <m/>
    <m/>
    <s v="ENV Contractor"/>
    <m/>
    <e v="#REF!"/>
    <e v="#REF!"/>
    <m/>
    <m/>
    <m/>
    <n v="40"/>
    <n v="3"/>
    <n v="38"/>
    <n v="31"/>
    <n v="0"/>
    <n v="19"/>
    <n v="2"/>
    <n v="13"/>
    <n v="4"/>
    <n v="0"/>
    <x v="3"/>
    <n v="-68"/>
    <n v="0"/>
    <n v="0"/>
  </r>
  <r>
    <m/>
    <x v="16"/>
    <s v="A-493-0099"/>
    <s v="12JW"/>
    <s v="Global Online"/>
    <d v="2024-06-11T00:00:00"/>
    <d v="2024-06-13T00:00:00"/>
    <m/>
    <d v="1899-12-30T08:00:00"/>
    <d v="1899-12-30T05:00:00"/>
    <d v="1899-12-30T15:00:00"/>
    <d v="1899-12-30T13:00:00"/>
    <d v="1899-12-30T02:00:00"/>
    <d v="1899-12-30T21:00:00"/>
    <s v="V. Kentish"/>
    <m/>
    <e v="#REF!"/>
    <e v="#REF!"/>
    <m/>
    <m/>
    <m/>
    <n v="45"/>
    <n v="3"/>
    <n v="431"/>
    <n v="25"/>
    <n v="0"/>
    <n v="21"/>
    <n v="0"/>
    <n v="6"/>
    <n v="1"/>
    <n v="0"/>
    <x v="1"/>
    <n v="-68"/>
    <n v="0"/>
    <n v="0"/>
  </r>
  <r>
    <m/>
    <x v="20"/>
    <s v="A-493-0331"/>
    <s v="10UG"/>
    <s v="Global Online"/>
    <d v="2024-06-11T00:00:00"/>
    <d v="2024-06-13T00:00:00"/>
    <m/>
    <d v="1899-12-30T12:00:00"/>
    <d v="1899-12-30T09:00:00"/>
    <d v="1899-12-30T19:00:00"/>
    <d v="1899-12-30T17:00:00"/>
    <d v="1899-12-30T06:00:00"/>
    <d v="1899-12-30T01:00:00"/>
    <s v="A. Harris"/>
    <m/>
    <e v="#REF!"/>
    <e v="#REF!"/>
    <m/>
    <m/>
    <m/>
    <n v="40"/>
    <n v="3"/>
    <n v="709"/>
    <n v="39"/>
    <n v="5"/>
    <n v="37"/>
    <n v="1"/>
    <n v="6"/>
    <n v="3"/>
    <n v="0"/>
    <x v="4"/>
    <n v="-68"/>
    <n v="0"/>
    <n v="0"/>
  </r>
  <r>
    <m/>
    <x v="15"/>
    <s v="A-570-0100"/>
    <s v="18B7"/>
    <s v="Global Online"/>
    <d v="2024-06-11T00:00:00"/>
    <d v="2024-06-14T00:00:00"/>
    <m/>
    <d v="1899-12-30T08:00:00"/>
    <d v="1899-12-30T05:00:00"/>
    <d v="1899-12-30T15:00:00"/>
    <d v="1899-12-30T13:00:00"/>
    <d v="1899-12-30T02:00:00"/>
    <d v="1899-12-30T21:00:00"/>
    <s v="BMC Sosaya"/>
    <m/>
    <e v="#REF!"/>
    <e v="#REF!"/>
    <m/>
    <m/>
    <m/>
    <n v="30"/>
    <n v="4"/>
    <n v="283"/>
    <n v="30"/>
    <n v="0"/>
    <n v="22"/>
    <n v="2"/>
    <n v="6"/>
    <n v="0"/>
    <n v="0"/>
    <x v="7"/>
    <n v="-67"/>
    <n v="0"/>
    <n v="0"/>
  </r>
  <r>
    <m/>
    <x v="8"/>
    <s v="A-493-0083"/>
    <s v="339E"/>
    <s v="Global Online"/>
    <d v="2024-06-18T00:00:00"/>
    <d v="2024-06-18T00:00:00"/>
    <m/>
    <d v="1899-12-30T02:00:00"/>
    <d v="1899-12-30T23:00:00"/>
    <d v="1899-12-30T10:00:00"/>
    <d v="1899-12-30T08:00:00"/>
    <d v="1899-12-30T21:00:00"/>
    <d v="1899-12-30T16:00:00"/>
    <s v="ENV Contractor"/>
    <m/>
    <e v="#REF!"/>
    <e v="#REF!"/>
    <m/>
    <m/>
    <m/>
    <n v="30"/>
    <n v="1"/>
    <n v="0"/>
    <n v="30"/>
    <n v="3"/>
    <n v="22"/>
    <n v="0"/>
    <n v="9"/>
    <n v="1"/>
    <n v="9"/>
    <x v="3"/>
    <n v="-63"/>
    <n v="0"/>
    <n v="0"/>
  </r>
  <r>
    <s v="Juneteenth"/>
    <x v="9"/>
    <s v="Holiday"/>
    <s v="Holiday"/>
    <m/>
    <d v="2024-06-19T00:00:00"/>
    <d v="2024-06-19T00:00:00"/>
    <d v="1899-12-30T00:00:00"/>
    <d v="1899-12-30T00:00:00"/>
    <d v="1899-12-30T00:00:00"/>
    <d v="1899-12-30T00:00:00"/>
    <d v="1899-12-30T00:00:00"/>
    <d v="1899-12-30T00:00:00"/>
    <d v="1899-12-30T00:00:00"/>
    <m/>
    <m/>
    <e v="#REF!"/>
    <e v="#REF!"/>
    <n v="0"/>
    <n v="0"/>
    <n v="0"/>
    <n v="0"/>
    <n v="0"/>
    <n v="0"/>
    <n v="0"/>
    <n v="0"/>
    <n v="0"/>
    <n v="0"/>
    <n v="0"/>
    <n v="0"/>
    <n v="0"/>
    <x v="5"/>
    <n v="-62"/>
    <n v="0"/>
    <n v="0"/>
  </r>
  <r>
    <m/>
    <x v="0"/>
    <s v="A-4J-0022"/>
    <s v="09ER"/>
    <s v="Global Online"/>
    <d v="2024-06-24T00:00:00"/>
    <d v="2024-06-28T00:00:00"/>
    <m/>
    <d v="1899-12-30T13:00:00"/>
    <d v="1899-12-30T10:00:00"/>
    <d v="1899-12-30T20:00:00"/>
    <d v="1899-12-30T18:00:00"/>
    <d v="1899-12-30T07:00:00"/>
    <d v="1899-12-30T02:00:00"/>
    <s v="K. Seo"/>
    <m/>
    <e v="#REF!"/>
    <e v="#REF!"/>
    <m/>
    <m/>
    <m/>
    <n v="45"/>
    <n v="5"/>
    <n v="282"/>
    <n v="17"/>
    <n v="0"/>
    <n v="15"/>
    <n v="0"/>
    <n v="2"/>
    <n v="0"/>
    <n v="0"/>
    <x v="6"/>
    <n v="-53"/>
    <n v="0"/>
    <n v="0"/>
  </r>
  <r>
    <m/>
    <x v="1"/>
    <s v="A-493-0103"/>
    <s v="12JY"/>
    <s v="Coronado, CA"/>
    <d v="2024-06-24T00:00:00"/>
    <d v="2024-06-28T00:00:00"/>
    <d v="1899-12-30T08:00:00"/>
    <m/>
    <m/>
    <m/>
    <m/>
    <m/>
    <m/>
    <s v="SOH Contractor"/>
    <m/>
    <e v="#REF!"/>
    <e v="#REF!"/>
    <m/>
    <m/>
    <m/>
    <n v="25"/>
    <n v="5"/>
    <n v="152"/>
    <n v="28"/>
    <n v="0"/>
    <n v="24"/>
    <n v="0"/>
    <n v="4"/>
    <n v="2"/>
    <n v="0"/>
    <x v="1"/>
    <n v="-53"/>
    <n v="0"/>
    <n v="0"/>
  </r>
  <r>
    <m/>
    <x v="1"/>
    <s v="A-493-0103"/>
    <s v="12JY"/>
    <s v="Norfolk, VA Classroom 1"/>
    <d v="2024-06-24T00:00:00"/>
    <d v="2024-06-28T00:00:00"/>
    <d v="1899-12-30T08:00:00"/>
    <m/>
    <m/>
    <m/>
    <m/>
    <m/>
    <m/>
    <s v="SOH Contractor"/>
    <m/>
    <e v="#REF!"/>
    <e v="#REF!"/>
    <m/>
    <m/>
    <m/>
    <n v="25"/>
    <n v="5"/>
    <n v="388"/>
    <n v="28"/>
    <n v="0"/>
    <n v="17"/>
    <n v="0"/>
    <n v="10"/>
    <n v="4"/>
    <n v="0"/>
    <x v="1"/>
    <n v="-53"/>
    <n v="0"/>
    <n v="0"/>
  </r>
  <r>
    <m/>
    <x v="27"/>
    <s v="A-493-0012"/>
    <n v="3682"/>
    <s v="Point Loma, CA"/>
    <d v="2024-06-24T00:00:00"/>
    <d v="2024-06-28T00:00:00"/>
    <d v="1899-12-30T08:00:00"/>
    <m/>
    <m/>
    <m/>
    <m/>
    <m/>
    <m/>
    <s v="ENV Contractor"/>
    <m/>
    <e v="#REF!"/>
    <e v="#REF!"/>
    <m/>
    <m/>
    <m/>
    <n v="40"/>
    <n v="5"/>
    <n v="0"/>
    <n v="5"/>
    <n v="0"/>
    <n v="21"/>
    <n v="5"/>
    <n v="6"/>
    <n v="16"/>
    <n v="0"/>
    <x v="3"/>
    <n v="-53"/>
    <n v="0"/>
    <n v="0"/>
  </r>
  <r>
    <m/>
    <x v="27"/>
    <s v="A-493-0012"/>
    <n v="3682"/>
    <s v="Bangor, WA"/>
    <d v="2024-06-24T00:00:00"/>
    <d v="2024-06-28T00:00:00"/>
    <d v="1899-12-30T08:00:00"/>
    <m/>
    <m/>
    <m/>
    <m/>
    <m/>
    <m/>
    <s v="ENV Contractor"/>
    <m/>
    <e v="#REF!"/>
    <e v="#REF!"/>
    <m/>
    <m/>
    <m/>
    <n v="40"/>
    <n v="5"/>
    <n v="56"/>
    <n v="33"/>
    <n v="0"/>
    <n v="40"/>
    <n v="0"/>
    <n v="0"/>
    <n v="7"/>
    <n v="0"/>
    <x v="3"/>
    <n v="-53"/>
    <n v="0"/>
    <n v="0"/>
  </r>
  <r>
    <m/>
    <x v="28"/>
    <s v="A-322-2604"/>
    <s v="10ZZ"/>
    <s v="Global Online"/>
    <d v="2024-06-24T00:00:00"/>
    <d v="2024-06-28T00:00:00"/>
    <m/>
    <d v="1899-12-30T13:00:00"/>
    <d v="1899-12-30T10:00:00"/>
    <d v="1899-12-30T20:00:00"/>
    <d v="1899-12-30T18:00:00"/>
    <d v="1899-12-30T07:00:00"/>
    <d v="1899-12-30T02:00:00"/>
    <s v="EMC Stroughn"/>
    <m/>
    <e v="#REF!"/>
    <e v="#REF!"/>
    <m/>
    <m/>
    <m/>
    <n v="45"/>
    <n v="5"/>
    <n v="653"/>
    <n v="45"/>
    <n v="1"/>
    <n v="38"/>
    <n v="0"/>
    <n v="8"/>
    <n v="1"/>
    <n v="0"/>
    <x v="7"/>
    <n v="-53"/>
    <n v="0"/>
    <n v="0"/>
  </r>
  <r>
    <m/>
    <x v="23"/>
    <s v="A-493-0335"/>
    <s v="09ND"/>
    <s v="Global Online"/>
    <d v="2024-06-24T00:00:00"/>
    <d v="2024-06-27T00:00:00"/>
    <m/>
    <d v="1899-12-30T12:00:00"/>
    <d v="1899-12-30T09:00:00"/>
    <d v="1899-12-30T19:00:00"/>
    <d v="1899-12-30T17:00:00"/>
    <d v="1899-12-30T06:00:00"/>
    <d v="1899-12-30T01:00:00"/>
    <s v="B. Jung"/>
    <m/>
    <e v="#REF!"/>
    <e v="#REF!"/>
    <m/>
    <m/>
    <m/>
    <n v="30"/>
    <n v="4"/>
    <n v="499"/>
    <n v="26"/>
    <n v="0"/>
    <n v="23"/>
    <n v="0"/>
    <n v="3"/>
    <n v="0"/>
    <n v="0"/>
    <x v="4"/>
    <n v="-54"/>
    <n v="0"/>
    <n v="0"/>
  </r>
  <r>
    <m/>
    <x v="4"/>
    <s v="A-493-0550"/>
    <s v="09K5"/>
    <s v="Global Online"/>
    <d v="2024-06-24T00:00:00"/>
    <d v="2024-06-28T00:00:00"/>
    <m/>
    <d v="1899-12-30T10:00:00"/>
    <d v="1899-12-30T07:00:00"/>
    <d v="1899-12-30T17:00:00"/>
    <d v="1899-12-30T15:00:00"/>
    <d v="1899-12-30T04:00:00"/>
    <d v="1899-12-30T23:00:00"/>
    <s v="V. Kentish"/>
    <m/>
    <e v="#REF!"/>
    <e v="#REF!"/>
    <m/>
    <m/>
    <m/>
    <n v="45"/>
    <n v="4"/>
    <n v="429"/>
    <n v="45"/>
    <n v="0"/>
    <n v="29"/>
    <n v="0"/>
    <n v="16"/>
    <n v="0"/>
    <n v="0"/>
    <x v="1"/>
    <n v="-53"/>
    <n v="0"/>
    <n v="0"/>
  </r>
  <r>
    <m/>
    <x v="5"/>
    <s v="A-493-0078"/>
    <n v="1228"/>
    <s v="Global Online"/>
    <d v="2024-06-24T00:00:00"/>
    <d v="2024-06-28T00:00:00"/>
    <m/>
    <d v="1899-12-30T08:00:00"/>
    <d v="1899-12-30T05:00:00"/>
    <d v="1899-12-30T15:00:00"/>
    <d v="1899-12-30T13:00:00"/>
    <d v="1899-12-30T02:00:00"/>
    <d v="1899-12-30T21:00:00"/>
    <s v="T. White"/>
    <m/>
    <e v="#REF!"/>
    <e v="#REF!"/>
    <m/>
    <m/>
    <m/>
    <n v="45"/>
    <n v="5"/>
    <n v="600"/>
    <n v="28"/>
    <n v="0"/>
    <n v="23"/>
    <n v="1"/>
    <n v="4"/>
    <n v="0"/>
    <n v="0"/>
    <x v="1"/>
    <n v="-53"/>
    <n v="0"/>
    <n v="0"/>
  </r>
  <r>
    <m/>
    <x v="15"/>
    <s v="A-570-0100"/>
    <s v="18B7"/>
    <s v="Global Online"/>
    <d v="2024-06-24T00:00:00"/>
    <d v="2024-06-27T00:00:00"/>
    <m/>
    <d v="1899-12-30T13:00:00"/>
    <d v="1899-12-30T10:00:00"/>
    <d v="1899-12-30T20:00:00"/>
    <d v="1899-12-30T18:00:00"/>
    <d v="1899-12-30T07:00:00"/>
    <d v="1899-12-30T02:00:00"/>
    <s v="BMC Sosaya"/>
    <m/>
    <e v="#REF!"/>
    <e v="#REF!"/>
    <m/>
    <m/>
    <m/>
    <n v="30"/>
    <n v="4"/>
    <n v="459"/>
    <n v="25"/>
    <n v="0"/>
    <n v="18"/>
    <n v="2"/>
    <n v="5"/>
    <n v="0"/>
    <n v="0"/>
    <x v="7"/>
    <n v="-54"/>
    <n v="0"/>
    <n v="0"/>
  </r>
  <r>
    <m/>
    <x v="7"/>
    <s v="A-493-0072"/>
    <s v="713U"/>
    <s v="Pensacola, FL"/>
    <d v="2024-06-24T00:00:00"/>
    <d v="2024-06-27T00:00:00"/>
    <d v="1899-12-30T08:00:00"/>
    <m/>
    <m/>
    <m/>
    <m/>
    <m/>
    <m/>
    <s v="CDR Schaal"/>
    <s v="A. Harris"/>
    <e v="#REF!"/>
    <e v="#REF!"/>
    <m/>
    <m/>
    <m/>
    <n v="30"/>
    <n v="4"/>
    <n v="3"/>
    <n v="24"/>
    <n v="1"/>
    <n v="25"/>
    <n v="0"/>
    <n v="5"/>
    <n v="7"/>
    <n v="0"/>
    <x v="4"/>
    <n v="-54"/>
    <n v="0"/>
    <n v="0"/>
  </r>
  <r>
    <m/>
    <x v="32"/>
    <s v="A-493-0073"/>
    <s v="714S"/>
    <s v="Global Online"/>
    <d v="2024-06-25T00:00:00"/>
    <d v="2024-06-28T00:00:00"/>
    <m/>
    <d v="1899-12-30T19:00:00"/>
    <d v="1899-12-30T16:00:00"/>
    <d v="1899-12-30T02:00:00"/>
    <d v="1899-12-30T00:00:00"/>
    <d v="1899-12-30T13:00:00"/>
    <d v="1899-12-30T08:00:00"/>
    <s v="SOH Contractor"/>
    <m/>
    <e v="#REF!"/>
    <e v="#REF!"/>
    <m/>
    <m/>
    <m/>
    <n v="30"/>
    <n v="4"/>
    <n v="71"/>
    <n v="18"/>
    <n v="0"/>
    <n v="11"/>
    <n v="0"/>
    <n v="7"/>
    <n v="0"/>
    <n v="0"/>
    <x v="1"/>
    <n v="-53"/>
    <n v="0"/>
    <n v="0"/>
  </r>
  <r>
    <m/>
    <x v="30"/>
    <s v="A-493-2501"/>
    <s v="05ZE"/>
    <s v="Yorktown, VA"/>
    <d v="2024-07-02T00:00:00"/>
    <d v="2024-07-02T00:00:00"/>
    <d v="1899-12-30T08:00:00"/>
    <m/>
    <m/>
    <m/>
    <m/>
    <m/>
    <m/>
    <s v="ENV Contractor"/>
    <m/>
    <m/>
    <m/>
    <m/>
    <m/>
    <m/>
    <n v="30"/>
    <n v="1"/>
    <n v="0"/>
    <n v="16"/>
    <n v="0"/>
    <n v="16"/>
    <n v="0"/>
    <n v="1"/>
    <n v="13"/>
    <n v="0"/>
    <x v="3"/>
    <n v="-49"/>
    <n v="0"/>
    <n v="0"/>
  </r>
  <r>
    <s v="July 4th Function"/>
    <x v="25"/>
    <s v="NA"/>
    <s v="NA"/>
    <m/>
    <d v="2024-07-03T00:00:00"/>
    <d v="2024-07-03T00:00:00"/>
    <d v="1899-12-30T13:00:00"/>
    <m/>
    <m/>
    <m/>
    <m/>
    <m/>
    <m/>
    <m/>
    <m/>
    <e v="#REF!"/>
    <e v="#REF!"/>
    <n v="0"/>
    <n v="0"/>
    <n v="0"/>
    <n v="0"/>
    <n v="0"/>
    <n v="0"/>
    <n v="0"/>
    <n v="0"/>
    <n v="0"/>
    <n v="0"/>
    <n v="0"/>
    <n v="0"/>
    <n v="0"/>
    <x v="5"/>
    <n v="-48"/>
    <n v="0"/>
    <n v="0"/>
  </r>
  <r>
    <s v="Independence Day"/>
    <x v="9"/>
    <s v="Holiday"/>
    <s v="Holiday"/>
    <m/>
    <d v="2024-07-04T00:00:00"/>
    <d v="2024-07-04T00:00:00"/>
    <d v="1899-12-30T00:00:00"/>
    <d v="1899-12-30T00:00:00"/>
    <d v="1899-12-30T00:00:00"/>
    <d v="1899-12-30T00:00:00"/>
    <d v="1899-12-30T00:00:00"/>
    <d v="1899-12-30T00:00:00"/>
    <d v="1899-12-30T00:00:00"/>
    <m/>
    <m/>
    <e v="#REF!"/>
    <e v="#REF!"/>
    <n v="0"/>
    <n v="0"/>
    <n v="0"/>
    <n v="0"/>
    <n v="0"/>
    <n v="0"/>
    <n v="0"/>
    <n v="0"/>
    <n v="0"/>
    <n v="0"/>
    <n v="0"/>
    <n v="0"/>
    <n v="0"/>
    <x v="5"/>
    <n v="-47"/>
    <n v="0"/>
    <n v="0"/>
  </r>
  <r>
    <m/>
    <x v="0"/>
    <s v="A-4J-0022"/>
    <s v="09ER"/>
    <s v="Global Online"/>
    <d v="2024-07-08T00:00:00"/>
    <d v="2024-07-12T00:00:00"/>
    <m/>
    <d v="1899-12-30T13:00:00"/>
    <d v="1899-12-30T10:00:00"/>
    <d v="1899-12-30T20:00:00"/>
    <d v="1899-12-30T18:00:00"/>
    <d v="1899-12-30T07:00:00"/>
    <d v="1899-12-30T02:00:00"/>
    <s v="BMC Sosaya"/>
    <m/>
    <e v="#REF!"/>
    <e v="#REF!"/>
    <m/>
    <m/>
    <m/>
    <n v="45"/>
    <n v="5"/>
    <n v="282"/>
    <n v="5"/>
    <n v="0"/>
    <n v="3"/>
    <n v="0"/>
    <n v="2"/>
    <n v="1"/>
    <n v="0"/>
    <x v="6"/>
    <n v="-39"/>
    <n v="0"/>
    <n v="0"/>
  </r>
  <r>
    <m/>
    <x v="19"/>
    <s v="A-493-0075 "/>
    <s v="714U"/>
    <s v="Bremerton WA"/>
    <d v="2024-07-08T00:00:00"/>
    <d v="2024-07-11T00:00:00"/>
    <d v="1899-12-30T08:00:00"/>
    <m/>
    <m/>
    <m/>
    <m/>
    <m/>
    <m/>
    <m/>
    <m/>
    <m/>
    <m/>
    <m/>
    <m/>
    <m/>
    <m/>
    <m/>
    <n v="20"/>
    <n v="25"/>
    <n v="0"/>
    <n v="8"/>
    <n v="0"/>
    <n v="15"/>
    <n v="2"/>
    <n v="0"/>
    <x v="1"/>
    <n v="-40"/>
    <n v="0"/>
    <n v="0"/>
  </r>
  <r>
    <m/>
    <x v="22"/>
    <s v="A-493-0061"/>
    <s v="288E"/>
    <s v="Global Online"/>
    <d v="2024-07-08T00:00:00"/>
    <d v="2024-07-12T00:00:00"/>
    <m/>
    <d v="1899-12-30T19:00:00"/>
    <d v="1899-12-30T16:00:00"/>
    <d v="1899-12-30T02:00:00"/>
    <d v="1899-12-30T00:00:00"/>
    <d v="1899-12-30T13:00:00"/>
    <d v="1899-12-30T08:00:00"/>
    <s v="S. Griffin"/>
    <m/>
    <e v="#REF!"/>
    <e v="#REF!"/>
    <m/>
    <m/>
    <m/>
    <n v="45"/>
    <n v="5"/>
    <n v="231"/>
    <n v="36"/>
    <n v="0"/>
    <n v="27"/>
    <n v="0"/>
    <n v="9"/>
    <n v="0"/>
    <n v="0"/>
    <x v="1"/>
    <n v="-39"/>
    <n v="0"/>
    <n v="0"/>
  </r>
  <r>
    <m/>
    <x v="4"/>
    <s v="A-493-0550"/>
    <s v="09K5"/>
    <s v="Global Online"/>
    <d v="2024-07-08T00:00:00"/>
    <d v="2024-07-12T00:00:00"/>
    <m/>
    <d v="1899-12-30T13:00:00"/>
    <d v="1899-12-30T10:00:00"/>
    <d v="1899-12-30T20:00:00"/>
    <d v="1899-12-30T18:00:00"/>
    <d v="1899-12-30T07:00:00"/>
    <d v="1899-12-30T02:00:00"/>
    <s v="V. Kentish"/>
    <m/>
    <e v="#REF!"/>
    <e v="#REF!"/>
    <m/>
    <m/>
    <m/>
    <n v="45"/>
    <n v="4"/>
    <n v="746"/>
    <n v="45"/>
    <n v="0"/>
    <n v="33"/>
    <n v="0"/>
    <n v="11"/>
    <n v="0"/>
    <n v="0"/>
    <x v="1"/>
    <n v="-39"/>
    <n v="0"/>
    <n v="0"/>
  </r>
  <r>
    <m/>
    <x v="5"/>
    <s v="A-493-0078"/>
    <n v="1228"/>
    <s v="Global Online"/>
    <d v="2024-07-08T00:00:00"/>
    <d v="2024-07-12T00:00:00"/>
    <m/>
    <d v="1899-12-30T08:00:00"/>
    <d v="1899-12-30T05:00:00"/>
    <d v="1899-12-30T16:00:00"/>
    <d v="1899-12-30T14:00:00"/>
    <d v="1899-12-30T03:00:00"/>
    <d v="1899-12-30T22:00:00"/>
    <s v="T. White"/>
    <m/>
    <e v="#REF!"/>
    <e v="#REF!"/>
    <m/>
    <m/>
    <m/>
    <n v="45"/>
    <n v="5"/>
    <n v="600"/>
    <n v="18"/>
    <n v="0"/>
    <n v="16"/>
    <n v="1"/>
    <n v="1"/>
    <n v="0"/>
    <n v="0"/>
    <x v="1"/>
    <n v="-39"/>
    <n v="0"/>
    <n v="0"/>
  </r>
  <r>
    <m/>
    <x v="6"/>
    <s v="A-493-0085"/>
    <n v="3555"/>
    <s v="Global Online"/>
    <d v="2024-07-08T00:00:00"/>
    <d v="2024-07-11T00:00:00"/>
    <m/>
    <d v="1899-12-30T12:00:00"/>
    <d v="1899-12-30T09:00:00"/>
    <d v="1899-12-30T19:00:00"/>
    <d v="1899-12-30T17:00:00"/>
    <d v="1899-12-30T06:00:00"/>
    <d v="1899-12-30T01:00:00"/>
    <s v="B. Jung"/>
    <s v="LTJG Andrew"/>
    <e v="#REF!"/>
    <e v="#REF!"/>
    <m/>
    <m/>
    <m/>
    <n v="30"/>
    <n v="4"/>
    <n v="464"/>
    <n v="30"/>
    <n v="5"/>
    <n v="24"/>
    <n v="3"/>
    <n v="4"/>
    <n v="0"/>
    <m/>
    <x v="4"/>
    <n v="-40"/>
    <n v="0"/>
    <n v="0"/>
  </r>
  <r>
    <m/>
    <x v="7"/>
    <s v="A-493-0072"/>
    <s v="713U"/>
    <s v="Indian Head, MD"/>
    <d v="2024-07-08T00:00:00"/>
    <d v="2024-07-11T00:00:00"/>
    <d v="1899-12-30T08:00:00"/>
    <m/>
    <m/>
    <m/>
    <m/>
    <m/>
    <m/>
    <s v="A. Harris"/>
    <s v="W. Mitchell"/>
    <e v="#REF!"/>
    <e v="#REF!"/>
    <m/>
    <m/>
    <m/>
    <n v="30"/>
    <n v="4"/>
    <n v="0"/>
    <n v="25"/>
    <n v="0"/>
    <n v="18"/>
    <n v="0"/>
    <n v="7"/>
    <n v="0"/>
    <n v="0"/>
    <x v="4"/>
    <n v="-40"/>
    <n v="0"/>
    <n v="0"/>
  </r>
  <r>
    <m/>
    <x v="34"/>
    <s v="A-493-0013"/>
    <n v="3683"/>
    <s v="Annapolis, MD"/>
    <d v="2024-07-09T00:00:00"/>
    <d v="2024-07-11T00:00:00"/>
    <d v="1899-12-30T08:00:00"/>
    <m/>
    <m/>
    <m/>
    <m/>
    <m/>
    <m/>
    <s v="ENV Contractor"/>
    <m/>
    <e v="#REF!"/>
    <e v="#REF!"/>
    <m/>
    <m/>
    <m/>
    <n v="40"/>
    <n v="3"/>
    <n v="1"/>
    <n v="8"/>
    <n v="0"/>
    <n v="0"/>
    <n v="8"/>
    <n v="0"/>
    <n v="0"/>
    <n v="0"/>
    <x v="3"/>
    <n v="-40"/>
    <n v="0"/>
    <n v="0"/>
  </r>
  <r>
    <m/>
    <x v="29"/>
    <s v="A-493-2301"/>
    <s v="05ZD"/>
    <s v="Norfolk, VA Classroom 1"/>
    <d v="2024-07-09T00:00:00"/>
    <d v="2024-07-09T00:00:00"/>
    <d v="1899-12-30T08:00:00"/>
    <m/>
    <m/>
    <m/>
    <m/>
    <m/>
    <m/>
    <s v="ENV Contractor"/>
    <m/>
    <e v="#REF!"/>
    <e v="#REF!"/>
    <m/>
    <m/>
    <m/>
    <n v="30"/>
    <n v="1"/>
    <n v="60"/>
    <n v="19"/>
    <n v="0"/>
    <n v="15"/>
    <n v="0"/>
    <n v="1"/>
    <n v="9"/>
    <n v="0"/>
    <x v="3"/>
    <n v="-42"/>
    <n v="0"/>
    <n v="0"/>
  </r>
  <r>
    <m/>
    <x v="30"/>
    <s v="A-493-2501"/>
    <s v="05ZE"/>
    <s v="Norfolk, VA Classroom 1"/>
    <d v="2024-07-10T00:00:00"/>
    <d v="2024-07-10T00:00:00"/>
    <d v="1899-12-30T08:00:00"/>
    <m/>
    <m/>
    <m/>
    <m/>
    <m/>
    <m/>
    <s v="ENV Contractor"/>
    <m/>
    <e v="#REF!"/>
    <e v="#REF!"/>
    <m/>
    <m/>
    <m/>
    <n v="30"/>
    <n v="1"/>
    <n v="100"/>
    <n v="16"/>
    <n v="0"/>
    <n v="20"/>
    <n v="0"/>
    <n v="4"/>
    <n v="8"/>
    <n v="0"/>
    <x v="3"/>
    <n v="-41"/>
    <n v="0"/>
    <n v="0"/>
  </r>
  <r>
    <m/>
    <x v="30"/>
    <s v="A-493-2501"/>
    <s v="05ZE"/>
    <s v="Oceanan,VA"/>
    <d v="2024-07-11T00:00:00"/>
    <d v="2024-07-11T00:00:00"/>
    <d v="1902-03-10T00:00:00"/>
    <m/>
    <m/>
    <m/>
    <m/>
    <m/>
    <m/>
    <s v="ENV Contractor"/>
    <m/>
    <m/>
    <m/>
    <m/>
    <m/>
    <m/>
    <n v="30"/>
    <n v="1"/>
    <n v="2"/>
    <n v="10"/>
    <n v="0"/>
    <n v="20"/>
    <n v="0"/>
    <n v="2"/>
    <n v="12"/>
    <n v="0"/>
    <x v="3"/>
    <n v="-40"/>
    <n v="0"/>
    <n v="0"/>
  </r>
  <r>
    <m/>
    <x v="30"/>
    <s v="A-493-2501"/>
    <s v="05ZE"/>
    <s v="Little Creek, VA"/>
    <d v="2024-07-12T00:00:00"/>
    <d v="2024-07-12T00:00:00"/>
    <d v="1899-12-30T08:00:00"/>
    <m/>
    <m/>
    <m/>
    <m/>
    <m/>
    <m/>
    <s v="ENV Contractor"/>
    <m/>
    <m/>
    <m/>
    <m/>
    <m/>
    <m/>
    <n v="30"/>
    <n v="1"/>
    <n v="5"/>
    <n v="7"/>
    <n v="0"/>
    <n v="22"/>
    <n v="0"/>
    <n v="5"/>
    <n v="8"/>
    <n v="0"/>
    <x v="3"/>
    <n v="-39"/>
    <n v="0"/>
    <n v="0"/>
  </r>
  <r>
    <m/>
    <x v="31"/>
    <s v="A-493-0665"/>
    <s v="10KW"/>
    <s v="Global Online"/>
    <d v="2024-07-15T00:00:00"/>
    <d v="2024-07-19T00:00:00"/>
    <m/>
    <d v="1899-12-30T13:00:00"/>
    <d v="1899-12-30T10:00:00"/>
    <d v="1899-12-30T20:00:00"/>
    <d v="1899-12-30T18:00:00"/>
    <d v="1899-12-30T07:00:00"/>
    <d v="1899-12-30T02:00:00"/>
    <s v="EMC Stroughn"/>
    <m/>
    <e v="#REF!"/>
    <e v="#REF!"/>
    <m/>
    <m/>
    <m/>
    <n v="45"/>
    <n v="5"/>
    <n v="343"/>
    <n v="31"/>
    <n v="0"/>
    <n v="24"/>
    <n v="1"/>
    <n v="6"/>
    <n v="1"/>
    <n v="0"/>
    <x v="8"/>
    <n v="-32"/>
    <n v="1"/>
    <n v="0"/>
  </r>
  <r>
    <s v="USMC"/>
    <x v="1"/>
    <s v="A-493-0103"/>
    <s v="12JY"/>
    <s v="Marine Corps Base Hawaii"/>
    <d v="2024-07-15T00:00:00"/>
    <d v="2024-07-19T00:00:00"/>
    <d v="1899-12-30T08:00:00"/>
    <m/>
    <m/>
    <m/>
    <m/>
    <m/>
    <m/>
    <s v="SOH Contractor"/>
    <m/>
    <e v="#REF!"/>
    <e v="#REF!"/>
    <m/>
    <m/>
    <m/>
    <n v="25"/>
    <n v="5"/>
    <n v="60"/>
    <m/>
    <m/>
    <n v="20"/>
    <n v="0"/>
    <n v="2"/>
    <n v="0"/>
    <n v="0"/>
    <x v="1"/>
    <n v="-32"/>
    <n v="0"/>
    <n v="0"/>
  </r>
  <r>
    <m/>
    <x v="14"/>
    <s v="A-493-0069"/>
    <s v="450U"/>
    <s v="Pearl Harbor, HI"/>
    <d v="2024-07-15T00:00:00"/>
    <d v="2024-07-19T00:00:00"/>
    <d v="1899-12-30T08:00:00"/>
    <m/>
    <m/>
    <m/>
    <m/>
    <m/>
    <m/>
    <s v="B. Jung"/>
    <s v="V. Kentish"/>
    <e v="#REF!"/>
    <e v="#REF!"/>
    <m/>
    <m/>
    <m/>
    <n v="25"/>
    <n v="5"/>
    <n v="27"/>
    <n v="13"/>
    <n v="0"/>
    <n v="12"/>
    <n v="0"/>
    <n v="1"/>
    <n v="0"/>
    <n v="0"/>
    <x v="4"/>
    <n v="-32"/>
    <n v="0"/>
    <n v="0"/>
  </r>
  <r>
    <m/>
    <x v="1"/>
    <s v="A-493-0103"/>
    <s v="12JY"/>
    <s v="Coronado, CA"/>
    <d v="2024-07-15T00:00:00"/>
    <d v="2024-07-19T00:00:00"/>
    <d v="1899-12-30T08:00:00"/>
    <m/>
    <m/>
    <m/>
    <m/>
    <m/>
    <m/>
    <s v="SOH Contractor"/>
    <m/>
    <e v="#REF!"/>
    <e v="#REF!"/>
    <m/>
    <m/>
    <m/>
    <n v="25"/>
    <n v="5"/>
    <n v="152"/>
    <n v="25"/>
    <n v="0"/>
    <n v="20"/>
    <n v="0"/>
    <n v="6"/>
    <n v="2"/>
    <n v="0"/>
    <x v="1"/>
    <n v="-32"/>
    <n v="0"/>
    <n v="0"/>
  </r>
  <r>
    <s v="SMT Special Convening for USMC"/>
    <x v="34"/>
    <s v="A-493-0013"/>
    <n v="3683"/>
    <s v="Quantico, VA"/>
    <d v="2024-07-15T00:00:00"/>
    <d v="2024-07-16T00:00:00"/>
    <d v="1899-12-30T08:00:00"/>
    <m/>
    <m/>
    <m/>
    <m/>
    <m/>
    <m/>
    <s v="ENV Contractor"/>
    <m/>
    <m/>
    <m/>
    <m/>
    <m/>
    <m/>
    <n v="40"/>
    <n v="2"/>
    <n v="0"/>
    <n v="13"/>
    <n v="0"/>
    <n v="14"/>
    <n v="0"/>
    <n v="0"/>
    <n v="1"/>
    <n v="0"/>
    <x v="3"/>
    <n v="-35"/>
    <n v="0"/>
    <n v="0"/>
  </r>
  <r>
    <s v="ash"/>
    <x v="20"/>
    <s v="A-493-0331"/>
    <s v="10UG"/>
    <s v="Global Online"/>
    <d v="2024-07-15T00:00:00"/>
    <d v="2024-07-17T00:00:00"/>
    <m/>
    <d v="1899-12-30T19:00:00"/>
    <d v="1899-12-30T16:00:00"/>
    <d v="1899-12-30T02:00:00"/>
    <d v="1899-12-30T00:00:00"/>
    <d v="1899-12-30T13:00:00"/>
    <d v="1899-12-30T08:00:00"/>
    <s v="W. Mitchell"/>
    <m/>
    <e v="#REF!"/>
    <e v="#REF!"/>
    <m/>
    <m/>
    <m/>
    <n v="40"/>
    <n v="3"/>
    <n v="116"/>
    <n v="40"/>
    <n v="5"/>
    <n v="31"/>
    <n v="4"/>
    <n v="9"/>
    <n v="0"/>
    <n v="0"/>
    <x v="4"/>
    <n v="-34"/>
    <n v="0"/>
    <n v="0"/>
  </r>
  <r>
    <m/>
    <x v="26"/>
    <s v="A-493-2098"/>
    <s v="09WW"/>
    <s v="Global Online"/>
    <d v="2024-07-15T00:00:00"/>
    <d v="2024-07-19T00:00:00"/>
    <m/>
    <d v="1899-12-30T13:00:00"/>
    <d v="1899-12-30T10:00:00"/>
    <d v="1899-12-30T20:00:00"/>
    <d v="1899-12-30T18:00:00"/>
    <d v="1899-12-30T07:00:00"/>
    <d v="1899-12-30T02:00:00"/>
    <s v="BMC Sosaya"/>
    <m/>
    <e v="#REF!"/>
    <e v="#REF!"/>
    <m/>
    <m/>
    <m/>
    <n v="100"/>
    <n v="5"/>
    <n v="1257"/>
    <n v="97"/>
    <n v="0"/>
    <n v="76"/>
    <n v="1"/>
    <n v="24"/>
    <n v="1"/>
    <n v="0"/>
    <x v="4"/>
    <n v="-32"/>
    <n v="0"/>
    <n v="0"/>
  </r>
  <r>
    <m/>
    <x v="34"/>
    <s v="A-493-0013"/>
    <n v="3683"/>
    <s v="San Diego, CA"/>
    <d v="2024-07-16T00:00:00"/>
    <d v="2024-07-18T00:00:00"/>
    <d v="1899-12-30T08:00:00"/>
    <m/>
    <m/>
    <m/>
    <m/>
    <m/>
    <m/>
    <s v="ENV Contractor"/>
    <m/>
    <e v="#REF!"/>
    <e v="#REF!"/>
    <m/>
    <m/>
    <m/>
    <n v="40"/>
    <n v="3"/>
    <n v="7"/>
    <n v="33"/>
    <n v="0"/>
    <n v="23"/>
    <n v="4"/>
    <n v="7"/>
    <n v="1"/>
    <n v="0"/>
    <x v="3"/>
    <n v="-33"/>
    <n v="0"/>
    <n v="0"/>
  </r>
  <r>
    <m/>
    <x v="17"/>
    <s v="A-493-0014"/>
    <n v="3878"/>
    <s v="Pearl Harbor, HI"/>
    <d v="2024-07-22T00:00:00"/>
    <d v="2024-07-24T00:00:00"/>
    <d v="1899-12-30T08:00:00"/>
    <m/>
    <m/>
    <m/>
    <m/>
    <m/>
    <m/>
    <s v="B. Jung"/>
    <s v="V. Kentish"/>
    <e v="#REF!"/>
    <e v="#REF!"/>
    <m/>
    <m/>
    <m/>
    <n v="25"/>
    <n v="3"/>
    <n v="36"/>
    <n v="14"/>
    <n v="0"/>
    <n v="14"/>
    <n v="1"/>
    <n v="0"/>
    <n v="1"/>
    <m/>
    <x v="4"/>
    <n v="-27"/>
    <n v="0"/>
    <n v="0"/>
  </r>
  <r>
    <m/>
    <x v="31"/>
    <s v="A-493-0665"/>
    <s v="10KW"/>
    <s v="Global Online"/>
    <d v="2024-07-22T00:00:00"/>
    <d v="2024-07-26T00:00:00"/>
    <m/>
    <d v="1899-12-30T13:00:00"/>
    <d v="1899-12-30T10:00:00"/>
    <d v="1899-12-30T20:00:00"/>
    <d v="1899-12-30T18:00:00"/>
    <d v="1899-12-30T07:00:00"/>
    <d v="1899-12-30T02:00:00"/>
    <s v="LT. Bozenski"/>
    <m/>
    <e v="#REF!"/>
    <e v="#REF!"/>
    <m/>
    <m/>
    <m/>
    <n v="45"/>
    <n v="5"/>
    <n v="343"/>
    <n v="14"/>
    <n v="0"/>
    <n v="12"/>
    <n v="0"/>
    <n v="2"/>
    <n v="0"/>
    <n v="0"/>
    <x v="1"/>
    <n v="-25"/>
    <n v="0"/>
    <n v="0"/>
  </r>
  <r>
    <m/>
    <x v="38"/>
    <s v="A-493-0021"/>
    <s v="18BN"/>
    <s v="Pearl Harbor, HI"/>
    <d v="2024-07-22T00:00:00"/>
    <d v="2024-07-26T00:00:00"/>
    <d v="1899-12-30T08:00:00"/>
    <m/>
    <m/>
    <m/>
    <m/>
    <m/>
    <m/>
    <s v="SOH Contractor"/>
    <m/>
    <e v="#REF!"/>
    <e v="#REF!"/>
    <m/>
    <m/>
    <m/>
    <n v="35"/>
    <n v="5"/>
    <n v="16"/>
    <n v="21"/>
    <n v="0"/>
    <n v="16"/>
    <n v="1"/>
    <n v="4"/>
    <n v="0"/>
    <n v="0"/>
    <x v="1"/>
    <n v="-25"/>
    <n v="0"/>
    <n v="0"/>
  </r>
  <r>
    <m/>
    <x v="22"/>
    <s v="A-493-0061"/>
    <s v="288E"/>
    <s v="Global Online"/>
    <d v="2024-07-22T00:00:00"/>
    <d v="2024-07-26T00:00:00"/>
    <m/>
    <d v="1899-12-30T08:00:00"/>
    <d v="1899-12-30T05:00:00"/>
    <d v="1899-12-30T15:00:00"/>
    <d v="1899-12-30T13:00:00"/>
    <d v="1899-12-30T02:00:00"/>
    <d v="1899-12-30T21:00:00"/>
    <s v="S. Griffin"/>
    <m/>
    <e v="#REF!"/>
    <e v="#REF!"/>
    <m/>
    <m/>
    <m/>
    <n v="45"/>
    <n v="5"/>
    <n v="480"/>
    <n v="19"/>
    <n v="0"/>
    <n v="17"/>
    <n v="0"/>
    <n v="2"/>
    <n v="0"/>
    <n v="0"/>
    <x v="1"/>
    <n v="-25"/>
    <n v="0"/>
    <n v="0"/>
  </r>
  <r>
    <m/>
    <x v="28"/>
    <s v="A-322-2604"/>
    <s v="10ZZ"/>
    <s v="Global Online"/>
    <d v="2024-07-22T00:00:00"/>
    <d v="2024-07-26T00:00:00"/>
    <m/>
    <d v="1899-12-30T13:00:00"/>
    <d v="1899-12-30T10:00:00"/>
    <d v="1899-12-30T20:00:00"/>
    <d v="1899-12-30T18:00:00"/>
    <d v="1899-12-30T07:00:00"/>
    <d v="1899-12-30T02:00:00"/>
    <s v="LT. Bozenski"/>
    <m/>
    <e v="#REF!"/>
    <e v="#REF!"/>
    <m/>
    <m/>
    <m/>
    <n v="45"/>
    <n v="5"/>
    <n v="653"/>
    <n v="45"/>
    <n v="3"/>
    <n v="43"/>
    <n v="1"/>
    <n v="4"/>
    <n v="3"/>
    <n v="0"/>
    <x v="3"/>
    <n v="-25"/>
    <n v="0"/>
    <n v="0"/>
  </r>
  <r>
    <m/>
    <x v="8"/>
    <s v="A-493-0083"/>
    <s v="339E"/>
    <s v="Global Online"/>
    <d v="2024-07-22T00:00:00"/>
    <d v="2024-07-22T00:00:00"/>
    <m/>
    <d v="1899-12-30T19:00:00"/>
    <d v="1899-12-30T16:00:00"/>
    <d v="1899-12-30T02:00:00"/>
    <d v="1899-12-30T00:00:00"/>
    <d v="1899-12-30T13:00:00"/>
    <d v="1899-12-30T08:00:00"/>
    <s v="ENV Contractor"/>
    <m/>
    <e v="#REF!"/>
    <e v="#REF!"/>
    <m/>
    <m/>
    <m/>
    <n v="30"/>
    <n v="1"/>
    <n v="0"/>
    <n v="30"/>
    <n v="0"/>
    <n v="19"/>
    <n v="0"/>
    <n v="11"/>
    <n v="1"/>
    <n v="0"/>
    <x v="3"/>
    <n v="-29"/>
    <n v="0"/>
    <n v="0"/>
  </r>
  <r>
    <m/>
    <x v="23"/>
    <s v="A-493-0335"/>
    <s v="09ND"/>
    <s v="Global Online"/>
    <d v="2024-07-22T00:00:00"/>
    <d v="2024-07-25T00:00:00"/>
    <m/>
    <d v="1899-12-30T12:00:00"/>
    <d v="1899-12-30T09:00:00"/>
    <d v="1899-12-30T19:00:00"/>
    <d v="1899-12-30T17:00:00"/>
    <d v="1899-12-30T06:00:00"/>
    <d v="1899-12-30T01:00:00"/>
    <s v="W. Mitchell"/>
    <m/>
    <e v="#REF!"/>
    <e v="#REF!"/>
    <m/>
    <m/>
    <m/>
    <n v="30"/>
    <n v="4"/>
    <n v="499"/>
    <n v="23"/>
    <n v="0"/>
    <n v="15"/>
    <n v="3"/>
    <n v="4"/>
    <n v="0"/>
    <n v="0"/>
    <x v="4"/>
    <n v="-26"/>
    <n v="0"/>
    <n v="0"/>
  </r>
  <r>
    <m/>
    <x v="4"/>
    <s v="A-493-0550"/>
    <s v="09K5"/>
    <s v="Global Online"/>
    <d v="2024-07-22T00:00:00"/>
    <d v="2024-07-26T00:00:00"/>
    <m/>
    <d v="1899-12-30T19:00:00"/>
    <d v="1899-12-30T16:00:00"/>
    <d v="1899-12-30T02:00:00"/>
    <d v="1899-12-30T00:00:00"/>
    <d v="1899-12-30T13:00:00"/>
    <d v="1899-12-30T08:00:00"/>
    <s v="S. Griffin"/>
    <m/>
    <e v="#REF!"/>
    <e v="#REF!"/>
    <m/>
    <m/>
    <m/>
    <n v="45"/>
    <n v="4"/>
    <n v="167"/>
    <n v="45"/>
    <n v="0"/>
    <n v="37"/>
    <n v="0"/>
    <n v="8"/>
    <n v="0"/>
    <n v="0"/>
    <x v="1"/>
    <n v="-25"/>
    <n v="0"/>
    <n v="0"/>
  </r>
  <r>
    <m/>
    <x v="5"/>
    <s v="A-493-0078"/>
    <n v="1228"/>
    <s v="Global Online"/>
    <d v="2024-07-22T00:00:00"/>
    <d v="2024-07-26T00:00:00"/>
    <m/>
    <d v="1899-12-30T19:00:00"/>
    <d v="1899-12-30T16:00:00"/>
    <d v="1899-12-30T02:00:00"/>
    <d v="1899-12-30T00:00:00"/>
    <d v="1899-12-30T13:00:00"/>
    <d v="1899-12-30T08:00:00"/>
    <s v="T. White"/>
    <m/>
    <e v="#REF!"/>
    <e v="#REF!"/>
    <m/>
    <m/>
    <m/>
    <n v="45"/>
    <n v="5"/>
    <n v="114"/>
    <n v="19"/>
    <n v="0"/>
    <n v="15"/>
    <n v="0"/>
    <n v="4"/>
    <n v="0"/>
    <n v="0"/>
    <x v="1"/>
    <n v="-25"/>
    <n v="0"/>
    <n v="0"/>
  </r>
  <r>
    <m/>
    <x v="15"/>
    <s v="A-570-0100"/>
    <s v="18B7"/>
    <s v="Global Online"/>
    <d v="2024-07-22T00:00:00"/>
    <d v="2024-07-25T00:00:00"/>
    <m/>
    <d v="1899-12-30T13:00:00"/>
    <d v="1899-12-30T10:00:00"/>
    <d v="1899-12-30T20:00:00"/>
    <d v="1899-12-30T18:00:00"/>
    <d v="1899-12-30T07:00:00"/>
    <d v="1899-12-30T02:00:00"/>
    <s v="BMC Sosaya"/>
    <m/>
    <e v="#REF!"/>
    <e v="#REF!"/>
    <m/>
    <m/>
    <m/>
    <n v="30"/>
    <n v="4"/>
    <n v="459"/>
    <n v="22"/>
    <n v="0"/>
    <n v="17"/>
    <n v="2"/>
    <n v="3"/>
    <n v="1"/>
    <n v="0"/>
    <x v="1"/>
    <n v="-26"/>
    <n v="0"/>
    <n v="0"/>
  </r>
  <r>
    <m/>
    <x v="34"/>
    <s v="A-493-0013"/>
    <n v="3683"/>
    <s v="Norfolk, VA"/>
    <d v="2024-07-23T00:00:00"/>
    <d v="2024-07-25T00:00:00"/>
    <d v="1899-12-30T08:00:00"/>
    <m/>
    <m/>
    <m/>
    <m/>
    <m/>
    <m/>
    <s v="ENV Contractor"/>
    <m/>
    <e v="#REF!"/>
    <e v="#REF!"/>
    <m/>
    <m/>
    <m/>
    <n v="40"/>
    <n v="3"/>
    <n v="23"/>
    <n v="12"/>
    <n v="0"/>
    <n v="13"/>
    <n v="0"/>
    <n v="0"/>
    <n v="1"/>
    <n v="0"/>
    <x v="3"/>
    <n v="-26"/>
    <n v="0"/>
    <n v="0"/>
  </r>
  <r>
    <m/>
    <x v="24"/>
    <s v="A-493-0092"/>
    <n v="5891"/>
    <s v="Norfolk, VA"/>
    <d v="2024-07-23T00:00:00"/>
    <d v="2024-07-25T00:00:00"/>
    <d v="1899-12-30T08:00:00"/>
    <m/>
    <m/>
    <m/>
    <m/>
    <m/>
    <m/>
    <s v="A. Harris"/>
    <s v="CDR Schaal"/>
    <e v="#REF!"/>
    <e v="#REF!"/>
    <m/>
    <m/>
    <m/>
    <n v="25"/>
    <n v="3"/>
    <n v="192"/>
    <m/>
    <n v="0"/>
    <n v="6"/>
    <n v="0"/>
    <n v="1"/>
    <n v="0"/>
    <n v="0"/>
    <x v="4"/>
    <n v="-26"/>
    <n v="0"/>
    <n v="0"/>
  </r>
  <r>
    <m/>
    <x v="32"/>
    <s v="A-493-0073"/>
    <s v="714S"/>
    <s v="Global Online"/>
    <d v="2024-07-23T00:00:00"/>
    <d v="2024-07-26T00:00:00"/>
    <m/>
    <d v="1899-12-30T08:00:00"/>
    <d v="1899-12-30T05:00:00"/>
    <d v="1899-12-30T15:00:00"/>
    <d v="1899-12-30T13:00:00"/>
    <d v="1899-12-30T02:00:00"/>
    <d v="1899-12-30T21:00:00"/>
    <s v="SOH Contractor"/>
    <m/>
    <e v="#REF!"/>
    <e v="#REF!"/>
    <m/>
    <m/>
    <m/>
    <n v="30"/>
    <n v="4"/>
    <n v="361"/>
    <n v="15"/>
    <n v="0"/>
    <n v="12"/>
    <n v="0"/>
    <n v="3"/>
    <n v="0"/>
    <n v="0"/>
    <x v="1"/>
    <n v="-25"/>
    <n v="0"/>
    <n v="0"/>
  </r>
  <r>
    <m/>
    <x v="34"/>
    <s v="A-493-0013"/>
    <n v="3683"/>
    <s v="Naples, Italy"/>
    <d v="2024-07-24T00:00:00"/>
    <d v="2024-07-26T00:00:00"/>
    <d v="1899-12-30T08:00:00"/>
    <m/>
    <m/>
    <m/>
    <m/>
    <m/>
    <m/>
    <s v="ENV Contractor"/>
    <m/>
    <e v="#REF!"/>
    <e v="#REF!"/>
    <m/>
    <m/>
    <m/>
    <n v="40"/>
    <n v="3"/>
    <n v="0"/>
    <n v="6"/>
    <n v="0"/>
    <n v="9"/>
    <n v="0"/>
    <n v="0"/>
    <n v="3"/>
    <n v="0"/>
    <x v="3"/>
    <n v="-25"/>
    <n v="0"/>
    <n v="0"/>
  </r>
  <r>
    <m/>
    <x v="21"/>
    <s v="A-493-0019"/>
    <n v="3882"/>
    <s v="Pearl Harbor, HI"/>
    <d v="2024-07-25T00:00:00"/>
    <d v="2024-07-26T00:00:00"/>
    <d v="1899-12-30T13:00:00"/>
    <m/>
    <m/>
    <m/>
    <m/>
    <m/>
    <m/>
    <s v="B. Jung"/>
    <s v="V. Kentish"/>
    <e v="#REF!"/>
    <e v="#REF!"/>
    <m/>
    <m/>
    <m/>
    <n v="25"/>
    <n v="2"/>
    <n v="27"/>
    <n v="13"/>
    <n v="0"/>
    <n v="13"/>
    <n v="0"/>
    <n v="1"/>
    <n v="1"/>
    <n v="0"/>
    <x v="4"/>
    <n v="-25"/>
    <n v="0"/>
    <n v="0"/>
  </r>
  <r>
    <m/>
    <x v="1"/>
    <s v="A-493-0103"/>
    <s v="12JY"/>
    <s v="Sigonella, Italy"/>
    <d v="2024-07-29T00:00:00"/>
    <d v="2024-08-02T00:00:00"/>
    <d v="1899-12-30T08:00:00"/>
    <m/>
    <m/>
    <m/>
    <m/>
    <m/>
    <m/>
    <s v="SOH Contractor"/>
    <m/>
    <e v="#REF!"/>
    <e v="#REF!"/>
    <m/>
    <m/>
    <m/>
    <n v="25"/>
    <n v="5"/>
    <n v="15"/>
    <n v="25"/>
    <n v="3"/>
    <m/>
    <m/>
    <m/>
    <m/>
    <m/>
    <x v="8"/>
    <n v="-18"/>
    <n v="1"/>
    <n v="0"/>
  </r>
  <r>
    <s v="Pilot"/>
    <x v="37"/>
    <s v="A-4J-0019"/>
    <s v="28SL/285M"/>
    <s v="Norfolk, VA Naval Safety Command"/>
    <d v="2024-07-29T00:00:00"/>
    <d v="2024-08-02T00:00:00"/>
    <d v="1899-12-30T08:00:00"/>
    <m/>
    <m/>
    <m/>
    <m/>
    <m/>
    <m/>
    <s v="Jonathan Willson"/>
    <s v="M. Bailey"/>
    <m/>
    <m/>
    <m/>
    <m/>
    <m/>
    <n v="20"/>
    <n v="5"/>
    <n v="0"/>
    <n v="17"/>
    <n v="0"/>
    <n v="17"/>
    <n v="0"/>
    <n v="0"/>
    <n v="0"/>
    <n v="0"/>
    <x v="3"/>
    <n v="-18"/>
    <n v="0"/>
    <n v="0"/>
  </r>
  <r>
    <m/>
    <x v="26"/>
    <s v="A-493-2098"/>
    <s v="09WW"/>
    <s v="Global Online"/>
    <d v="2024-07-29T00:00:00"/>
    <d v="2024-08-02T00:00:00"/>
    <m/>
    <d v="1899-12-30T13:00:00"/>
    <d v="1899-12-30T10:00:00"/>
    <d v="1899-12-30T20:00:00"/>
    <d v="1899-12-30T18:00:00"/>
    <d v="1899-12-30T07:00:00"/>
    <d v="1899-12-30T02:00:00"/>
    <s v="LT. Bozenski"/>
    <m/>
    <e v="#REF!"/>
    <e v="#REF!"/>
    <m/>
    <m/>
    <m/>
    <n v="100"/>
    <n v="5"/>
    <n v="1257"/>
    <n v="97"/>
    <n v="0"/>
    <n v="77"/>
    <n v="2"/>
    <n v="21"/>
    <n v="0"/>
    <n v="0"/>
    <x v="4"/>
    <n v="-18"/>
    <n v="0"/>
    <n v="0"/>
  </r>
  <r>
    <m/>
    <x v="10"/>
    <s v="A-493-0070"/>
    <s v="450V"/>
    <s v="Pearl Harbor, HI"/>
    <d v="2024-07-29T00:00:00"/>
    <d v="2024-07-29T00:00:00"/>
    <d v="1899-12-30T08:00:00"/>
    <m/>
    <m/>
    <m/>
    <m/>
    <m/>
    <m/>
    <s v="B. Jung"/>
    <s v="V. Kentish"/>
    <e v="#REF!"/>
    <e v="#REF!"/>
    <m/>
    <m/>
    <m/>
    <n v="30"/>
    <n v="1"/>
    <n v="27"/>
    <n v="4"/>
    <n v="0"/>
    <n v="4"/>
    <n v="0"/>
    <n v="0"/>
    <n v="0"/>
    <n v="0"/>
    <x v="4"/>
    <n v="-22"/>
    <n v="0"/>
    <n v="0"/>
  </r>
  <r>
    <m/>
    <x v="20"/>
    <s v="A-493-0331"/>
    <s v="10UG"/>
    <s v="Global Online"/>
    <d v="2024-07-30T00:00:00"/>
    <d v="2024-08-01T00:00:00"/>
    <m/>
    <d v="1899-12-30T13:00:00"/>
    <d v="1899-12-30T10:00:00"/>
    <d v="1899-12-30T20:00:00"/>
    <d v="1899-12-30T18:00:00"/>
    <d v="1899-12-30T07:00:00"/>
    <d v="1899-12-30T02:00:00"/>
    <s v="W. Mitchell"/>
    <m/>
    <e v="#REF!"/>
    <e v="#REF!"/>
    <m/>
    <m/>
    <m/>
    <n v="40"/>
    <n v="3"/>
    <n v="709"/>
    <n v="40"/>
    <n v="5"/>
    <n v="33"/>
    <n v="1"/>
    <n v="7"/>
    <n v="1"/>
    <n v="0"/>
    <x v="4"/>
    <n v="-19"/>
    <n v="0"/>
    <n v="0"/>
  </r>
  <r>
    <m/>
    <x v="11"/>
    <s v="A-493-0015"/>
    <n v="3879"/>
    <s v="Pearl Harbor, HI"/>
    <d v="2024-07-30T00:00:00"/>
    <d v="2024-07-30T00:00:00"/>
    <d v="1899-12-30T13:00:00"/>
    <m/>
    <m/>
    <m/>
    <m/>
    <m/>
    <m/>
    <s v="B. Jung"/>
    <s v="V. Kentish"/>
    <e v="#REF!"/>
    <e v="#REF!"/>
    <m/>
    <m/>
    <m/>
    <n v="30"/>
    <n v="1"/>
    <n v="43"/>
    <n v="15"/>
    <n v="0"/>
    <n v="15"/>
    <n v="0"/>
    <n v="0"/>
    <n v="0"/>
    <n v="0"/>
    <x v="4"/>
    <n v="-21"/>
    <n v="0"/>
    <n v="0"/>
  </r>
  <r>
    <m/>
    <x v="12"/>
    <s v="A-493-0020"/>
    <n v="3888"/>
    <s v="Pearl Harbor, HI"/>
    <d v="2024-07-30T00:00:00"/>
    <d v="2024-07-30T00:00:00"/>
    <d v="1899-12-30T13:00:00"/>
    <m/>
    <m/>
    <m/>
    <m/>
    <m/>
    <m/>
    <s v="B. Jung"/>
    <s v="V. Kentish"/>
    <e v="#REF!"/>
    <e v="#REF!"/>
    <m/>
    <m/>
    <m/>
    <n v="30"/>
    <n v="1"/>
    <n v="39"/>
    <n v="13"/>
    <n v="0"/>
    <n v="12"/>
    <n v="0"/>
    <n v="0"/>
    <n v="0"/>
    <n v="0"/>
    <x v="4"/>
    <n v="-21"/>
    <n v="0"/>
    <n v="0"/>
  </r>
  <r>
    <m/>
    <x v="3"/>
    <s v="A-493-0077"/>
    <s v="0381"/>
    <s v="Yokosuka, Japan"/>
    <d v="2024-07-30T00:00:00"/>
    <d v="2024-08-01T00:00:00"/>
    <d v="1899-12-30T08:00:00"/>
    <m/>
    <m/>
    <m/>
    <m/>
    <m/>
    <m/>
    <s v="ENV Contractor"/>
    <m/>
    <e v="#REF!"/>
    <e v="#REF!"/>
    <m/>
    <m/>
    <m/>
    <n v="25"/>
    <n v="3"/>
    <n v="123"/>
    <n v="13"/>
    <n v="0"/>
    <n v="12"/>
    <n v="0"/>
    <n v="1"/>
    <n v="1"/>
    <n v="0"/>
    <x v="3"/>
    <n v="-19"/>
    <n v="0"/>
    <n v="0"/>
  </r>
  <r>
    <m/>
    <x v="41"/>
    <s v="A-760-2166"/>
    <s v="438J"/>
    <s v="Pearl Harbor, HI"/>
    <d v="2024-07-31T00:00:00"/>
    <d v="2024-08-01T00:00:00"/>
    <d v="1899-12-30T08:00:00"/>
    <m/>
    <m/>
    <m/>
    <m/>
    <m/>
    <m/>
    <s v="B. Jung"/>
    <s v="V. Kentish"/>
    <e v="#REF!"/>
    <e v="#REF!"/>
    <m/>
    <m/>
    <m/>
    <n v="25"/>
    <n v="2"/>
    <n v="12"/>
    <n v="4"/>
    <n v="0"/>
    <n v="7"/>
    <n v="0"/>
    <n v="0"/>
    <n v="3"/>
    <n v="0"/>
    <x v="4"/>
    <n v="-19"/>
    <n v="0"/>
    <n v="0"/>
  </r>
  <r>
    <m/>
    <x v="34"/>
    <s v="A-493-0013"/>
    <n v="3683"/>
    <s v="Pax River, MD"/>
    <d v="2024-07-31T00:00:00"/>
    <d v="2024-08-02T00:00:00"/>
    <d v="1899-12-30T08:00:00"/>
    <m/>
    <m/>
    <m/>
    <m/>
    <m/>
    <m/>
    <s v="ENV Contractor"/>
    <m/>
    <e v="#REF!"/>
    <e v="#REF!"/>
    <m/>
    <m/>
    <m/>
    <n v="40"/>
    <n v="3"/>
    <n v="15"/>
    <n v="11"/>
    <n v="0"/>
    <n v="11"/>
    <n v="2"/>
    <n v="0"/>
    <n v="0"/>
    <n v="0"/>
    <x v="3"/>
    <n v="-18"/>
    <n v="0"/>
    <n v="0"/>
  </r>
  <r>
    <m/>
    <x v="8"/>
    <s v="A-493-0083"/>
    <s v="339E"/>
    <s v="Yokosuka, Japan"/>
    <d v="2024-08-02T00:00:00"/>
    <d v="2024-08-02T00:00:00"/>
    <d v="1899-12-30T08:00:00"/>
    <m/>
    <m/>
    <m/>
    <m/>
    <m/>
    <m/>
    <s v="ENV Contractor"/>
    <m/>
    <e v="#REF!"/>
    <e v="#REF!"/>
    <m/>
    <m/>
    <m/>
    <n v="30"/>
    <n v="1"/>
    <n v="123"/>
    <n v="8"/>
    <n v="0"/>
    <n v="7"/>
    <n v="0"/>
    <n v="2"/>
    <n v="1"/>
    <n v="0"/>
    <x v="3"/>
    <n v="-18"/>
    <n v="0"/>
    <n v="0"/>
  </r>
  <r>
    <m/>
    <x v="31"/>
    <s v="A-493-0665"/>
    <s v="10KW"/>
    <s v="Global Online"/>
    <d v="2024-08-05T00:00:00"/>
    <d v="2024-08-09T00:00:00"/>
    <m/>
    <d v="1899-12-30T13:00:00"/>
    <d v="1899-12-30T23:00:00"/>
    <d v="1899-12-30T21:00:00"/>
    <d v="1899-12-30T08:00:00"/>
    <d v="1899-12-30T20:00:00"/>
    <d v="1899-12-30T15:00:00"/>
    <s v="EMC Stroughn"/>
    <m/>
    <e v="#REF!"/>
    <e v="#REF!"/>
    <m/>
    <m/>
    <m/>
    <n v="45"/>
    <n v="5"/>
    <n v="343"/>
    <n v="14"/>
    <n v="0"/>
    <n v="14"/>
    <n v="1"/>
    <n v="0"/>
    <n v="1"/>
    <n v="0"/>
    <x v="1"/>
    <n v="-11"/>
    <n v="0"/>
    <n v="0"/>
  </r>
  <r>
    <m/>
    <x v="28"/>
    <s v="A-322-2604"/>
    <s v="10ZZ"/>
    <s v="Global Online"/>
    <d v="2024-08-05T00:00:00"/>
    <d v="2024-08-09T00:00:00"/>
    <m/>
    <d v="1899-12-30T19:00:00"/>
    <d v="1899-12-30T16:00:00"/>
    <d v="1899-12-30T02:00:00"/>
    <d v="1899-12-30T00:00:00"/>
    <d v="1899-12-30T13:00:00"/>
    <d v="1899-12-30T08:00:00"/>
    <s v="LS1 Scoggins"/>
    <m/>
    <e v="#REF!"/>
    <e v="#REF!"/>
    <m/>
    <m/>
    <m/>
    <n v="45"/>
    <n v="5"/>
    <n v="97"/>
    <n v="44"/>
    <n v="0"/>
    <n v="40"/>
    <n v="0"/>
    <n v="5"/>
    <n v="0"/>
    <n v="0"/>
    <x v="3"/>
    <n v="-11"/>
    <n v="0"/>
    <n v="0"/>
  </r>
  <r>
    <m/>
    <x v="3"/>
    <s v="A-493-0077"/>
    <s v="0381"/>
    <s v="Sasebo, Japan"/>
    <d v="2024-08-05T00:00:00"/>
    <d v="2024-08-07T00:00:00"/>
    <d v="1899-12-30T08:00:00"/>
    <m/>
    <m/>
    <m/>
    <m/>
    <m/>
    <m/>
    <s v="ENV Contractor"/>
    <m/>
    <e v="#REF!"/>
    <e v="#REF!"/>
    <m/>
    <m/>
    <m/>
    <n v="25"/>
    <n v="3"/>
    <n v="59"/>
    <n v="25"/>
    <n v="0"/>
    <n v="11"/>
    <n v="0"/>
    <n v="14"/>
    <n v="0"/>
    <n v="1"/>
    <x v="3"/>
    <n v="-13"/>
    <n v="0"/>
    <n v="0"/>
  </r>
  <r>
    <m/>
    <x v="6"/>
    <s v="A-493-0085"/>
    <n v="3555"/>
    <s v="Global Online"/>
    <d v="2024-08-05T00:00:00"/>
    <d v="2024-08-08T00:00:00"/>
    <m/>
    <d v="1899-12-30T12:00:00"/>
    <d v="1899-12-30T09:00:00"/>
    <d v="1899-12-30T19:00:00"/>
    <d v="1899-12-30T17:00:00"/>
    <d v="1899-12-30T06:00:00"/>
    <d v="1899-12-30T01:00:00"/>
    <s v="B. Jung"/>
    <m/>
    <e v="#REF!"/>
    <e v="#REF!"/>
    <m/>
    <m/>
    <m/>
    <n v="30"/>
    <n v="4"/>
    <n v="464"/>
    <n v="30"/>
    <n v="3"/>
    <n v="22"/>
    <n v="2"/>
    <n v="7"/>
    <n v="0"/>
    <n v="0"/>
    <x v="4"/>
    <n v="-12"/>
    <n v="0"/>
    <n v="0"/>
  </r>
  <r>
    <m/>
    <x v="26"/>
    <s v="A-493-2098"/>
    <s v="09WW"/>
    <s v="Global Online"/>
    <d v="2024-08-05T00:00:00"/>
    <d v="2024-08-09T00:00:00"/>
    <m/>
    <d v="1899-12-30T13:00:00"/>
    <d v="1899-12-30T10:00:00"/>
    <d v="1899-12-30T20:00:00"/>
    <d v="1899-12-30T18:00:00"/>
    <d v="1899-12-30T07:00:00"/>
    <d v="1899-12-30T02:00:00"/>
    <s v="BMC Sosaya"/>
    <m/>
    <e v="#REF!"/>
    <e v="#REF!"/>
    <m/>
    <m/>
    <m/>
    <n v="100"/>
    <n v="5"/>
    <n v="1257"/>
    <n v="96"/>
    <n v="0"/>
    <n v="84"/>
    <n v="2"/>
    <n v="14"/>
    <n v="2"/>
    <n v="0"/>
    <x v="4"/>
    <n v="-11"/>
    <n v="0"/>
    <n v="0"/>
  </r>
  <r>
    <m/>
    <x v="34"/>
    <s v="A-493-0013"/>
    <n v="3683"/>
    <s v="Indian Island, WA"/>
    <d v="2024-08-06T00:00:00"/>
    <d v="2024-08-08T00:00:00"/>
    <d v="1899-12-30T08:00:00"/>
    <m/>
    <m/>
    <m/>
    <m/>
    <m/>
    <m/>
    <s v="ENV Contractor"/>
    <m/>
    <e v="#REF!"/>
    <e v="#REF!"/>
    <m/>
    <m/>
    <m/>
    <n v="40"/>
    <n v="3"/>
    <n v="13"/>
    <n v="16"/>
    <n v="0"/>
    <n v="15"/>
    <n v="0"/>
    <n v="1"/>
    <n v="1"/>
    <n v="0"/>
    <x v="3"/>
    <n v="-12"/>
    <n v="0"/>
    <n v="0"/>
  </r>
  <r>
    <d v="2024-05-07T00:00:00"/>
    <x v="7"/>
    <s v="A-493-0072"/>
    <s v="713U"/>
    <s v="Coronado, CA"/>
    <d v="2024-08-06T00:00:00"/>
    <d v="2024-08-09T00:00:00"/>
    <s v="0800"/>
    <m/>
    <m/>
    <m/>
    <m/>
    <m/>
    <m/>
    <s v="W. Mitchell"/>
    <s v="A. Harris"/>
    <m/>
    <m/>
    <m/>
    <m/>
    <m/>
    <n v="30"/>
    <n v="4"/>
    <n v="55"/>
    <n v="30"/>
    <n v="5"/>
    <n v="29"/>
    <n v="0"/>
    <n v="3"/>
    <n v="1"/>
    <n v="0"/>
    <x v="4"/>
    <n v="-11"/>
    <n v="0"/>
    <n v="0"/>
  </r>
  <r>
    <m/>
    <x v="8"/>
    <s v="A-493-0083"/>
    <s v="339E"/>
    <s v="Global Online"/>
    <d v="2024-08-08T00:00:00"/>
    <d v="2024-08-08T00:00:00"/>
    <m/>
    <d v="1899-12-30T02:00:00"/>
    <d v="1899-12-30T23:00:00"/>
    <d v="1899-12-30T09:00:00"/>
    <d v="1899-12-30T08:00:00"/>
    <d v="1899-12-30T20:00:00"/>
    <d v="1899-12-30T15:00:00"/>
    <s v="ENV Contractor"/>
    <m/>
    <e v="#REF!"/>
    <e v="#REF!"/>
    <m/>
    <m/>
    <m/>
    <n v="30"/>
    <n v="1"/>
    <n v="0"/>
    <n v="30"/>
    <n v="0"/>
    <n v="16"/>
    <n v="0"/>
    <n v="14"/>
    <n v="0"/>
    <n v="0"/>
    <x v="3"/>
    <n v="-12"/>
    <n v="0"/>
    <n v="0"/>
  </r>
  <r>
    <m/>
    <x v="8"/>
    <s v="A-493-0083"/>
    <s v="339E"/>
    <s v="Sasebo, Japan"/>
    <d v="2024-08-08T00:00:00"/>
    <d v="2024-08-08T00:00:00"/>
    <m/>
    <m/>
    <m/>
    <m/>
    <m/>
    <m/>
    <m/>
    <s v="ENV Contractor"/>
    <m/>
    <m/>
    <m/>
    <m/>
    <m/>
    <m/>
    <n v="30"/>
    <n v="1"/>
    <n v="59"/>
    <n v="2"/>
    <n v="0"/>
    <n v="2"/>
    <n v="0"/>
    <n v="0"/>
    <n v="0"/>
    <n v="1"/>
    <x v="3"/>
    <n v="-12"/>
    <n v="0"/>
    <n v="0"/>
  </r>
  <r>
    <m/>
    <x v="1"/>
    <s v="A-493-0103"/>
    <s v="12JY"/>
    <s v="Norfolk, VA Classroom 1"/>
    <d v="2024-08-12T00:00:00"/>
    <d v="2024-08-16T00:00:00"/>
    <d v="1899-12-30T08:00:00"/>
    <m/>
    <m/>
    <m/>
    <m/>
    <m/>
    <m/>
    <s v="SOH Contractor"/>
    <m/>
    <e v="#REF!"/>
    <e v="#REF!"/>
    <m/>
    <m/>
    <m/>
    <n v="25"/>
    <n v="5"/>
    <n v="388"/>
    <n v="25"/>
    <n v="0"/>
    <n v="22"/>
    <n v="0"/>
    <n v="3"/>
    <n v="0"/>
    <n v="0"/>
    <x v="1"/>
    <n v="-4"/>
    <n v="0"/>
    <n v="0"/>
  </r>
  <r>
    <m/>
    <x v="1"/>
    <s v="A-493-0103"/>
    <s v="12JY"/>
    <s v="Point Loma, CA"/>
    <d v="2024-08-12T00:00:00"/>
    <d v="2024-08-16T00:00:00"/>
    <d v="1899-12-30T08:00:00"/>
    <m/>
    <m/>
    <m/>
    <m/>
    <m/>
    <m/>
    <s v="SOH Contractor"/>
    <m/>
    <e v="#REF!"/>
    <e v="#REF!"/>
    <m/>
    <m/>
    <m/>
    <n v="25"/>
    <n v="5"/>
    <n v="18"/>
    <n v="21"/>
    <n v="0"/>
    <n v="19"/>
    <n v="0"/>
    <n v="2"/>
    <n v="0"/>
    <n v="0"/>
    <x v="1"/>
    <n v="-4"/>
    <n v="0"/>
    <n v="0"/>
  </r>
  <r>
    <m/>
    <x v="2"/>
    <s v="A-493-0030"/>
    <s v="286X"/>
    <s v="Global Online"/>
    <d v="2024-08-12T00:00:00"/>
    <d v="2024-08-16T00:00:00"/>
    <m/>
    <d v="1899-12-30T08:00:00"/>
    <d v="1899-12-30T05:00:00"/>
    <d v="1899-12-30T15:00:00"/>
    <d v="1899-12-30T13:00:00"/>
    <d v="1899-12-30T02:00:00"/>
    <d v="1899-12-30T21:00:00"/>
    <s v="IH Contractor"/>
    <m/>
    <e v="#REF!"/>
    <e v="#REF!"/>
    <m/>
    <m/>
    <m/>
    <n v="25"/>
    <n v="5"/>
    <n v="0"/>
    <n v="26"/>
    <n v="3"/>
    <n v="20"/>
    <n v="1"/>
    <n v="4"/>
    <n v="0"/>
    <n v="0"/>
    <x v="4"/>
    <n v="-4"/>
    <n v="0"/>
    <n v="0"/>
  </r>
  <r>
    <m/>
    <x v="38"/>
    <s v="A-493-0021"/>
    <s v="18BN"/>
    <s v="Coronado, CA"/>
    <d v="2024-08-12T00:00:00"/>
    <d v="2024-08-16T00:00:00"/>
    <d v="1899-12-30T08:00:00"/>
    <m/>
    <m/>
    <m/>
    <m/>
    <m/>
    <m/>
    <s v="SOH Contractor"/>
    <m/>
    <e v="#REF!"/>
    <e v="#REF!"/>
    <m/>
    <m/>
    <m/>
    <n v="35"/>
    <n v="5"/>
    <n v="4"/>
    <n v="28"/>
    <n v="0"/>
    <n v="26"/>
    <n v="0"/>
    <n v="2"/>
    <n v="1"/>
    <n v="0"/>
    <x v="1"/>
    <n v="-4"/>
    <n v="0"/>
    <n v="0"/>
  </r>
  <r>
    <m/>
    <x v="27"/>
    <s v="A-493-0012"/>
    <n v="3682"/>
    <s v="New London, CT"/>
    <d v="2024-08-12T00:00:00"/>
    <d v="2024-08-16T00:00:00"/>
    <d v="1899-12-30T08:00:00"/>
    <m/>
    <m/>
    <m/>
    <m/>
    <m/>
    <m/>
    <s v="ENV Contractor"/>
    <m/>
    <m/>
    <m/>
    <m/>
    <m/>
    <m/>
    <n v="40"/>
    <n v="5"/>
    <n v="0"/>
    <n v="28"/>
    <n v="0"/>
    <m/>
    <m/>
    <m/>
    <m/>
    <m/>
    <x v="8"/>
    <m/>
    <m/>
    <m/>
  </r>
  <r>
    <m/>
    <x v="22"/>
    <s v="A-493-0061"/>
    <s v="288E"/>
    <s v="Global Online"/>
    <d v="2024-08-12T00:00:00"/>
    <d v="2024-08-16T00:00:00"/>
    <m/>
    <d v="1899-12-30T10:00:00"/>
    <d v="1899-12-30T07:00:00"/>
    <d v="1899-12-30T17:00:00"/>
    <d v="1899-12-30T15:00:00"/>
    <d v="1899-12-30T04:00:00"/>
    <d v="1899-12-30T23:00:00"/>
    <s v="S. Griffin"/>
    <m/>
    <e v="#REF!"/>
    <e v="#REF!"/>
    <m/>
    <m/>
    <m/>
    <n v="45"/>
    <n v="5"/>
    <n v="430"/>
    <n v="30"/>
    <n v="0"/>
    <n v="23"/>
    <n v="0"/>
    <n v="7"/>
    <n v="0"/>
    <n v="0"/>
    <x v="1"/>
    <n v="-4"/>
    <n v="0"/>
    <n v="0"/>
  </r>
  <r>
    <m/>
    <x v="33"/>
    <s v="A-493-2300"/>
    <s v="993F"/>
    <s v="Bremerton, WA"/>
    <d v="2024-08-12T00:00:00"/>
    <d v="2024-08-13T00:00:00"/>
    <d v="1899-12-30T08:00:00"/>
    <m/>
    <m/>
    <m/>
    <m/>
    <m/>
    <m/>
    <s v="ENV Contractor"/>
    <m/>
    <e v="#REF!"/>
    <e v="#REF!"/>
    <m/>
    <m/>
    <m/>
    <n v="30"/>
    <n v="2"/>
    <n v="3"/>
    <n v="12"/>
    <n v="0"/>
    <m/>
    <m/>
    <m/>
    <m/>
    <m/>
    <x v="8"/>
    <n v="-7"/>
    <n v="1"/>
    <n v="0"/>
  </r>
  <r>
    <m/>
    <x v="4"/>
    <s v="A-493-0550"/>
    <s v="09K5"/>
    <s v="Global Online"/>
    <d v="2024-08-12T00:00:00"/>
    <d v="2024-08-16T00:00:00"/>
    <m/>
    <d v="1899-12-30T13:00:00"/>
    <d v="1899-12-30T10:00:00"/>
    <d v="1899-12-30T20:00:00"/>
    <d v="1899-12-30T18:00:00"/>
    <d v="1899-12-30T07:00:00"/>
    <d v="1899-12-30T02:00:00"/>
    <s v="V. Kentish"/>
    <m/>
    <e v="#REF!"/>
    <e v="#REF!"/>
    <m/>
    <m/>
    <m/>
    <n v="45"/>
    <n v="4"/>
    <n v="746"/>
    <n v="44"/>
    <n v="4"/>
    <m/>
    <m/>
    <m/>
    <m/>
    <m/>
    <x v="8"/>
    <n v="-4"/>
    <n v="1"/>
    <n v="0"/>
  </r>
  <r>
    <m/>
    <x v="5"/>
    <s v="A-493-0078"/>
    <n v="1228"/>
    <s v="Global Online"/>
    <d v="2024-08-12T00:00:00"/>
    <d v="2024-08-16T00:00:00"/>
    <m/>
    <d v="1899-12-30T10:00:00"/>
    <d v="1899-12-30T07:00:00"/>
    <d v="1899-12-30T17:00:00"/>
    <d v="1899-12-30T15:00:00"/>
    <d v="1899-12-30T04:00:00"/>
    <d v="1899-12-30T23:00:00"/>
    <s v="T. White"/>
    <m/>
    <e v="#REF!"/>
    <e v="#REF!"/>
    <m/>
    <m/>
    <m/>
    <n v="45"/>
    <n v="5"/>
    <n v="543"/>
    <n v="41"/>
    <n v="0"/>
    <n v="32"/>
    <n v="0"/>
    <n v="11"/>
    <n v="1"/>
    <n v="0"/>
    <x v="1"/>
    <n v="-4"/>
    <n v="0"/>
    <n v="0"/>
  </r>
  <r>
    <m/>
    <x v="15"/>
    <s v="A-570-0100"/>
    <s v="18B7"/>
    <s v="Global Online"/>
    <d v="2024-08-12T00:00:00"/>
    <d v="2024-08-15T00:00:00"/>
    <m/>
    <d v="1899-12-30T13:00:00"/>
    <d v="1899-12-30T10:00:00"/>
    <d v="1899-12-30T20:00:00"/>
    <d v="1899-12-30T18:00:00"/>
    <d v="1899-12-30T07:00:00"/>
    <d v="1899-12-30T02:00:00"/>
    <s v="BMC Sosaya"/>
    <m/>
    <e v="#REF!"/>
    <e v="#REF!"/>
    <m/>
    <m/>
    <m/>
    <n v="30"/>
    <n v="4"/>
    <n v="459"/>
    <n v="21"/>
    <n v="0"/>
    <n v="14"/>
    <n v="2"/>
    <n v="5"/>
    <n v="0"/>
    <n v="0"/>
    <x v="1"/>
    <n v="-5"/>
    <n v="0"/>
    <n v="0"/>
  </r>
  <r>
    <d v="2024-05-07T00:00:00"/>
    <x v="7"/>
    <s v="A-493-0072"/>
    <s v="713U"/>
    <s v="Pearl Harbor, HI"/>
    <d v="2024-08-12T00:00:00"/>
    <d v="2024-08-15T00:00:00"/>
    <s v="0800"/>
    <m/>
    <m/>
    <m/>
    <m/>
    <m/>
    <m/>
    <s v="W. Mitchell"/>
    <s v="A. Harris"/>
    <m/>
    <m/>
    <m/>
    <m/>
    <m/>
    <n v="30"/>
    <n v="4"/>
    <n v="40"/>
    <n v="15"/>
    <n v="0"/>
    <n v="17"/>
    <n v="0"/>
    <n v="0"/>
    <n v="0"/>
    <n v="0"/>
    <x v="4"/>
    <n v="-5"/>
    <n v="0"/>
    <n v="0"/>
  </r>
  <r>
    <m/>
    <x v="29"/>
    <s v="A-493-2301"/>
    <s v="05ZD"/>
    <s v="Bremerton, WA"/>
    <d v="2024-08-14T00:00:00"/>
    <d v="2024-08-14T00:00:00"/>
    <d v="1899-12-30T08:00:00"/>
    <m/>
    <m/>
    <m/>
    <m/>
    <m/>
    <m/>
    <s v="ENV Contractor"/>
    <m/>
    <e v="#REF!"/>
    <e v="#REF!"/>
    <m/>
    <m/>
    <m/>
    <n v="30"/>
    <n v="1"/>
    <n v="2"/>
    <n v="5"/>
    <n v="0"/>
    <m/>
    <m/>
    <m/>
    <m/>
    <m/>
    <x v="8"/>
    <n v="-6"/>
    <n v="1"/>
    <n v="0"/>
  </r>
  <r>
    <m/>
    <x v="10"/>
    <s v="A-493-0070"/>
    <s v="450V"/>
    <s v="Global Online"/>
    <d v="2024-08-19T00:00:00"/>
    <d v="2024-08-20T00:00:00"/>
    <m/>
    <d v="1899-12-30T06:00:00"/>
    <d v="1899-12-30T03:00:00"/>
    <d v="1899-12-30T13:00:00"/>
    <d v="1899-12-30T11:00:00"/>
    <d v="1899-12-30T00:00:00"/>
    <d v="1899-12-30T19:00:00"/>
    <s v="B. Jung"/>
    <m/>
    <e v="#REF!"/>
    <e v="#REF!"/>
    <m/>
    <m/>
    <m/>
    <n v="30"/>
    <n v="1"/>
    <n v="0"/>
    <n v="6"/>
    <n v="0"/>
    <m/>
    <m/>
    <m/>
    <m/>
    <m/>
    <x v="8"/>
    <n v="0"/>
    <n v="1"/>
    <n v="0"/>
  </r>
  <r>
    <s v="USMC"/>
    <x v="1"/>
    <s v="A-493-0103"/>
    <s v="12JY"/>
    <s v="Camp Pendleton, CA"/>
    <d v="2024-08-19T00:00:00"/>
    <d v="2024-08-23T00:00:00"/>
    <d v="1899-12-30T08:00:00"/>
    <m/>
    <m/>
    <m/>
    <m/>
    <m/>
    <m/>
    <s v="SOH Contractor"/>
    <m/>
    <e v="#REF!"/>
    <e v="#REF!"/>
    <m/>
    <m/>
    <m/>
    <n v="25"/>
    <n v="5"/>
    <n v="42"/>
    <m/>
    <m/>
    <m/>
    <m/>
    <m/>
    <m/>
    <m/>
    <x v="8"/>
    <n v="3"/>
    <n v="1"/>
    <n v="0"/>
  </r>
  <r>
    <m/>
    <x v="1"/>
    <s v="A-493-0103"/>
    <s v="12JY"/>
    <s v="Norfolk, VA Classroom 2"/>
    <d v="2024-08-19T00:00:00"/>
    <d v="2024-08-23T00:00:00"/>
    <d v="1899-12-30T08:00:00"/>
    <m/>
    <m/>
    <m/>
    <m/>
    <m/>
    <m/>
    <s v="SOH Contractor"/>
    <m/>
    <e v="#REF!"/>
    <e v="#REF!"/>
    <m/>
    <m/>
    <m/>
    <n v="25"/>
    <n v="5"/>
    <n v="388"/>
    <n v="25"/>
    <n v="2"/>
    <m/>
    <m/>
    <m/>
    <m/>
    <m/>
    <x v="8"/>
    <n v="3"/>
    <n v="1"/>
    <n v="0"/>
  </r>
  <r>
    <m/>
    <x v="34"/>
    <s v="A-493-0013"/>
    <n v="3683"/>
    <s v="Newport, RI"/>
    <d v="2024-08-19T00:00:00"/>
    <d v="2024-08-21T00:00:00"/>
    <d v="1899-12-30T08:00:00"/>
    <m/>
    <m/>
    <m/>
    <m/>
    <m/>
    <m/>
    <s v="ENV Contractor"/>
    <m/>
    <e v="#REF!"/>
    <e v="#REF!"/>
    <m/>
    <m/>
    <m/>
    <n v="40"/>
    <n v="3"/>
    <n v="5"/>
    <n v="6"/>
    <m/>
    <m/>
    <m/>
    <m/>
    <m/>
    <m/>
    <x v="8"/>
    <n v="1"/>
    <n v="1"/>
    <n v="0"/>
  </r>
  <r>
    <m/>
    <x v="28"/>
    <s v="A-322-2604"/>
    <s v="10ZZ"/>
    <s v="Global Online"/>
    <d v="2024-08-19T00:00:00"/>
    <d v="2024-08-23T00:00:00"/>
    <m/>
    <d v="1899-12-30T13:00:00"/>
    <d v="1899-12-30T10:00:00"/>
    <d v="1899-12-30T20:00:00"/>
    <d v="1899-12-30T18:00:00"/>
    <d v="1899-12-30T07:00:00"/>
    <d v="1899-12-30T02:00:00"/>
    <s v="LS1 Scoggins"/>
    <m/>
    <e v="#REF!"/>
    <e v="#REF!"/>
    <m/>
    <m/>
    <m/>
    <n v="45"/>
    <n v="5"/>
    <n v="653"/>
    <n v="41"/>
    <n v="0"/>
    <m/>
    <m/>
    <m/>
    <m/>
    <m/>
    <x v="8"/>
    <n v="3"/>
    <n v="1"/>
    <n v="0"/>
  </r>
  <r>
    <m/>
    <x v="26"/>
    <s v="A-493-2098"/>
    <s v="09WW"/>
    <s v="Global Online"/>
    <d v="2024-08-19T00:00:00"/>
    <d v="2024-08-23T00:00:00"/>
    <m/>
    <d v="1899-12-30T13:00:00"/>
    <d v="1899-12-30T10:00:00"/>
    <d v="1899-12-30T20:00:00"/>
    <d v="1899-12-30T18:00:00"/>
    <d v="1899-12-30T07:00:00"/>
    <d v="1899-12-30T02:00:00"/>
    <s v="EMC Stroughn"/>
    <m/>
    <e v="#REF!"/>
    <e v="#REF!"/>
    <m/>
    <m/>
    <m/>
    <n v="100"/>
    <n v="5"/>
    <n v="1257"/>
    <m/>
    <m/>
    <m/>
    <m/>
    <m/>
    <m/>
    <m/>
    <x v="8"/>
    <n v="3"/>
    <n v="1"/>
    <n v="0"/>
  </r>
  <r>
    <m/>
    <x v="18"/>
    <s v="F-4J-0023"/>
    <s v="11A2"/>
    <s v="Global Online"/>
    <d v="2024-08-19T00:00:00"/>
    <d v="2024-08-23T00:00:00"/>
    <m/>
    <d v="1899-12-30T13:00:00"/>
    <d v="1899-12-30T10:00:00"/>
    <d v="1899-12-30T20:00:00"/>
    <d v="1899-12-30T18:00:00"/>
    <d v="1899-12-30T07:00:00"/>
    <d v="1899-12-30T02:00:00"/>
    <s v="LCDR Overton"/>
    <s v="LTJG Andrew"/>
    <e v="#REF!"/>
    <e v="#REF!"/>
    <m/>
    <m/>
    <m/>
    <n v="25"/>
    <n v="2"/>
    <n v="45"/>
    <m/>
    <m/>
    <m/>
    <m/>
    <m/>
    <m/>
    <m/>
    <x v="8"/>
    <n v="3"/>
    <n v="1"/>
    <n v="0"/>
  </r>
  <r>
    <s v="USAF special convening do not spread quotas"/>
    <x v="36"/>
    <s v="A-493-2017"/>
    <s v="12x3"/>
    <s v="Norfolk, VA Classroom 1"/>
    <d v="2024-08-19T00:00:00"/>
    <d v="2024-08-23T00:00:00"/>
    <d v="1899-12-30T08:00:00"/>
    <m/>
    <m/>
    <m/>
    <m/>
    <m/>
    <m/>
    <s v="ENV Contractor"/>
    <m/>
    <m/>
    <m/>
    <m/>
    <m/>
    <m/>
    <n v="25"/>
    <n v="2"/>
    <n v="10"/>
    <m/>
    <m/>
    <m/>
    <m/>
    <m/>
    <m/>
    <m/>
    <x v="8"/>
    <n v="3"/>
    <n v="1"/>
    <n v="0"/>
  </r>
  <r>
    <m/>
    <x v="3"/>
    <s v="A-493-0077"/>
    <s v="0381"/>
    <s v="Guam"/>
    <d v="2024-08-20T00:00:00"/>
    <d v="2024-08-22T00:00:00"/>
    <d v="1899-12-30T08:00:00"/>
    <m/>
    <m/>
    <m/>
    <m/>
    <m/>
    <m/>
    <s v="ENV Contractor"/>
    <m/>
    <e v="#REF!"/>
    <e v="#REF!"/>
    <m/>
    <m/>
    <m/>
    <n v="25"/>
    <n v="3"/>
    <n v="15"/>
    <n v="10"/>
    <n v="0"/>
    <m/>
    <m/>
    <m/>
    <m/>
    <m/>
    <x v="8"/>
    <n v="2"/>
    <n v="1"/>
    <n v="0"/>
  </r>
  <r>
    <m/>
    <x v="20"/>
    <s v="A-493-0331"/>
    <s v="10UG"/>
    <s v="Global Online"/>
    <d v="2024-08-20T00:00:00"/>
    <d v="2024-08-22T00:00:00"/>
    <m/>
    <d v="1899-12-30T12:00:00"/>
    <d v="1899-12-30T09:00:00"/>
    <d v="1899-12-30T19:00:00"/>
    <d v="1899-12-30T17:00:00"/>
    <d v="1899-12-30T06:00:00"/>
    <d v="1899-12-30T01:00:00"/>
    <s v="W. Mitchell"/>
    <s v="LTJG Andrew"/>
    <e v="#REF!"/>
    <e v="#REF!"/>
    <m/>
    <m/>
    <m/>
    <n v="40"/>
    <n v="3"/>
    <n v="709"/>
    <n v="40"/>
    <n v="3"/>
    <m/>
    <m/>
    <m/>
    <m/>
    <m/>
    <x v="8"/>
    <n v="2"/>
    <n v="1"/>
    <n v="0"/>
  </r>
  <r>
    <m/>
    <x v="11"/>
    <s v="A-493-0015"/>
    <n v="3879"/>
    <s v="Global Online"/>
    <d v="2024-08-21T00:00:00"/>
    <d v="2024-08-21T00:00:00"/>
    <m/>
    <d v="1899-12-30T06:00:00"/>
    <d v="1899-12-30T03:00:00"/>
    <d v="1899-12-30T13:00:00"/>
    <d v="1899-12-30T11:00:00"/>
    <d v="1899-12-30T00:00:00"/>
    <d v="1899-12-30T19:00:00"/>
    <s v="B. Jung"/>
    <m/>
    <e v="#REF!"/>
    <e v="#REF!"/>
    <m/>
    <m/>
    <m/>
    <n v="30"/>
    <n v="1"/>
    <n v="0"/>
    <m/>
    <m/>
    <m/>
    <m/>
    <m/>
    <m/>
    <m/>
    <x v="8"/>
    <n v="1"/>
    <n v="1"/>
    <n v="0"/>
  </r>
  <r>
    <m/>
    <x v="12"/>
    <s v="A-493-0020"/>
    <n v="3888"/>
    <s v="Global Online"/>
    <d v="2024-08-22T00:00:00"/>
    <d v="2024-08-22T00:00:00"/>
    <m/>
    <d v="1899-12-30T06:00:00"/>
    <d v="1899-12-30T03:00:00"/>
    <d v="1899-12-30T13:00:00"/>
    <d v="1899-12-30T11:00:00"/>
    <d v="1899-12-30T00:00:00"/>
    <d v="1899-12-30T19:00:00"/>
    <s v="B. Jung"/>
    <m/>
    <e v="#REF!"/>
    <e v="#REF!"/>
    <m/>
    <m/>
    <m/>
    <n v="30"/>
    <n v="1"/>
    <n v="0"/>
    <m/>
    <m/>
    <m/>
    <m/>
    <m/>
    <m/>
    <m/>
    <x v="8"/>
    <n v="2"/>
    <n v="1"/>
    <n v="0"/>
  </r>
  <r>
    <s v="HR course"/>
    <x v="13"/>
    <s v="NA"/>
    <s v="NA"/>
    <s v="Norfolk, VA Classroom 1"/>
    <d v="2024-08-22T00:00:00"/>
    <d v="2024-08-22T00:00:00"/>
    <m/>
    <m/>
    <m/>
    <m/>
    <m/>
    <m/>
    <m/>
    <m/>
    <m/>
    <m/>
    <m/>
    <m/>
    <m/>
    <m/>
    <m/>
    <m/>
    <n v="0"/>
    <n v="0"/>
    <n v="0"/>
    <m/>
    <m/>
    <m/>
    <m/>
    <m/>
    <x v="8"/>
    <n v="2"/>
    <n v="1"/>
    <n v="0"/>
  </r>
  <r>
    <m/>
    <x v="8"/>
    <s v="A-493-0083"/>
    <s v="339E"/>
    <s v="Guam"/>
    <d v="2024-08-23T00:00:00"/>
    <d v="2024-08-23T00:00:00"/>
    <d v="1899-12-30T08:00:00"/>
    <m/>
    <m/>
    <m/>
    <m/>
    <m/>
    <m/>
    <s v="ENV Contractor"/>
    <m/>
    <e v="#REF!"/>
    <e v="#REF!"/>
    <m/>
    <m/>
    <m/>
    <n v="30"/>
    <n v="1"/>
    <n v="15"/>
    <n v="18"/>
    <n v="0"/>
    <m/>
    <m/>
    <m/>
    <m/>
    <m/>
    <x v="8"/>
    <n v="3"/>
    <n v="1"/>
    <n v="1"/>
  </r>
  <r>
    <m/>
    <x v="0"/>
    <s v="A-4J-0022"/>
    <s v="09ER"/>
    <s v="Global Online"/>
    <d v="2024-08-26T00:00:00"/>
    <d v="2024-08-30T00:00:00"/>
    <m/>
    <d v="1899-12-30T13:00:00"/>
    <d v="1899-12-30T10:00:00"/>
    <d v="1899-12-30T20:00:00"/>
    <d v="1899-12-30T18:00:00"/>
    <d v="1899-12-30T07:00:00"/>
    <d v="1899-12-30T02:00:00"/>
    <s v="BMC Sosaya"/>
    <m/>
    <e v="#REF!"/>
    <e v="#REF!"/>
    <m/>
    <m/>
    <m/>
    <n v="45"/>
    <n v="5"/>
    <n v="282"/>
    <n v="15"/>
    <n v="0"/>
    <m/>
    <m/>
    <m/>
    <m/>
    <m/>
    <x v="8"/>
    <n v="10"/>
    <n v="1"/>
    <n v="1"/>
  </r>
  <r>
    <m/>
    <x v="31"/>
    <s v="A-493-0665"/>
    <s v="10KW"/>
    <s v="Global Online"/>
    <d v="2024-08-26T00:00:00"/>
    <d v="2024-08-30T00:00:00"/>
    <m/>
    <d v="1899-12-30T13:00:00"/>
    <d v="1899-12-30T10:00:00"/>
    <d v="1899-12-30T20:00:00"/>
    <d v="1899-12-30T18:00:00"/>
    <d v="1899-12-30T07:00:00"/>
    <d v="1899-12-30T02:00:00"/>
    <s v="EMC Stroughn"/>
    <m/>
    <e v="#REF!"/>
    <e v="#REF!"/>
    <m/>
    <m/>
    <m/>
    <n v="45"/>
    <n v="5"/>
    <n v="343"/>
    <n v="28"/>
    <n v="0"/>
    <m/>
    <m/>
    <m/>
    <m/>
    <m/>
    <x v="8"/>
    <n v="10"/>
    <n v="1"/>
    <n v="1"/>
  </r>
  <r>
    <m/>
    <x v="3"/>
    <s v="A-493-0077"/>
    <s v="0381"/>
    <s v="Pearl Harbor, HI"/>
    <d v="2024-08-26T00:00:00"/>
    <d v="2024-08-28T00:00:00"/>
    <d v="1899-12-30T08:00:00"/>
    <m/>
    <m/>
    <m/>
    <m/>
    <m/>
    <m/>
    <s v="ENV Contractor"/>
    <m/>
    <e v="#REF!"/>
    <e v="#REF!"/>
    <m/>
    <m/>
    <m/>
    <n v="25"/>
    <n v="3"/>
    <n v="75"/>
    <n v="25"/>
    <n v="5"/>
    <m/>
    <m/>
    <m/>
    <m/>
    <m/>
    <x v="8"/>
    <n v="8"/>
    <n v="1"/>
    <n v="1"/>
  </r>
  <r>
    <m/>
    <x v="29"/>
    <s v="A-493-2301"/>
    <s v="05ZD"/>
    <s v="Great Lakes, IL"/>
    <d v="2024-08-26T00:00:00"/>
    <d v="2024-08-26T00:00:00"/>
    <d v="1899-12-30T08:00:00"/>
    <m/>
    <m/>
    <m/>
    <m/>
    <m/>
    <m/>
    <s v="ENV Contractor"/>
    <m/>
    <e v="#REF!"/>
    <e v="#REF!"/>
    <m/>
    <m/>
    <m/>
    <n v="30"/>
    <n v="1"/>
    <n v="28"/>
    <n v="13"/>
    <n v="0"/>
    <m/>
    <m/>
    <m/>
    <m/>
    <m/>
    <x v="8"/>
    <n v="6"/>
    <n v="1"/>
    <n v="1"/>
  </r>
  <r>
    <m/>
    <x v="23"/>
    <s v="A-493-0335"/>
    <s v="09ND"/>
    <s v="Global Online"/>
    <d v="2024-08-26T00:00:00"/>
    <d v="2024-08-29T00:00:00"/>
    <m/>
    <d v="1899-12-30T12:00:00"/>
    <d v="1899-12-30T09:00:00"/>
    <d v="1899-12-30T19:00:00"/>
    <d v="1899-12-30T17:00:00"/>
    <d v="1899-12-30T06:00:00"/>
    <d v="1899-12-30T01:00:00"/>
    <s v="J. Houston"/>
    <m/>
    <e v="#REF!"/>
    <e v="#REF!"/>
    <m/>
    <m/>
    <m/>
    <n v="30"/>
    <n v="4"/>
    <n v="499"/>
    <m/>
    <m/>
    <m/>
    <m/>
    <m/>
    <m/>
    <m/>
    <x v="8"/>
    <n v="9"/>
    <n v="1"/>
    <n v="1"/>
  </r>
  <r>
    <m/>
    <x v="4"/>
    <s v="A-493-0550"/>
    <s v="09K5"/>
    <s v="Global Online"/>
    <d v="2024-08-26T00:00:00"/>
    <d v="2024-08-30T00:00:00"/>
    <m/>
    <d v="1899-12-30T07:00:00"/>
    <d v="1899-12-30T04:00:00"/>
    <d v="1899-12-30T14:00:00"/>
    <d v="1899-12-30T12:00:00"/>
    <d v="1899-12-30T01:00:00"/>
    <d v="1899-12-30T20:00:00"/>
    <s v="V. Kentish"/>
    <m/>
    <e v="#REF!"/>
    <e v="#REF!"/>
    <m/>
    <m/>
    <m/>
    <n v="45"/>
    <n v="4"/>
    <n v="51"/>
    <n v="45"/>
    <n v="5"/>
    <m/>
    <m/>
    <m/>
    <m/>
    <m/>
    <x v="8"/>
    <n v="10"/>
    <n v="1"/>
    <n v="1"/>
  </r>
  <r>
    <m/>
    <x v="5"/>
    <s v="A-493-0078"/>
    <n v="1228"/>
    <s v="Global Online"/>
    <d v="2024-08-26T00:00:00"/>
    <d v="2024-08-30T00:00:00"/>
    <m/>
    <d v="1899-12-30T13:00:00"/>
    <d v="1899-12-30T10:00:00"/>
    <d v="1899-12-30T20:00:00"/>
    <d v="1899-12-30T18:00:00"/>
    <d v="1899-12-30T07:00:00"/>
    <d v="1899-12-30T02:00:00"/>
    <s v="T. White"/>
    <m/>
    <e v="#REF!"/>
    <e v="#REF!"/>
    <m/>
    <m/>
    <m/>
    <n v="45"/>
    <n v="5"/>
    <n v="836"/>
    <n v="32"/>
    <n v="0"/>
    <m/>
    <m/>
    <m/>
    <m/>
    <m/>
    <x v="8"/>
    <n v="10"/>
    <n v="1"/>
    <n v="1"/>
  </r>
  <r>
    <m/>
    <x v="7"/>
    <s v="A-493-0072"/>
    <s v="713U"/>
    <s v="Norfolk, VA Classroom 1"/>
    <d v="2024-08-26T00:00:00"/>
    <d v="2024-08-29T00:00:00"/>
    <d v="1899-12-30T08:00:00"/>
    <m/>
    <m/>
    <m/>
    <m/>
    <m/>
    <m/>
    <s v="W. Mitchell"/>
    <s v="LTJG Andrew"/>
    <e v="#REF!"/>
    <e v="#REF!"/>
    <m/>
    <m/>
    <m/>
    <n v="30"/>
    <n v="4"/>
    <n v="235"/>
    <m/>
    <m/>
    <m/>
    <m/>
    <m/>
    <m/>
    <m/>
    <x v="8"/>
    <n v="9"/>
    <n v="1"/>
    <n v="1"/>
  </r>
  <r>
    <m/>
    <x v="16"/>
    <s v="A-493-0099"/>
    <s v="12JW"/>
    <s v="Global Online"/>
    <d v="2024-08-27T00:00:00"/>
    <d v="2024-08-29T00:00:00"/>
    <m/>
    <d v="1899-12-30T08:00:00"/>
    <d v="1899-12-30T05:00:00"/>
    <d v="1899-12-30T15:00:00"/>
    <d v="1899-12-30T13:00:00"/>
    <d v="1899-12-30T02:00:00"/>
    <d v="1899-12-30T21:00:00"/>
    <s v="V. Kentish"/>
    <m/>
    <e v="#REF!"/>
    <e v="#REF!"/>
    <m/>
    <m/>
    <m/>
    <n v="45"/>
    <n v="3"/>
    <n v="431"/>
    <n v="45"/>
    <n v="4"/>
    <m/>
    <m/>
    <m/>
    <m/>
    <m/>
    <x v="8"/>
    <n v="9"/>
    <n v="1"/>
    <n v="1"/>
  </r>
  <r>
    <m/>
    <x v="32"/>
    <s v="A-493-0073"/>
    <s v="714S"/>
    <s v="Global Online"/>
    <d v="2024-08-27T00:00:00"/>
    <d v="2024-08-30T00:00:00"/>
    <m/>
    <d v="1899-12-30T13:00:00"/>
    <d v="1899-12-30T10:00:00"/>
    <d v="1899-12-30T20:00:00"/>
    <d v="1899-12-30T18:00:00"/>
    <d v="1899-12-30T07:00:00"/>
    <d v="1899-12-30T02:00:00"/>
    <s v="SOH Contractor"/>
    <m/>
    <e v="#REF!"/>
    <e v="#REF!"/>
    <m/>
    <m/>
    <m/>
    <n v="30"/>
    <n v="4"/>
    <n v="453"/>
    <n v="19"/>
    <n v="0"/>
    <m/>
    <m/>
    <m/>
    <m/>
    <m/>
    <x v="8"/>
    <n v="10"/>
    <n v="1"/>
    <n v="1"/>
  </r>
  <r>
    <m/>
    <x v="30"/>
    <s v="A-493-2501"/>
    <s v="05ZE"/>
    <s v="Great Lakes, IL"/>
    <d v="2024-08-27T00:00:00"/>
    <d v="2024-08-27T00:00:00"/>
    <d v="1899-12-30T08:00:00"/>
    <m/>
    <m/>
    <m/>
    <m/>
    <m/>
    <m/>
    <s v="ENV Contractor"/>
    <m/>
    <m/>
    <m/>
    <m/>
    <m/>
    <m/>
    <n v="30"/>
    <n v="1"/>
    <n v="23"/>
    <n v="13"/>
    <n v="0"/>
    <m/>
    <m/>
    <m/>
    <m/>
    <m/>
    <x v="8"/>
    <n v="7"/>
    <n v="1"/>
    <n v="1"/>
  </r>
  <r>
    <m/>
    <x v="29"/>
    <s v="A-493-2301"/>
    <s v="05ZD"/>
    <s v="Crane, IN"/>
    <d v="2024-08-28T00:00:00"/>
    <d v="2024-08-28T00:00:00"/>
    <d v="1899-12-30T08:00:00"/>
    <m/>
    <m/>
    <m/>
    <m/>
    <m/>
    <m/>
    <s v="ENV Contractor"/>
    <m/>
    <e v="#REF!"/>
    <e v="#REF!"/>
    <m/>
    <m/>
    <m/>
    <n v="30"/>
    <n v="1"/>
    <n v="7"/>
    <n v="6"/>
    <n v="0"/>
    <m/>
    <m/>
    <m/>
    <m/>
    <m/>
    <x v="8"/>
    <n v="8"/>
    <n v="1"/>
    <n v="1"/>
  </r>
  <r>
    <m/>
    <x v="8"/>
    <s v="A-493-0083"/>
    <s v="339E"/>
    <s v="Pearl Harbor, HI"/>
    <d v="2024-08-29T00:00:00"/>
    <d v="2024-08-29T00:00:00"/>
    <d v="1899-12-30T08:00:00"/>
    <m/>
    <m/>
    <m/>
    <m/>
    <m/>
    <m/>
    <s v="ENV Contractor"/>
    <m/>
    <e v="#REF!"/>
    <e v="#REF!"/>
    <m/>
    <m/>
    <m/>
    <n v="30"/>
    <n v="1"/>
    <n v="66"/>
    <m/>
    <m/>
    <m/>
    <m/>
    <m/>
    <m/>
    <m/>
    <x v="8"/>
    <n v="9"/>
    <n v="1"/>
    <n v="1"/>
  </r>
  <r>
    <m/>
    <x v="30"/>
    <s v="A-493-2501"/>
    <s v="05ZE"/>
    <s v="Port Hueneme, CA"/>
    <d v="2024-08-29T00:00:00"/>
    <d v="2024-08-29T00:00:00"/>
    <d v="1899-12-30T08:00:00"/>
    <m/>
    <m/>
    <m/>
    <m/>
    <m/>
    <m/>
    <s v="ENV Contractor"/>
    <m/>
    <e v="#REF!"/>
    <e v="#REF!"/>
    <m/>
    <m/>
    <m/>
    <n v="30"/>
    <n v="1"/>
    <n v="26"/>
    <m/>
    <m/>
    <m/>
    <m/>
    <m/>
    <m/>
    <m/>
    <x v="8"/>
    <n v="9"/>
    <n v="1"/>
    <n v="1"/>
  </r>
  <r>
    <m/>
    <x v="30"/>
    <s v="A-493-2501"/>
    <s v="05ZE"/>
    <s v="Crane, IN"/>
    <d v="2024-08-29T00:00:00"/>
    <d v="2024-08-29T00:00:00"/>
    <d v="1902-03-10T00:00:00"/>
    <m/>
    <m/>
    <m/>
    <m/>
    <m/>
    <m/>
    <m/>
    <m/>
    <m/>
    <m/>
    <m/>
    <m/>
    <m/>
    <m/>
    <m/>
    <n v="20"/>
    <m/>
    <m/>
    <m/>
    <m/>
    <m/>
    <m/>
    <m/>
    <x v="8"/>
    <n v="9"/>
    <n v="1"/>
    <n v="1"/>
  </r>
  <r>
    <s v="Labor Day"/>
    <x v="9"/>
    <s v="Holiday"/>
    <s v="Holiday"/>
    <m/>
    <d v="2024-09-02T00:00:00"/>
    <d v="2024-09-02T00:00:00"/>
    <d v="1899-12-30T00:00:00"/>
    <d v="1899-12-30T00:00:00"/>
    <d v="1899-12-30T00:00:00"/>
    <d v="1899-12-30T00:00:00"/>
    <d v="1899-12-30T00:00:00"/>
    <d v="1899-12-30T00:00:00"/>
    <d v="1899-12-30T00:00:00"/>
    <m/>
    <m/>
    <e v="#REF!"/>
    <e v="#REF!"/>
    <n v="0"/>
    <n v="0"/>
    <n v="0"/>
    <n v="0"/>
    <n v="0"/>
    <n v="0"/>
    <n v="0"/>
    <n v="0"/>
    <n v="0"/>
    <n v="0"/>
    <n v="0"/>
    <n v="0"/>
    <n v="0"/>
    <x v="5"/>
    <n v="13"/>
    <n v="0"/>
    <n v="1"/>
  </r>
  <r>
    <m/>
    <x v="15"/>
    <s v="A-570-0100"/>
    <s v="18B7"/>
    <s v="Global Online"/>
    <d v="2024-09-03T00:00:00"/>
    <d v="2024-09-06T00:00:00"/>
    <m/>
    <d v="1899-12-30T19:00:00"/>
    <d v="1899-12-30T16:00:00"/>
    <d v="1899-12-30T02:00:00"/>
    <d v="1899-12-30T00:00:00"/>
    <d v="1899-12-30T13:00:00"/>
    <d v="1899-12-30T08:00:00"/>
    <s v="BMC Sosaya"/>
    <m/>
    <e v="#REF!"/>
    <e v="#REF!"/>
    <m/>
    <m/>
    <m/>
    <n v="30"/>
    <n v="4"/>
    <n v="90"/>
    <m/>
    <m/>
    <m/>
    <m/>
    <m/>
    <m/>
    <m/>
    <x v="8"/>
    <n v="17"/>
    <n v="1"/>
    <n v="1"/>
  </r>
  <r>
    <m/>
    <x v="34"/>
    <s v="A-493-0013"/>
    <n v="3683"/>
    <s v="Whidbey Island, WA"/>
    <d v="2024-09-04T00:00:00"/>
    <d v="2024-09-06T00:00:00"/>
    <d v="1899-12-30T08:00:00"/>
    <m/>
    <m/>
    <m/>
    <m/>
    <m/>
    <m/>
    <s v="ENV Contractor"/>
    <m/>
    <e v="#REF!"/>
    <e v="#REF!"/>
    <m/>
    <m/>
    <m/>
    <n v="40"/>
    <n v="3"/>
    <n v="10"/>
    <n v="20"/>
    <n v="0"/>
    <m/>
    <m/>
    <m/>
    <m/>
    <m/>
    <x v="8"/>
    <n v="17"/>
    <n v="1"/>
    <n v="1"/>
  </r>
  <r>
    <m/>
    <x v="24"/>
    <s v="A-493-0092"/>
    <n v="5891"/>
    <s v="Bremerton, WA"/>
    <d v="2024-09-04T00:00:00"/>
    <d v="2024-09-06T00:00:00"/>
    <d v="1899-12-30T08:00:00"/>
    <m/>
    <m/>
    <m/>
    <m/>
    <m/>
    <m/>
    <s v="W. Mitchell"/>
    <s v="A. Harris"/>
    <e v="#REF!"/>
    <e v="#REF!"/>
    <m/>
    <m/>
    <m/>
    <n v="25"/>
    <n v="3"/>
    <n v="19"/>
    <m/>
    <m/>
    <m/>
    <m/>
    <m/>
    <m/>
    <m/>
    <x v="8"/>
    <n v="17"/>
    <n v="1"/>
    <n v="1"/>
  </r>
  <r>
    <s v="SMT Special Convening for USMC"/>
    <x v="34"/>
    <s v="A-493-0013"/>
    <n v="3683"/>
    <s v="Camp Butler, Japan"/>
    <d v="2024-09-05T00:00:00"/>
    <d v="2024-09-06T00:00:00"/>
    <d v="1899-12-30T08:00:00"/>
    <m/>
    <m/>
    <m/>
    <m/>
    <m/>
    <m/>
    <s v="ENV Contractor"/>
    <m/>
    <m/>
    <m/>
    <m/>
    <m/>
    <m/>
    <n v="40"/>
    <n v="2"/>
    <n v="0"/>
    <m/>
    <m/>
    <m/>
    <m/>
    <m/>
    <m/>
    <m/>
    <x v="8"/>
    <n v="17"/>
    <n v="1"/>
    <n v="1"/>
  </r>
  <r>
    <m/>
    <x v="8"/>
    <s v="A-493-0083"/>
    <s v="339E"/>
    <s v="Global Online"/>
    <d v="2024-09-06T00:00:00"/>
    <d v="2024-09-06T00:00:00"/>
    <m/>
    <d v="1899-12-30T08:00:00"/>
    <d v="1899-12-30T05:00:00"/>
    <d v="1899-12-30T15:00:00"/>
    <d v="1899-12-30T13:00:00"/>
    <d v="1899-12-30T02:00:00"/>
    <d v="1899-12-30T21:00:00"/>
    <s v="ENV Contractor"/>
    <m/>
    <e v="#REF!"/>
    <e v="#REF!"/>
    <m/>
    <m/>
    <m/>
    <n v="30"/>
    <n v="1"/>
    <n v="0"/>
    <m/>
    <m/>
    <m/>
    <m/>
    <m/>
    <m/>
    <m/>
    <x v="8"/>
    <n v="17"/>
    <n v="1"/>
    <n v="1"/>
  </r>
  <r>
    <m/>
    <x v="1"/>
    <s v="A-493-0103"/>
    <s v="12JY"/>
    <s v="Norfolk, VA Classroom 1"/>
    <d v="2024-09-09T00:00:00"/>
    <d v="2024-09-13T00:00:00"/>
    <d v="1899-12-30T08:00:00"/>
    <m/>
    <m/>
    <m/>
    <m/>
    <m/>
    <m/>
    <s v="SOH Contractor"/>
    <m/>
    <e v="#REF!"/>
    <e v="#REF!"/>
    <m/>
    <m/>
    <m/>
    <n v="25"/>
    <n v="5"/>
    <n v="388"/>
    <m/>
    <m/>
    <m/>
    <m/>
    <m/>
    <m/>
    <m/>
    <x v="8"/>
    <n v="24"/>
    <n v="1"/>
    <n v="1"/>
  </r>
  <r>
    <m/>
    <x v="1"/>
    <s v="A-493-0103"/>
    <s v="12JY"/>
    <s v="Port Hueneme, CA"/>
    <d v="2024-09-09T00:00:00"/>
    <d v="2024-09-13T00:00:00"/>
    <d v="1899-12-30T08:00:00"/>
    <m/>
    <m/>
    <m/>
    <m/>
    <m/>
    <m/>
    <s v="SOH Contractor"/>
    <m/>
    <e v="#REF!"/>
    <e v="#REF!"/>
    <m/>
    <m/>
    <m/>
    <n v="25"/>
    <n v="5"/>
    <n v="49"/>
    <m/>
    <m/>
    <m/>
    <m/>
    <m/>
    <m/>
    <m/>
    <x v="8"/>
    <n v="24"/>
    <n v="1"/>
    <n v="1"/>
  </r>
  <r>
    <m/>
    <x v="27"/>
    <s v="A-493-0012"/>
    <n v="3682"/>
    <s v="Okinawa, Japan"/>
    <d v="2024-09-09T00:00:00"/>
    <d v="2024-09-13T00:00:00"/>
    <d v="1899-12-30T08:00:00"/>
    <m/>
    <m/>
    <m/>
    <m/>
    <m/>
    <m/>
    <s v="ENV Contractor"/>
    <m/>
    <e v="#REF!"/>
    <e v="#REF!"/>
    <m/>
    <m/>
    <m/>
    <n v="40"/>
    <n v="5"/>
    <n v="0"/>
    <m/>
    <m/>
    <m/>
    <m/>
    <m/>
    <m/>
    <m/>
    <x v="8"/>
    <n v="24"/>
    <n v="1"/>
    <n v="1"/>
  </r>
  <r>
    <m/>
    <x v="27"/>
    <s v="A-493-0012"/>
    <n v="3682"/>
    <s v="Puget Sound Manchester, WA"/>
    <d v="2024-09-09T00:00:00"/>
    <d v="2024-09-13T00:00:00"/>
    <d v="1899-12-30T08:00:00"/>
    <m/>
    <m/>
    <m/>
    <m/>
    <m/>
    <m/>
    <s v="ENV Contractor"/>
    <m/>
    <e v="#REF!"/>
    <e v="#REF!"/>
    <m/>
    <m/>
    <m/>
    <n v="40"/>
    <n v="5"/>
    <n v="0"/>
    <m/>
    <m/>
    <m/>
    <m/>
    <m/>
    <m/>
    <m/>
    <x v="8"/>
    <n v="24"/>
    <n v="1"/>
    <n v="1"/>
  </r>
  <r>
    <m/>
    <x v="22"/>
    <s v="A-493-0061"/>
    <s v="288E"/>
    <s v="Global Online"/>
    <d v="2024-09-09T00:00:00"/>
    <d v="2024-09-13T00:00:00"/>
    <m/>
    <d v="1899-12-30T13:00:00"/>
    <d v="1899-12-30T10:00:00"/>
    <d v="1899-12-30T20:00:00"/>
    <d v="1899-12-30T18:00:00"/>
    <d v="1899-12-30T07:00:00"/>
    <d v="1899-12-30T02:00:00"/>
    <s v="S. Griffin"/>
    <m/>
    <e v="#REF!"/>
    <e v="#REF!"/>
    <m/>
    <m/>
    <m/>
    <n v="45"/>
    <n v="5"/>
    <n v="583"/>
    <m/>
    <m/>
    <m/>
    <m/>
    <m/>
    <m/>
    <m/>
    <x v="8"/>
    <n v="24"/>
    <n v="1"/>
    <n v="1"/>
  </r>
  <r>
    <m/>
    <x v="28"/>
    <s v="A-322-2604"/>
    <s v="10ZZ"/>
    <s v="Global Online"/>
    <d v="2024-09-09T00:00:00"/>
    <d v="2024-09-13T00:00:00"/>
    <m/>
    <d v="1899-12-30T13:00:00"/>
    <d v="1899-12-30T10:00:00"/>
    <d v="1899-12-30T20:00:00"/>
    <d v="1899-12-30T18:00:00"/>
    <d v="1899-12-30T07:00:00"/>
    <d v="1899-12-30T02:00:00"/>
    <s v="LS1 Scoggins"/>
    <m/>
    <e v="#REF!"/>
    <e v="#REF!"/>
    <m/>
    <m/>
    <m/>
    <n v="45"/>
    <n v="5"/>
    <n v="653"/>
    <m/>
    <m/>
    <m/>
    <m/>
    <m/>
    <m/>
    <m/>
    <x v="8"/>
    <n v="24"/>
    <n v="1"/>
    <n v="1"/>
  </r>
  <r>
    <m/>
    <x v="4"/>
    <s v="A-493-0550"/>
    <s v="09K5"/>
    <s v="Global Online"/>
    <d v="2024-09-09T00:00:00"/>
    <d v="2024-09-13T00:00:00"/>
    <m/>
    <d v="1899-12-30T10:00:00"/>
    <d v="1899-12-30T07:00:00"/>
    <d v="1899-12-30T17:00:00"/>
    <d v="1899-12-30T15:00:00"/>
    <d v="1899-12-30T04:00:00"/>
    <d v="1899-12-30T23:00:00"/>
    <s v="V. Kentish"/>
    <m/>
    <e v="#REF!"/>
    <e v="#REF!"/>
    <m/>
    <m/>
    <m/>
    <n v="45"/>
    <n v="4"/>
    <n v="429"/>
    <m/>
    <m/>
    <m/>
    <m/>
    <m/>
    <m/>
    <m/>
    <x v="8"/>
    <n v="24"/>
    <n v="1"/>
    <n v="1"/>
  </r>
  <r>
    <m/>
    <x v="5"/>
    <s v="A-493-0078"/>
    <n v="1228"/>
    <s v="Global Online"/>
    <d v="2024-09-09T00:00:00"/>
    <d v="2024-09-13T00:00:00"/>
    <m/>
    <d v="1899-12-30T08:00:00"/>
    <d v="1899-12-30T05:00:00"/>
    <d v="1899-12-30T15:00:00"/>
    <d v="1899-12-30T13:00:00"/>
    <d v="1899-12-30T02:00:00"/>
    <d v="1899-12-30T21:00:00"/>
    <s v="T. White"/>
    <m/>
    <e v="#REF!"/>
    <e v="#REF!"/>
    <m/>
    <m/>
    <m/>
    <n v="45"/>
    <n v="5"/>
    <n v="600"/>
    <m/>
    <m/>
    <m/>
    <m/>
    <m/>
    <m/>
    <m/>
    <x v="8"/>
    <n v="24"/>
    <n v="1"/>
    <n v="1"/>
  </r>
  <r>
    <m/>
    <x v="7"/>
    <s v="A-493-0072"/>
    <s v="713U"/>
    <s v="Bremerton, WA"/>
    <d v="2024-09-09T00:00:00"/>
    <d v="2024-09-12T00:00:00"/>
    <d v="1899-12-30T08:00:00"/>
    <m/>
    <m/>
    <m/>
    <m/>
    <m/>
    <m/>
    <s v="W. Mitchell"/>
    <s v="LTJG Andrew"/>
    <e v="#REF!"/>
    <e v="#REF!"/>
    <m/>
    <m/>
    <m/>
    <n v="30"/>
    <n v="4"/>
    <n v="21"/>
    <m/>
    <m/>
    <m/>
    <m/>
    <m/>
    <m/>
    <m/>
    <x v="8"/>
    <n v="23"/>
    <n v="1"/>
    <n v="1"/>
  </r>
  <r>
    <m/>
    <x v="7"/>
    <s v="A-493-0072"/>
    <s v="713U"/>
    <s v="Portsmouth, NH"/>
    <d v="2024-09-09T00:00:00"/>
    <d v="2024-09-13T00:00:00"/>
    <d v="1899-12-30T08:00:00"/>
    <m/>
    <m/>
    <m/>
    <m/>
    <m/>
    <m/>
    <s v="A. Harris"/>
    <s v="J. Houston"/>
    <e v="#REF!"/>
    <e v="#REF!"/>
    <m/>
    <m/>
    <m/>
    <n v="30"/>
    <n v="5"/>
    <n v="8"/>
    <m/>
    <m/>
    <m/>
    <m/>
    <m/>
    <m/>
    <m/>
    <x v="8"/>
    <n v="24"/>
    <n v="1"/>
    <n v="1"/>
  </r>
  <r>
    <m/>
    <x v="26"/>
    <s v="A-493-2098"/>
    <s v="09WW"/>
    <s v="Global Online"/>
    <d v="2024-09-09T00:00:00"/>
    <d v="2024-09-13T00:00:00"/>
    <m/>
    <d v="1899-12-30T13:00:00"/>
    <d v="1899-12-30T10:00:00"/>
    <d v="1899-12-30T20:00:00"/>
    <d v="1899-12-30T18:00:00"/>
    <d v="1899-12-30T07:00:00"/>
    <d v="1899-12-30T02:00:00"/>
    <s v="EMC Stroughn"/>
    <m/>
    <e v="#REF!"/>
    <e v="#REF!"/>
    <m/>
    <m/>
    <m/>
    <n v="100"/>
    <n v="5"/>
    <n v="1257"/>
    <m/>
    <m/>
    <m/>
    <m/>
    <m/>
    <m/>
    <m/>
    <x v="8"/>
    <n v="24"/>
    <n v="1"/>
    <n v="1"/>
  </r>
  <r>
    <m/>
    <x v="19"/>
    <s v="A-493-0075 "/>
    <s v="714U"/>
    <s v="Norfolk, VA Classroom 2"/>
    <d v="2024-09-10T00:00:00"/>
    <d v="2024-09-13T00:00:00"/>
    <m/>
    <m/>
    <m/>
    <m/>
    <m/>
    <m/>
    <m/>
    <s v="SOH Contractor"/>
    <m/>
    <m/>
    <m/>
    <m/>
    <m/>
    <m/>
    <m/>
    <m/>
    <n v="81"/>
    <m/>
    <m/>
    <m/>
    <m/>
    <m/>
    <m/>
    <m/>
    <x v="8"/>
    <n v="24"/>
    <n v="1"/>
    <n v="1"/>
  </r>
  <r>
    <m/>
    <x v="29"/>
    <s v="A-493-2301"/>
    <s v="05ZD"/>
    <s v="Colts Neck, NJ"/>
    <d v="2024-09-10T00:00:00"/>
    <d v="2024-09-10T00:00:00"/>
    <d v="1899-12-30T08:00:00"/>
    <m/>
    <m/>
    <m/>
    <m/>
    <m/>
    <m/>
    <s v="ENV Contractor"/>
    <m/>
    <m/>
    <m/>
    <m/>
    <m/>
    <m/>
    <n v="30"/>
    <n v="1"/>
    <n v="10"/>
    <m/>
    <m/>
    <m/>
    <m/>
    <m/>
    <m/>
    <m/>
    <x v="8"/>
    <m/>
    <m/>
    <m/>
  </r>
  <r>
    <m/>
    <x v="30"/>
    <s v="A-493-2501"/>
    <s v="05ZE"/>
    <s v="Colts Neck, NJ"/>
    <d v="2024-09-11T00:00:00"/>
    <d v="2024-09-11T00:00:00"/>
    <d v="1899-12-30T08:00:00"/>
    <m/>
    <m/>
    <m/>
    <m/>
    <m/>
    <m/>
    <s v="ENV Contractor"/>
    <m/>
    <m/>
    <m/>
    <m/>
    <m/>
    <m/>
    <n v="30"/>
    <n v="1"/>
    <n v="19"/>
    <m/>
    <m/>
    <m/>
    <m/>
    <m/>
    <m/>
    <m/>
    <x v="8"/>
    <n v="22"/>
    <n v="1"/>
    <n v="1"/>
  </r>
  <r>
    <m/>
    <x v="8"/>
    <s v="A-493-0083"/>
    <s v="339E"/>
    <s v="Global Online"/>
    <d v="2024-09-12T00:00:00"/>
    <d v="2024-09-12T00:00:00"/>
    <m/>
    <d v="1899-12-30T19:00:00"/>
    <d v="1899-12-30T16:00:00"/>
    <d v="1899-12-30T02:00:00"/>
    <d v="1899-12-30T00:00:00"/>
    <d v="1899-12-30T13:00:00"/>
    <d v="1899-12-30T08:00:00"/>
    <s v="ENV Contractor"/>
    <m/>
    <m/>
    <m/>
    <m/>
    <m/>
    <m/>
    <m/>
    <m/>
    <n v="0"/>
    <m/>
    <m/>
    <m/>
    <m/>
    <m/>
    <m/>
    <m/>
    <x v="8"/>
    <n v="23"/>
    <n v="1"/>
    <n v="1"/>
  </r>
  <r>
    <m/>
    <x v="29"/>
    <s v="A-493-2301"/>
    <s v="05ZD"/>
    <s v="Annapolis, MD"/>
    <d v="2024-09-12T00:00:00"/>
    <d v="2024-09-12T00:00:00"/>
    <d v="1899-12-30T08:00:00"/>
    <m/>
    <m/>
    <m/>
    <m/>
    <m/>
    <m/>
    <s v="ENV Contractor"/>
    <m/>
    <e v="#REF!"/>
    <e v="#REF!"/>
    <m/>
    <m/>
    <m/>
    <n v="30"/>
    <n v="1"/>
    <n v="8"/>
    <m/>
    <m/>
    <m/>
    <m/>
    <m/>
    <m/>
    <m/>
    <x v="8"/>
    <n v="23"/>
    <n v="1"/>
    <n v="1"/>
  </r>
  <r>
    <m/>
    <x v="30"/>
    <s v="A-493-2501"/>
    <s v="05ZE"/>
    <s v="Camp Lejeune, NC"/>
    <d v="2024-09-12T00:00:00"/>
    <d v="2024-09-12T00:00:00"/>
    <d v="1899-12-30T08:00:00"/>
    <m/>
    <m/>
    <m/>
    <m/>
    <m/>
    <m/>
    <s v="ENV Contractor"/>
    <m/>
    <m/>
    <m/>
    <m/>
    <m/>
    <m/>
    <n v="30"/>
    <n v="1"/>
    <n v="46"/>
    <m/>
    <m/>
    <m/>
    <m/>
    <m/>
    <m/>
    <m/>
    <x v="8"/>
    <n v="23"/>
    <n v="1"/>
    <n v="1"/>
  </r>
  <r>
    <m/>
    <x v="30"/>
    <s v="A-493-2501"/>
    <s v="05ZE"/>
    <s v="Miramar, CA"/>
    <d v="2024-09-12T00:00:00"/>
    <d v="2024-09-12T00:00:00"/>
    <d v="1899-12-30T08:00:00"/>
    <m/>
    <m/>
    <m/>
    <m/>
    <m/>
    <m/>
    <s v="ENV Contractor"/>
    <m/>
    <m/>
    <m/>
    <m/>
    <m/>
    <m/>
    <n v="30"/>
    <n v="1"/>
    <n v="0"/>
    <m/>
    <m/>
    <m/>
    <m/>
    <m/>
    <m/>
    <m/>
    <x v="8"/>
    <n v="23"/>
    <n v="1"/>
    <n v="1"/>
  </r>
  <r>
    <m/>
    <x v="30"/>
    <s v="A-493-2501"/>
    <s v="05ZE"/>
    <s v="Annapolis, MD"/>
    <d v="2024-09-13T00:00:00"/>
    <d v="2024-09-13T00:00:00"/>
    <d v="1899-12-30T08:00:00"/>
    <m/>
    <m/>
    <m/>
    <m/>
    <m/>
    <m/>
    <s v="ENV Contractor"/>
    <m/>
    <e v="#REF!"/>
    <e v="#REF!"/>
    <m/>
    <m/>
    <m/>
    <n v="30"/>
    <n v="1"/>
    <n v="2"/>
    <m/>
    <m/>
    <m/>
    <m/>
    <m/>
    <m/>
    <m/>
    <x v="8"/>
    <n v="24"/>
    <n v="1"/>
    <n v="1"/>
  </r>
  <r>
    <m/>
    <x v="30"/>
    <s v="A-493-2501"/>
    <s v="05ZE"/>
    <s v="Coronado, CA"/>
    <d v="2024-09-13T00:00:00"/>
    <d v="2024-09-13T00:00:00"/>
    <d v="1899-12-30T08:00:00"/>
    <m/>
    <m/>
    <m/>
    <m/>
    <m/>
    <m/>
    <s v="ENV Contractor"/>
    <m/>
    <e v="#REF!"/>
    <e v="#REF!"/>
    <m/>
    <m/>
    <m/>
    <n v="30"/>
    <n v="1"/>
    <n v="26"/>
    <m/>
    <m/>
    <m/>
    <m/>
    <m/>
    <m/>
    <m/>
    <x v="8"/>
    <n v="24"/>
    <n v="1"/>
    <n v="1"/>
  </r>
  <r>
    <s v="Pilot-Do not Spread Quotas"/>
    <x v="7"/>
    <s v="A-493-0072"/>
    <s v="713U"/>
    <s v="Norfolk, VA Classroom 1"/>
    <d v="2024-09-16T00:00:00"/>
    <d v="2024-09-20T00:00:00"/>
    <d v="1902-03-10T08:00:00"/>
    <m/>
    <m/>
    <m/>
    <m/>
    <m/>
    <m/>
    <s v="A. Harris"/>
    <s v="CDR Schaal"/>
    <m/>
    <m/>
    <m/>
    <m/>
    <m/>
    <n v="30"/>
    <n v="5"/>
    <n v="235"/>
    <m/>
    <m/>
    <m/>
    <m/>
    <m/>
    <m/>
    <m/>
    <x v="8"/>
    <n v="31"/>
    <n v="1"/>
    <n v="1"/>
  </r>
  <r>
    <m/>
    <x v="1"/>
    <s v="A-493-0103"/>
    <s v="12JY"/>
    <s v="Coronado, CA"/>
    <d v="2024-09-16T00:00:00"/>
    <d v="2024-09-20T00:00:00"/>
    <d v="1899-12-30T08:00:00"/>
    <m/>
    <m/>
    <m/>
    <m/>
    <m/>
    <m/>
    <s v="SOH Contractor"/>
    <m/>
    <e v="#REF!"/>
    <e v="#REF!"/>
    <m/>
    <m/>
    <m/>
    <n v="25"/>
    <n v="5"/>
    <n v="152"/>
    <m/>
    <m/>
    <m/>
    <m/>
    <m/>
    <m/>
    <m/>
    <x v="8"/>
    <n v="31"/>
    <n v="1"/>
    <n v="1"/>
  </r>
  <r>
    <m/>
    <x v="2"/>
    <s v="A-493-0030"/>
    <s v="286X"/>
    <s v="Crane, IN"/>
    <d v="2024-09-16T00:00:00"/>
    <d v="2024-09-20T00:00:00"/>
    <d v="1899-12-30T08:00:00"/>
    <m/>
    <m/>
    <m/>
    <m/>
    <m/>
    <m/>
    <s v="IH Contractor"/>
    <m/>
    <e v="#REF!"/>
    <e v="#REF!"/>
    <m/>
    <m/>
    <m/>
    <n v="25"/>
    <n v="5"/>
    <n v="17"/>
    <m/>
    <m/>
    <m/>
    <m/>
    <m/>
    <m/>
    <m/>
    <x v="8"/>
    <n v="31"/>
    <n v="1"/>
    <n v="1"/>
  </r>
  <r>
    <s v="Special for USMC"/>
    <x v="27"/>
    <s v="A-493-0012"/>
    <n v="3682"/>
    <s v="Marine Corps Base Hawaii"/>
    <d v="2024-09-16T00:00:00"/>
    <d v="2024-09-20T00:00:00"/>
    <d v="1899-12-30T08:00:00"/>
    <m/>
    <m/>
    <m/>
    <m/>
    <m/>
    <m/>
    <s v="ENV Contractor"/>
    <m/>
    <m/>
    <m/>
    <m/>
    <m/>
    <m/>
    <n v="40"/>
    <n v="5"/>
    <n v="0"/>
    <m/>
    <m/>
    <m/>
    <m/>
    <m/>
    <m/>
    <m/>
    <x v="8"/>
    <n v="31"/>
    <n v="1"/>
    <n v="1"/>
  </r>
  <r>
    <m/>
    <x v="29"/>
    <s v="A-493-2301"/>
    <s v="05ZD"/>
    <s v="Pax River, MD"/>
    <d v="2024-09-16T00:00:00"/>
    <d v="2024-09-16T00:00:00"/>
    <d v="1899-12-30T08:00:00"/>
    <m/>
    <m/>
    <m/>
    <m/>
    <m/>
    <m/>
    <s v="ENV Contractor"/>
    <m/>
    <e v="#REF!"/>
    <e v="#REF!"/>
    <m/>
    <m/>
    <m/>
    <n v="30"/>
    <n v="1"/>
    <n v="19"/>
    <m/>
    <m/>
    <m/>
    <m/>
    <m/>
    <m/>
    <m/>
    <x v="8"/>
    <n v="27"/>
    <n v="1"/>
    <n v="1"/>
  </r>
  <r>
    <s v="All Hands @0900"/>
    <x v="25"/>
    <s v="NA"/>
    <s v="NA"/>
    <s v="Norfolk, VA Classroom 1"/>
    <d v="2024-09-16T00:00:00"/>
    <d v="2024-09-16T00:00:00"/>
    <d v="1899-12-30T09:00:00"/>
    <m/>
    <m/>
    <m/>
    <m/>
    <m/>
    <m/>
    <m/>
    <m/>
    <e v="#REF!"/>
    <e v="#REF!"/>
    <n v="0"/>
    <n v="0"/>
    <n v="0"/>
    <n v="0"/>
    <n v="0"/>
    <n v="0"/>
    <n v="0"/>
    <n v="0"/>
    <n v="0"/>
    <n v="0"/>
    <n v="0"/>
    <n v="0"/>
    <n v="0"/>
    <x v="5"/>
    <n v="27"/>
    <n v="0"/>
    <n v="1"/>
  </r>
  <r>
    <m/>
    <x v="15"/>
    <s v="A-570-0100"/>
    <s v="18B7"/>
    <s v="Global Online"/>
    <d v="2024-09-16T00:00:00"/>
    <d v="2024-09-19T00:00:00"/>
    <m/>
    <d v="1899-12-30T13:00:00"/>
    <d v="1899-12-30T10:00:00"/>
    <d v="1899-12-30T20:00:00"/>
    <d v="1899-12-30T18:00:00"/>
    <d v="1899-12-30T07:00:00"/>
    <d v="1899-12-30T02:00:00"/>
    <s v="BMC Sosaya"/>
    <m/>
    <e v="#REF!"/>
    <e v="#REF!"/>
    <m/>
    <m/>
    <m/>
    <n v="30"/>
    <n v="4"/>
    <n v="459"/>
    <m/>
    <m/>
    <m/>
    <m/>
    <m/>
    <m/>
    <m/>
    <x v="8"/>
    <n v="30"/>
    <n v="1"/>
    <n v="1"/>
  </r>
  <r>
    <s v="Pilot"/>
    <x v="37"/>
    <s v="A-4J-0019"/>
    <s v="28SL/285M"/>
    <s v="Norfolk, VA Naval Safety Command"/>
    <d v="2024-09-16T00:00:00"/>
    <d v="2024-09-20T00:00:00"/>
    <d v="1899-12-30T08:00:00"/>
    <m/>
    <m/>
    <m/>
    <m/>
    <m/>
    <m/>
    <s v="Jonathan Willson"/>
    <s v="M. Bailey"/>
    <m/>
    <m/>
    <m/>
    <m/>
    <m/>
    <m/>
    <m/>
    <n v="0"/>
    <m/>
    <m/>
    <m/>
    <m/>
    <m/>
    <m/>
    <m/>
    <x v="8"/>
    <n v="31"/>
    <n v="1"/>
    <n v="1"/>
  </r>
  <r>
    <s v="USMC Special"/>
    <x v="7"/>
    <s v="A-493-0072"/>
    <s v="713U"/>
    <s v="Parris Island, SC"/>
    <d v="2024-09-17T00:00:00"/>
    <d v="2024-09-20T00:00:00"/>
    <s v="0800"/>
    <m/>
    <m/>
    <m/>
    <m/>
    <m/>
    <m/>
    <s v="J. Houston"/>
    <s v="LT. Bozenski"/>
    <m/>
    <m/>
    <m/>
    <m/>
    <m/>
    <n v="30"/>
    <n v="4"/>
    <n v="0"/>
    <m/>
    <m/>
    <m/>
    <m/>
    <m/>
    <m/>
    <m/>
    <x v="8"/>
    <n v="31"/>
    <n v="1"/>
    <n v="1"/>
  </r>
  <r>
    <m/>
    <x v="19"/>
    <s v="A-493-0075 "/>
    <s v="714U"/>
    <s v="San Diego, CA"/>
    <d v="2024-09-17T00:00:00"/>
    <d v="2024-09-20T00:00:00"/>
    <d v="1899-12-30T08:00:00"/>
    <m/>
    <m/>
    <m/>
    <m/>
    <m/>
    <m/>
    <s v="SOH Contractor"/>
    <m/>
    <e v="#REF!"/>
    <e v="#REF!"/>
    <m/>
    <m/>
    <m/>
    <n v="30"/>
    <n v="4"/>
    <n v="101"/>
    <m/>
    <m/>
    <m/>
    <m/>
    <m/>
    <m/>
    <m/>
    <x v="8"/>
    <n v="31"/>
    <n v="1"/>
    <n v="1"/>
  </r>
  <r>
    <m/>
    <x v="20"/>
    <s v="A-493-0331"/>
    <s v="10UG"/>
    <s v="Global Online"/>
    <d v="2024-09-17T00:00:00"/>
    <d v="2024-09-19T00:00:00"/>
    <m/>
    <d v="1899-12-30T12:00:00"/>
    <d v="1899-12-30T09:00:00"/>
    <d v="1899-12-30T19:00:00"/>
    <d v="1899-12-30T17:00:00"/>
    <d v="1899-12-30T06:00:00"/>
    <d v="1899-12-30T01:00:00"/>
    <s v="W. Mitchell"/>
    <m/>
    <e v="#REF!"/>
    <e v="#REF!"/>
    <m/>
    <m/>
    <m/>
    <n v="40"/>
    <n v="3"/>
    <n v="709"/>
    <m/>
    <m/>
    <m/>
    <m/>
    <m/>
    <m/>
    <m/>
    <x v="8"/>
    <n v="30"/>
    <n v="1"/>
    <n v="1"/>
  </r>
  <r>
    <m/>
    <x v="30"/>
    <s v="A-493-2501"/>
    <s v="05ZE"/>
    <s v="Pax River, MD"/>
    <d v="2024-09-17T00:00:00"/>
    <d v="2024-09-17T00:00:00"/>
    <d v="1899-12-30T08:00:00"/>
    <m/>
    <m/>
    <m/>
    <m/>
    <m/>
    <m/>
    <s v="ENV Contractor"/>
    <m/>
    <e v="#REF!"/>
    <e v="#REF!"/>
    <m/>
    <m/>
    <m/>
    <n v="30"/>
    <n v="1"/>
    <n v="0"/>
    <m/>
    <m/>
    <m/>
    <m/>
    <m/>
    <m/>
    <m/>
    <x v="8"/>
    <n v="28"/>
    <n v="1"/>
    <n v="1"/>
  </r>
  <r>
    <s v="Barking Sands"/>
    <x v="34"/>
    <s v="A-493-0013"/>
    <n v="3683"/>
    <s v="Pearl Harbor, HI"/>
    <d v="2024-09-18T00:00:00"/>
    <d v="2024-09-20T00:00:00"/>
    <d v="1899-12-30T08:00:00"/>
    <m/>
    <m/>
    <m/>
    <m/>
    <m/>
    <m/>
    <s v="ENV Contractor"/>
    <m/>
    <e v="#REF!"/>
    <e v="#REF!"/>
    <m/>
    <m/>
    <m/>
    <n v="40"/>
    <n v="3"/>
    <n v="21"/>
    <m/>
    <m/>
    <m/>
    <m/>
    <m/>
    <m/>
    <m/>
    <x v="8"/>
    <n v="31"/>
    <n v="1"/>
    <n v="1"/>
  </r>
  <r>
    <m/>
    <x v="29"/>
    <s v="A-493-2301"/>
    <s v="05ZD"/>
    <s v="Indian Head, MD"/>
    <d v="2024-09-18T00:00:00"/>
    <d v="2024-09-18T00:00:00"/>
    <d v="1899-12-30T08:00:00"/>
    <m/>
    <m/>
    <m/>
    <m/>
    <m/>
    <m/>
    <s v="ENV Contractor"/>
    <m/>
    <e v="#REF!"/>
    <e v="#REF!"/>
    <m/>
    <m/>
    <m/>
    <n v="30"/>
    <n v="1"/>
    <n v="10"/>
    <m/>
    <m/>
    <m/>
    <m/>
    <m/>
    <m/>
    <m/>
    <x v="8"/>
    <n v="29"/>
    <n v="1"/>
    <n v="1"/>
  </r>
  <r>
    <m/>
    <x v="8"/>
    <s v="A-493-0083"/>
    <s v="339E"/>
    <s v="Global Online"/>
    <d v="2024-09-19T00:00:00"/>
    <d v="2024-09-19T00:00:00"/>
    <m/>
    <d v="1899-12-30T11:00:00"/>
    <d v="1899-12-30T08:00:00"/>
    <d v="1899-12-30T18:00:00"/>
    <d v="1899-12-30T16:00:00"/>
    <d v="1899-12-30T05:00:00"/>
    <d v="1899-12-30T00:00:00"/>
    <s v="ENV Contractor"/>
    <m/>
    <m/>
    <m/>
    <m/>
    <m/>
    <m/>
    <m/>
    <m/>
    <n v="0"/>
    <m/>
    <m/>
    <m/>
    <m/>
    <m/>
    <m/>
    <m/>
    <x v="8"/>
    <n v="30"/>
    <n v="1"/>
    <n v="1"/>
  </r>
  <r>
    <m/>
    <x v="30"/>
    <s v="A-493-2501"/>
    <s v="05ZE"/>
    <s v="Indian Head, MD"/>
    <d v="2024-09-19T00:00:00"/>
    <d v="2024-09-19T00:00:00"/>
    <d v="1899-12-30T08:00:00"/>
    <m/>
    <m/>
    <m/>
    <m/>
    <m/>
    <m/>
    <s v="ENV Contractor"/>
    <m/>
    <m/>
    <m/>
    <m/>
    <m/>
    <m/>
    <n v="30"/>
    <n v="1"/>
    <n v="20"/>
    <m/>
    <m/>
    <m/>
    <m/>
    <m/>
    <m/>
    <m/>
    <x v="8"/>
    <n v="30"/>
    <n v="1"/>
    <n v="1"/>
  </r>
  <r>
    <s v="Pilot-Do not Spread Quotas"/>
    <x v="7"/>
    <s v="A-493-0072"/>
    <s v="713U"/>
    <s v="Norfolk, VA Classroom 1"/>
    <d v="2024-09-23T00:00:00"/>
    <d v="2024-09-27T00:00:00"/>
    <d v="1902-03-10T00:00:00"/>
    <m/>
    <m/>
    <m/>
    <m/>
    <m/>
    <m/>
    <s v="A. Harris"/>
    <s v="CDR Schaal"/>
    <m/>
    <m/>
    <m/>
    <m/>
    <m/>
    <m/>
    <n v="5"/>
    <n v="235"/>
    <m/>
    <m/>
    <m/>
    <m/>
    <m/>
    <m/>
    <m/>
    <x v="8"/>
    <n v="38"/>
    <n v="1"/>
    <n v="1"/>
  </r>
  <r>
    <m/>
    <x v="0"/>
    <s v="A-4J-0022"/>
    <s v="09ER"/>
    <s v="Global Online"/>
    <d v="2024-09-23T00:00:00"/>
    <d v="2024-09-27T00:00:00"/>
    <m/>
    <d v="1899-12-30T13:00:00"/>
    <d v="1899-12-30T10:00:00"/>
    <d v="1899-12-30T20:00:00"/>
    <d v="1899-12-30T18:00:00"/>
    <d v="1899-12-30T07:00:00"/>
    <d v="1899-12-30T02:00:00"/>
    <s v="BMC Sosaya"/>
    <m/>
    <e v="#REF!"/>
    <e v="#REF!"/>
    <m/>
    <m/>
    <m/>
    <n v="45"/>
    <n v="5"/>
    <n v="282"/>
    <m/>
    <m/>
    <m/>
    <m/>
    <m/>
    <m/>
    <m/>
    <x v="8"/>
    <n v="38"/>
    <n v="1"/>
    <n v="1"/>
  </r>
  <r>
    <m/>
    <x v="1"/>
    <s v="A-493-0103"/>
    <s v="12JY"/>
    <s v="Norfolk, VA Classroom 2"/>
    <d v="2024-09-23T00:00:00"/>
    <d v="2024-09-27T00:00:00"/>
    <d v="1899-12-30T08:00:00"/>
    <m/>
    <m/>
    <m/>
    <m/>
    <m/>
    <m/>
    <s v="SOH Contractor"/>
    <m/>
    <e v="#REF!"/>
    <e v="#REF!"/>
    <m/>
    <m/>
    <m/>
    <n v="25"/>
    <n v="5"/>
    <n v="388"/>
    <m/>
    <m/>
    <m/>
    <m/>
    <m/>
    <m/>
    <m/>
    <x v="8"/>
    <n v="38"/>
    <n v="1"/>
    <n v="1"/>
  </r>
  <r>
    <m/>
    <x v="38"/>
    <s v="A-493-0021"/>
    <s v="18BN"/>
    <s v="Norfolk, VA Classroom 1"/>
    <d v="2024-09-23T00:00:00"/>
    <d v="2024-09-27T00:00:00"/>
    <d v="1899-12-30T08:00:00"/>
    <m/>
    <m/>
    <m/>
    <m/>
    <m/>
    <m/>
    <s v="SOH Contractor"/>
    <m/>
    <m/>
    <m/>
    <m/>
    <m/>
    <m/>
    <n v="35"/>
    <n v="5"/>
    <n v="48"/>
    <m/>
    <m/>
    <m/>
    <m/>
    <m/>
    <m/>
    <m/>
    <x v="8"/>
    <n v="38"/>
    <n v="1"/>
    <n v="1"/>
  </r>
  <r>
    <m/>
    <x v="22"/>
    <s v="A-493-0061"/>
    <s v="288E"/>
    <s v="Global Online"/>
    <d v="2024-09-23T00:00:00"/>
    <d v="2024-09-27T00:00:00"/>
    <m/>
    <d v="1899-12-30T08:00:00"/>
    <d v="1899-12-30T05:00:00"/>
    <d v="1899-12-30T15:00:00"/>
    <d v="1899-12-30T13:00:00"/>
    <d v="1899-12-30T02:00:00"/>
    <d v="1899-12-30T21:00:00"/>
    <s v="S. Griffin"/>
    <m/>
    <e v="#REF!"/>
    <e v="#REF!"/>
    <m/>
    <m/>
    <m/>
    <n v="45"/>
    <n v="5"/>
    <n v="480"/>
    <m/>
    <m/>
    <m/>
    <m/>
    <m/>
    <m/>
    <m/>
    <x v="8"/>
    <n v="38"/>
    <n v="1"/>
    <n v="1"/>
  </r>
  <r>
    <m/>
    <x v="28"/>
    <s v="A-322-2604"/>
    <s v="10ZZ"/>
    <s v="Global Online"/>
    <d v="2024-09-23T00:00:00"/>
    <d v="2024-09-27T00:00:00"/>
    <m/>
    <d v="1899-12-30T13:00:00"/>
    <d v="1899-12-30T10:00:00"/>
    <d v="1899-12-30T20:00:00"/>
    <d v="1899-12-30T18:00:00"/>
    <d v="1899-12-30T07:00:00"/>
    <d v="1899-12-30T02:00:00"/>
    <s v="LS1 Scoggins"/>
    <m/>
    <e v="#REF!"/>
    <e v="#REF!"/>
    <m/>
    <m/>
    <m/>
    <n v="45"/>
    <n v="5"/>
    <n v="653"/>
    <m/>
    <m/>
    <m/>
    <m/>
    <m/>
    <m/>
    <m/>
    <x v="8"/>
    <n v="38"/>
    <n v="1"/>
    <n v="1"/>
  </r>
  <r>
    <m/>
    <x v="29"/>
    <s v="A-493-2301"/>
    <s v="05ZD"/>
    <s v="Newport, RI"/>
    <d v="2024-09-23T00:00:00"/>
    <d v="2024-09-23T00:00:00"/>
    <d v="1899-12-30T08:00:00"/>
    <m/>
    <m/>
    <m/>
    <m/>
    <m/>
    <m/>
    <s v="ENV Contractor"/>
    <m/>
    <e v="#REF!"/>
    <e v="#REF!"/>
    <m/>
    <m/>
    <m/>
    <n v="30"/>
    <n v="1"/>
    <n v="11"/>
    <m/>
    <m/>
    <m/>
    <m/>
    <m/>
    <m/>
    <m/>
    <x v="8"/>
    <n v="34"/>
    <n v="1"/>
    <n v="1"/>
  </r>
  <r>
    <m/>
    <x v="23"/>
    <s v="A-493-0335"/>
    <s v="09ND"/>
    <s v="Global Online"/>
    <d v="2024-09-23T00:00:00"/>
    <d v="2024-09-26T00:00:00"/>
    <m/>
    <d v="1899-12-30T18:00:00"/>
    <d v="1899-12-30T15:00:00"/>
    <d v="1899-12-30T01:00:00"/>
    <d v="1899-12-30T23:00:00"/>
    <d v="1899-12-30T12:00:00"/>
    <d v="1899-12-30T07:00:00"/>
    <s v="W. Mitchell"/>
    <m/>
    <e v="#REF!"/>
    <e v="#REF!"/>
    <m/>
    <m/>
    <m/>
    <n v="30"/>
    <n v="4"/>
    <n v="77"/>
    <m/>
    <m/>
    <m/>
    <m/>
    <m/>
    <m/>
    <m/>
    <x v="8"/>
    <n v="37"/>
    <n v="1"/>
    <n v="1"/>
  </r>
  <r>
    <m/>
    <x v="4"/>
    <s v="A-493-0550"/>
    <s v="09K5"/>
    <s v="Global Online"/>
    <d v="2024-09-23T00:00:00"/>
    <d v="2024-09-27T00:00:00"/>
    <m/>
    <d v="1899-12-30T08:00:00"/>
    <d v="1899-12-30T05:00:00"/>
    <d v="1899-12-30T15:00:00"/>
    <d v="1899-12-30T13:00:00"/>
    <d v="1899-12-30T02:00:00"/>
    <d v="1899-12-30T21:00:00"/>
    <s v="V. Kentish"/>
    <m/>
    <e v="#REF!"/>
    <e v="#REF!"/>
    <m/>
    <m/>
    <m/>
    <n v="45"/>
    <n v="4"/>
    <n v="480"/>
    <m/>
    <m/>
    <m/>
    <m/>
    <m/>
    <m/>
    <m/>
    <x v="8"/>
    <n v="38"/>
    <n v="1"/>
    <n v="1"/>
  </r>
  <r>
    <m/>
    <x v="5"/>
    <s v="A-493-0078"/>
    <n v="1228"/>
    <s v="Global Online"/>
    <d v="2024-09-23T00:00:00"/>
    <d v="2024-09-27T00:00:00"/>
    <m/>
    <d v="1899-12-30T08:00:00"/>
    <d v="1899-12-30T05:00:00"/>
    <d v="1899-12-30T15:00:00"/>
    <d v="1899-12-30T13:00:00"/>
    <d v="1899-12-30T02:00:00"/>
    <d v="1899-12-30T21:00:00"/>
    <s v="T. White"/>
    <m/>
    <e v="#REF!"/>
    <e v="#REF!"/>
    <m/>
    <m/>
    <m/>
    <n v="45"/>
    <n v="5"/>
    <n v="600"/>
    <m/>
    <m/>
    <m/>
    <m/>
    <m/>
    <m/>
    <m/>
    <x v="8"/>
    <n v="38"/>
    <n v="1"/>
    <n v="1"/>
  </r>
  <r>
    <m/>
    <x v="26"/>
    <s v="A-493-2098"/>
    <s v="09WW"/>
    <s v="Global Online"/>
    <d v="2024-09-23T00:00:00"/>
    <d v="2024-09-27T00:00:00"/>
    <m/>
    <d v="1899-12-30T13:00:00"/>
    <d v="1899-12-30T10:00:00"/>
    <d v="1899-12-30T20:00:00"/>
    <d v="1899-12-30T18:00:00"/>
    <d v="1899-12-30T07:00:00"/>
    <d v="1899-12-30T02:00:00"/>
    <s v="EMC Stroughn"/>
    <m/>
    <e v="#REF!"/>
    <e v="#REF!"/>
    <m/>
    <m/>
    <m/>
    <n v="100"/>
    <n v="5"/>
    <n v="1257"/>
    <m/>
    <m/>
    <m/>
    <m/>
    <m/>
    <m/>
    <m/>
    <x v="8"/>
    <n v="38"/>
    <n v="1"/>
    <n v="1"/>
  </r>
  <r>
    <s v="SMT Special Convening for USMC"/>
    <x v="34"/>
    <s v="A-493-0013"/>
    <n v="3683"/>
    <s v="Camp Pendleton, CA"/>
    <d v="2024-09-24T00:00:00"/>
    <d v="2024-09-25T00:00:00"/>
    <d v="1899-12-30T08:00:00"/>
    <m/>
    <m/>
    <m/>
    <m/>
    <m/>
    <m/>
    <s v="ENV Contractor"/>
    <m/>
    <m/>
    <m/>
    <m/>
    <m/>
    <m/>
    <n v="40"/>
    <n v="2"/>
    <n v="0"/>
    <m/>
    <m/>
    <m/>
    <m/>
    <m/>
    <m/>
    <m/>
    <x v="8"/>
    <n v="36"/>
    <n v="1"/>
    <n v="1"/>
  </r>
  <r>
    <m/>
    <x v="32"/>
    <s v="A-493-0073"/>
    <s v="714S"/>
    <s v="Global Online"/>
    <d v="2024-09-24T00:00:00"/>
    <d v="2024-09-27T00:00:00"/>
    <m/>
    <d v="1899-12-30T08:00:00"/>
    <d v="1899-12-30T05:00:00"/>
    <d v="1899-12-30T15:00:00"/>
    <d v="1899-12-30T13:00:00"/>
    <d v="1899-12-30T02:00:00"/>
    <d v="1899-12-30T21:00:00"/>
    <s v="SOH Contractor"/>
    <m/>
    <e v="#REF!"/>
    <e v="#REF!"/>
    <m/>
    <m/>
    <m/>
    <n v="30"/>
    <n v="4"/>
    <n v="361"/>
    <m/>
    <m/>
    <m/>
    <m/>
    <m/>
    <m/>
    <m/>
    <x v="8"/>
    <n v="38"/>
    <n v="1"/>
    <n v="1"/>
  </r>
  <r>
    <m/>
    <x v="30"/>
    <s v="A-493-2501"/>
    <s v="05ZE"/>
    <s v="Newport, RI"/>
    <d v="2024-09-24T00:00:00"/>
    <d v="2024-09-24T00:00:00"/>
    <d v="1899-12-30T08:00:00"/>
    <m/>
    <m/>
    <m/>
    <m/>
    <m/>
    <m/>
    <s v="ENV Contractor"/>
    <m/>
    <m/>
    <m/>
    <m/>
    <m/>
    <m/>
    <n v="30"/>
    <n v="1"/>
    <n v="23"/>
    <m/>
    <m/>
    <m/>
    <m/>
    <m/>
    <m/>
    <m/>
    <x v="8"/>
    <n v="35"/>
    <n v="1"/>
    <n v="1"/>
  </r>
  <r>
    <m/>
    <x v="29"/>
    <s v="A-493-2301"/>
    <s v="05ZD"/>
    <s v="Pearl Harbor, HI"/>
    <d v="2024-09-25T00:00:00"/>
    <d v="2024-09-25T00:00:00"/>
    <d v="1899-12-30T08:00:00"/>
    <m/>
    <m/>
    <m/>
    <m/>
    <m/>
    <m/>
    <s v="ENV Contractor"/>
    <m/>
    <e v="#REF!"/>
    <e v="#REF!"/>
    <m/>
    <m/>
    <m/>
    <n v="30"/>
    <n v="1"/>
    <n v="39"/>
    <m/>
    <m/>
    <m/>
    <m/>
    <m/>
    <m/>
    <m/>
    <x v="8"/>
    <n v="36"/>
    <n v="1"/>
    <n v="1"/>
  </r>
  <r>
    <m/>
    <x v="30"/>
    <s v="A-493-2501"/>
    <s v="05ZE"/>
    <s v="Groton, CT"/>
    <d v="2024-09-25T00:00:00"/>
    <d v="2024-09-25T00:00:00"/>
    <d v="1899-12-30T08:00:00"/>
    <m/>
    <m/>
    <m/>
    <m/>
    <m/>
    <m/>
    <s v="ENV Contractor"/>
    <m/>
    <m/>
    <m/>
    <m/>
    <m/>
    <m/>
    <n v="30"/>
    <n v="1"/>
    <n v="5"/>
    <m/>
    <m/>
    <m/>
    <m/>
    <m/>
    <m/>
    <m/>
    <x v="8"/>
    <n v="36"/>
    <n v="1"/>
    <n v="1"/>
  </r>
  <r>
    <m/>
    <x v="8"/>
    <s v="A-493-0083"/>
    <s v="339E"/>
    <s v="Global Online"/>
    <d v="2024-09-26T00:00:00"/>
    <d v="2024-09-26T00:00:00"/>
    <m/>
    <d v="1899-12-30T08:00:00"/>
    <d v="1899-12-30T05:00:00"/>
    <d v="1899-12-30T15:00:00"/>
    <d v="1899-12-30T13:00:00"/>
    <d v="1899-12-30T02:00:00"/>
    <d v="1899-12-30T21:00:00"/>
    <s v="ENV Contractor"/>
    <m/>
    <m/>
    <m/>
    <m/>
    <m/>
    <m/>
    <m/>
    <m/>
    <n v="0"/>
    <m/>
    <m/>
    <m/>
    <m/>
    <m/>
    <m/>
    <m/>
    <x v="8"/>
    <n v="37"/>
    <n v="1"/>
    <n v="1"/>
  </r>
  <r>
    <m/>
    <x v="29"/>
    <s v="A-493-2301"/>
    <s v="05ZD"/>
    <s v="Portsmouth, NH"/>
    <d v="2024-09-26T00:00:00"/>
    <d v="2024-09-26T00:00:00"/>
    <d v="1899-12-30T08:00:00"/>
    <m/>
    <m/>
    <m/>
    <m/>
    <m/>
    <m/>
    <s v="ENV Contractor"/>
    <m/>
    <e v="#REF!"/>
    <e v="#REF!"/>
    <m/>
    <m/>
    <m/>
    <n v="30"/>
    <n v="1"/>
    <n v="15"/>
    <m/>
    <m/>
    <m/>
    <m/>
    <m/>
    <m/>
    <m/>
    <x v="8"/>
    <n v="37"/>
    <n v="1"/>
    <n v="1"/>
  </r>
  <r>
    <m/>
    <x v="35"/>
    <s v="A-493-0216"/>
    <s v="12X8"/>
    <s v="Pearl Harbor, HI"/>
    <d v="2024-09-26T00:00:00"/>
    <d v="2024-09-26T00:00:00"/>
    <d v="1899-12-30T08:00:00"/>
    <m/>
    <m/>
    <m/>
    <m/>
    <m/>
    <m/>
    <s v="ENV Contractor"/>
    <m/>
    <e v="#REF!"/>
    <e v="#REF!"/>
    <m/>
    <m/>
    <m/>
    <n v="30"/>
    <n v="1"/>
    <n v="57"/>
    <m/>
    <m/>
    <m/>
    <m/>
    <m/>
    <m/>
    <m/>
    <x v="8"/>
    <n v="37"/>
    <n v="1"/>
    <n v="1"/>
  </r>
  <r>
    <m/>
    <x v="30"/>
    <s v="A-493-2501"/>
    <s v="05ZE"/>
    <s v="Lemoore, CA"/>
    <d v="2024-09-26T00:00:00"/>
    <d v="2024-09-26T00:00:00"/>
    <d v="1899-12-30T08:00:00"/>
    <m/>
    <m/>
    <m/>
    <m/>
    <m/>
    <m/>
    <s v="ENV Contractor"/>
    <m/>
    <e v="#REF!"/>
    <e v="#REF!"/>
    <m/>
    <m/>
    <m/>
    <n v="30"/>
    <n v="1"/>
    <n v="25"/>
    <m/>
    <m/>
    <m/>
    <m/>
    <m/>
    <m/>
    <m/>
    <x v="8"/>
    <n v="37"/>
    <n v="1"/>
    <n v="1"/>
  </r>
  <r>
    <m/>
    <x v="30"/>
    <s v="A-493-2501"/>
    <s v="05ZE"/>
    <s v="Portsmouth, NH"/>
    <d v="2024-09-27T00:00:00"/>
    <d v="2024-09-27T00:00:00"/>
    <d v="1899-12-30T08:00:00"/>
    <m/>
    <m/>
    <m/>
    <m/>
    <m/>
    <m/>
    <s v="ENV Contractor"/>
    <m/>
    <m/>
    <m/>
    <m/>
    <m/>
    <m/>
    <n v="30"/>
    <n v="1"/>
    <n v="25"/>
    <m/>
    <m/>
    <m/>
    <m/>
    <m/>
    <m/>
    <m/>
    <x v="8"/>
    <n v="38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D4" firstHeaderRow="0" firstDataRow="1" firstDataCol="0" rowPageCount="1" colPageCount="1"/>
  <pivotFields count="3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axis="axisPage" multipleItemSelectionAllowed="1" showAll="0">
      <items count="13">
        <item x="3"/>
        <item x="5"/>
        <item m="1" x="9"/>
        <item x="2"/>
        <item h="1" x="8"/>
        <item x="4"/>
        <item m="1" x="11"/>
        <item m="1" x="10"/>
        <item x="0"/>
        <item x="1"/>
        <item h="1" x="6"/>
        <item h="1" x="7"/>
        <item t="default"/>
      </items>
    </pivotField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31" hier="-1"/>
  </pageFields>
  <dataFields count="4">
    <dataField name="Sum of Quotas" fld="21" baseField="0" baseItem="0"/>
    <dataField name="Sum of Graduates" fld="26" baseField="0" baseItem="0"/>
    <dataField name="Sum of Fail" fld="27" baseField="0" baseItem="0"/>
    <dataField name="Sum of No Shows" fld="28" baseField="0" baseItem="0"/>
  </dataFields>
  <formats count="1">
    <format dxfId="43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FFCCC9-5F1A-48D5-B550-5A7D6BB041F9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>
  <location ref="A3:B46" firstHeaderRow="1" firstDataRow="1" firstDataCol="1"/>
  <pivotFields count="35">
    <pivotField compact="0" outline="0" showAll="0"/>
    <pivotField axis="axisRow" compact="0" outline="0" showAll="0">
      <items count="43">
        <item x="0"/>
        <item x="17"/>
        <item x="11"/>
        <item x="21"/>
        <item x="12"/>
        <item x="14"/>
        <item x="10"/>
        <item x="31"/>
        <item x="13"/>
        <item x="25"/>
        <item x="1"/>
        <item x="2"/>
        <item x="38"/>
        <item x="41"/>
        <item x="27"/>
        <item x="34"/>
        <item x="16"/>
        <item x="19"/>
        <item x="22"/>
        <item x="28"/>
        <item x="3"/>
        <item x="8"/>
        <item x="9"/>
        <item x="33"/>
        <item x="29"/>
        <item x="35"/>
        <item x="24"/>
        <item x="20"/>
        <item x="23"/>
        <item x="4"/>
        <item x="32"/>
        <item x="5"/>
        <item x="6"/>
        <item x="30"/>
        <item x="15"/>
        <item x="40"/>
        <item x="7"/>
        <item x="37"/>
        <item x="26"/>
        <item x="39"/>
        <item x="18"/>
        <item x="36"/>
        <item t="default"/>
      </items>
    </pivotField>
    <pivotField compact="0" outline="0" showAll="0"/>
    <pivotField compact="0" outline="0" showAll="0"/>
    <pivotField compact="0" outline="0" showAll="0"/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dataFields count="1">
    <dataField name="Sum of No Shows" fld="2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e7" displayName="Table7" ref="A43:F53" totalsRowCount="1" tableBorderDxfId="545">
  <autoFilter ref="A43:F52" xr:uid="{00000000-0009-0000-0100-000007000000}"/>
  <sortState xmlns:xlrd2="http://schemas.microsoft.com/office/spreadsheetml/2017/richdata2" ref="A42:D50">
    <sortCondition ref="D41:D50"/>
  </sortState>
  <tableColumns count="6">
    <tableColumn id="1" xr3:uid="{00000000-0010-0000-0100-000001000000}" name="Courses Needed (Inactive Courses)" totalsRowLabel="Total" dataDxfId="544" totalsRowDxfId="543"/>
    <tableColumn id="2" xr3:uid="{00000000-0010-0000-0100-000002000000}" name="Column1" dataDxfId="542" totalsRowDxfId="541"/>
    <tableColumn id="3" xr3:uid="{00000000-0010-0000-0100-000003000000}" name="Department" dataDxfId="540" totalsRowDxfId="539"/>
    <tableColumn id="4" xr3:uid="{00000000-0010-0000-0100-000004000000}" name="Quota Need" totalsRowFunction="sum" dataDxfId="538" totalsRowDxfId="537"/>
    <tableColumn id="5" xr3:uid="{00000000-0010-0000-0100-000005000000}" name="Column2" dataDxfId="536"/>
    <tableColumn id="6" xr3:uid="{00000000-0010-0000-0100-000006000000}" name="Active Online" dataDxfId="53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57" displayName="Table57" ref="A1:E20" totalsRowShown="0" headerRowDxfId="534" dataDxfId="532" headerRowBorderDxfId="533" tableBorderDxfId="531">
  <autoFilter ref="A1:E20" xr:uid="{00000000-0009-0000-0100-000006000000}"/>
  <sortState xmlns:xlrd2="http://schemas.microsoft.com/office/spreadsheetml/2017/richdata2" ref="A2:E20">
    <sortCondition descending="1" ref="E1:E20"/>
  </sortState>
  <tableColumns count="5">
    <tableColumn id="1" xr3:uid="{00000000-0010-0000-0200-000001000000}" name="Instructor"/>
    <tableColumn id="2" xr3:uid="{00000000-0010-0000-0200-000002000000}" name="Primary Instructor" dataDxfId="530">
      <calculatedColumnFormula>SUMIF(Table2[Primary Instructor],Table57[[#This Row],[Instructor]],Table2[Course Length (Days)])</calculatedColumnFormula>
    </tableColumn>
    <tableColumn id="3" xr3:uid="{00000000-0010-0000-0200-000003000000}" name="Instructor 2" dataDxfId="529">
      <calculatedColumnFormula>SUMIF(Table2[Instructor 2],Table57[[#This Row],[Instructor]],Table2[Course Length (Days)])</calculatedColumnFormula>
    </tableColumn>
    <tableColumn id="4" xr3:uid="{00000000-0010-0000-0200-000004000000}" name="Total" dataDxfId="528"/>
    <tableColumn id="5" xr3:uid="{00000000-0010-0000-0200-000005000000}" name="Percentage in Classroom" dataDxfId="527">
      <calculatedColumnFormula>SUM(D2/249)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1:E20" totalsRowShown="0" headerRowDxfId="526" dataDxfId="524" headerRowBorderDxfId="525" tableBorderDxfId="523">
  <autoFilter ref="A1:E20" xr:uid="{00000000-0009-0000-0100-000005000000}"/>
  <sortState xmlns:xlrd2="http://schemas.microsoft.com/office/spreadsheetml/2017/richdata2" ref="A2:E20">
    <sortCondition descending="1" ref="E1:E20"/>
  </sortState>
  <tableColumns count="5">
    <tableColumn id="1" xr3:uid="{00000000-0010-0000-0300-000001000000}" name="Instructor"/>
    <tableColumn id="2" xr3:uid="{00000000-0010-0000-0300-000002000000}" name="Primary Instructor" dataDxfId="522">
      <calculatedColumnFormula>COUNTIF(Table2[Primary Instructor],Table5[[#This Row],[Instructor]])</calculatedColumnFormula>
    </tableColumn>
    <tableColumn id="3" xr3:uid="{00000000-0010-0000-0300-000003000000}" name="Instructor 2" dataDxfId="521">
      <calculatedColumnFormula>COUNTIF(Table2[Instructor 2],Table5[[#This Row],[Instructor]])</calculatedColumnFormula>
    </tableColumn>
    <tableColumn id="4" xr3:uid="{00000000-0010-0000-0300-000004000000}" name="Total" dataDxfId="520"/>
    <tableColumn id="5" xr3:uid="{00000000-0010-0000-0300-000005000000}" name="Percentage in Classroom" dataDxfId="519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e311" displayName="Table311" ref="B4:AA40" headerRowDxfId="518" dataDxfId="517" totalsRowDxfId="515" tableBorderDxfId="516" totalsRowBorderDxfId="514">
  <autoFilter ref="B4:AA40" xr:uid="{00000000-0009-0000-0100-00000A000000}"/>
  <sortState xmlns:xlrd2="http://schemas.microsoft.com/office/spreadsheetml/2017/richdata2" ref="B5:AA40">
    <sortCondition ref="B4:B40"/>
  </sortState>
  <tableColumns count="26">
    <tableColumn id="1" xr3:uid="{00000000-0010-0000-0000-000001000000}" name="Courses - Planned vs Need (Active Courses)" totalsRowLabel="Total" dataDxfId="513" totalsRowDxfId="512"/>
    <tableColumn id="2" xr3:uid="{00000000-0010-0000-0000-000002000000}" name="CTR" dataDxfId="511" totalsRowDxfId="510"/>
    <tableColumn id="3" xr3:uid="{00000000-0010-0000-0000-000003000000}" name="Dept" dataDxfId="509" totalsRowDxfId="508"/>
    <tableColumn id="4" xr3:uid="{00000000-0010-0000-0000-000004000000}" name="Course Offerings" totalsRowFunction="sum" dataDxfId="507" totalsRowDxfId="506">
      <calculatedColumnFormula>COUNTIF(Table2[Course],Table311[[#This Row],[Courses - Planned vs Need (Active Courses)]])</calculatedColumnFormula>
    </tableColumn>
    <tableColumn id="5" xr3:uid="{00000000-0010-0000-0000-000005000000}" name="Quota per Offering" totalsRowFunction="sum" dataDxfId="505" totalsRowDxfId="504"/>
    <tableColumn id="6" xr3:uid="{00000000-0010-0000-0000-000006000000}" name="Planned Quotas" totalsRowFunction="sum" dataDxfId="503" totalsRowDxfId="502">
      <calculatedColumnFormula>Table311[[#This Row],[Course Offerings]]*Table311[[#This Row],[Quota per Offering]]</calculatedColumnFormula>
    </tableColumn>
    <tableColumn id="7" xr3:uid="{00000000-0010-0000-0000-000007000000}" name="Fleet Quota Need" totalsRowFunction="sum" dataDxfId="501"/>
    <tableColumn id="8" xr3:uid="{00000000-0010-0000-0000-000008000000}" name="Difference" totalsRowFunction="sum" dataDxfId="500" totalsRowDxfId="499">
      <calculatedColumnFormula>SUM(G5-H5)</calculatedColumnFormula>
    </tableColumn>
    <tableColumn id="9" xr3:uid="{00000000-0010-0000-0000-000009000000}" name="%" totalsRowFunction="average" dataDxfId="498" totalsRowDxfId="497" dataCellStyle="Percent">
      <calculatedColumnFormula>SUM(G5/H5)</calculatedColumnFormula>
    </tableColumn>
    <tableColumn id="10" xr3:uid="{00000000-0010-0000-0000-00000A000000}" name="Total Grads" totalsRowFunction="sum" dataDxfId="496">
      <calculatedColumnFormula>SUMIF(Table2[Course],Table311[[#This Row],[Courses - Planned vs Need (Active Courses)]],Table2[Graduates])</calculatedColumnFormula>
    </tableColumn>
    <tableColumn id="25" xr3:uid="{807FE8E8-E30F-4213-B4DB-080312A8B8E2}" name="Total Registered" dataDxfId="495" totalsRowDxfId="494">
      <calculatedColumnFormula>SUMIF(Table2[Course],Table311[[#This Row],[Courses - Planned vs Need (Active Courses)]],Table2[Registered])</calculatedColumnFormula>
    </tableColumn>
    <tableColumn id="26" xr3:uid="{B6C13E1C-5684-48EF-B335-52EFC51B42A9}" name="Total Waitlisted" dataDxfId="493" totalsRowDxfId="492">
      <calculatedColumnFormula>SUMIF(Table2[Course],Table311[[#This Row],[Courses - Planned vs Need (Active Courses)]],Table2[Waitlisted])</calculatedColumnFormula>
    </tableColumn>
    <tableColumn id="27" xr3:uid="{ED5122D9-36A0-4620-9A23-29DFC320EADA}" name="Total Walk-in" dataDxfId="491" totalsRowDxfId="490">
      <calculatedColumnFormula>SUMIF(Table2[Course],Table311[[#This Row],[Courses - Planned vs Need (Active Courses)]],Table2[Walk-ins])</calculatedColumnFormula>
    </tableColumn>
    <tableColumn id="11" xr3:uid="{00000000-0010-0000-0000-00000B000000}" name="No Shows" totalsRowFunction="sum" dataDxfId="489">
      <calculatedColumnFormula>SUMIF(Table2[Course],Table311[[#This Row],[Courses - Planned vs Need (Active Courses)]],Table2[No Shows])</calculatedColumnFormula>
    </tableColumn>
    <tableColumn id="12" xr3:uid="{00000000-0010-0000-0000-00000C000000}" name="To date quotas unused (Open quotas+ no shows)" totalsRowFunction="sum" dataDxfId="488">
      <calculatedColumnFormula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calculatedColumnFormula>
    </tableColumn>
    <tableColumn id="20" xr3:uid="{00000000-0010-0000-0000-000014000000}" name="Sunk Courses due to unused quotas todate" dataDxfId="487">
      <calculatedColumnFormula>ROUNDDOWN(Table311[[#This Row],[To date quotas unused (Open quotas+ no shows)]]/Table311[[#This Row],[Quota per Offering]],0)</calculatedColumnFormula>
    </tableColumn>
    <tableColumn id="13" xr3:uid="{00000000-0010-0000-0000-00000D000000}" name="Grads needed this FY towards planned quotas" totalsRowFunction="sum" dataDxfId="486" totalsRowDxfId="485">
      <calculatedColumnFormula>SUM(G5-K5)</calculatedColumnFormula>
    </tableColumn>
    <tableColumn id="14" xr3:uid="{00000000-0010-0000-0000-00000E000000}" name="# of course completion reports to be processed" totalsRowFunction="sum" dataDxfId="484" totalsRowDxfId="483">
      <calculatedColumnFormula>COUNTIFS(Table2[Course],Table311[[#This Row],[Courses - Planned vs Need (Active Courses)]],Table2[Roster Status],"1",Table2[Remaining Courses],"0")</calculatedColumnFormula>
    </tableColumn>
    <tableColumn id="15" xr3:uid="{00000000-0010-0000-0000-00000F000000}" name="# of courses remaining" totalsRowFunction="sum" dataDxfId="482" totalsRowDxfId="481">
      <calculatedColumnFormula>COUNTIFS(Table2[Course],Table311[[#This Row],[Courses - Planned vs Need (Active Courses)]],Table2[Remaining Courses],"1")</calculatedColumnFormula>
    </tableColumn>
    <tableColumn id="16" xr3:uid="{00000000-0010-0000-0000-000010000000}" name="To date % of graduates towards Fleet Need" totalsRowFunction="average" dataDxfId="480" totalsRowDxfId="479" dataCellStyle="Percent">
      <calculatedColumnFormula>SUM(K5/H5)</calculatedColumnFormula>
    </tableColumn>
    <tableColumn id="23" xr3:uid="{00000000-0010-0000-0000-000017000000}" name="% of available quotas used" totalsRowFunction="custom" dataDxfId="478" totalsRowDxfId="477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calculatedColumnFormula>
      <totalsRowFormula>IFERROR((Table311[[#This Row],[Total Grads]]/((Table311[[#This Row],[Course Offerings]]-Table311[[#This Row],['# of course completion reports to be processed]]-Table311[[#This Row],['# of courses remaining]])*Table311[[#This Row],[Quota per Offering]])),0)</totalsRowFormula>
    </tableColumn>
    <tableColumn id="21" xr3:uid="{00000000-0010-0000-0000-000015000000}" name="% of available quotas used counting in no shows" dataDxfId="476" totalsRowDxfId="475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calculatedColumnFormula>
    </tableColumn>
    <tableColumn id="22" xr3:uid="{00000000-0010-0000-0000-000016000000}" name="Remaining Open Quotas FY24 QTR 4" totalsRowDxfId="474"/>
    <tableColumn id="17" xr3:uid="{00000000-0010-0000-0000-000011000000}" name="# of additional grads if all quotas are filled of course results remaining to be processed" totalsRowFunction="sum" dataDxfId="473" totalsRowDxfId="472">
      <calculatedColumnFormula>SUM(S5,T5)*F5</calculatedColumnFormula>
    </tableColumn>
    <tableColumn id="18" xr3:uid="{00000000-0010-0000-0000-000012000000}" name="Difference between completed and fleet need of completed, potentially remaining quotas, and processed courses" totalsRowFunction="sum" dataDxfId="471" totalsRowDxfId="470">
      <calculatedColumnFormula>Table311[[#This Row],[Fleet Quota Need]]-Table311[[#This Row],[Total Grads]]</calculatedColumnFormula>
    </tableColumn>
    <tableColumn id="19" xr3:uid="{00000000-0010-0000-0000-000013000000}" name="Comments" dataDxfId="469" totalsRowDxfId="468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3112" displayName="Table3112" ref="B5:N44" headerRowDxfId="467" dataDxfId="466" totalsRowDxfId="464" tableBorderDxfId="465" totalsRowBorderDxfId="463">
  <autoFilter ref="B5:N44" xr:uid="{00000000-0009-0000-0100-000001000000}"/>
  <sortState xmlns:xlrd2="http://schemas.microsoft.com/office/spreadsheetml/2017/richdata2" ref="B6:Y41">
    <sortCondition ref="D4:D40"/>
  </sortState>
  <tableColumns count="13">
    <tableColumn id="1" xr3:uid="{00000000-0010-0000-0500-000001000000}" name="Courses - Planned vs Need (Active Courses)" totalsRowLabel="Total" dataDxfId="462" totalsRowDxfId="461"/>
    <tableColumn id="2" xr3:uid="{00000000-0010-0000-0500-000002000000}" name="CTR" dataDxfId="460" totalsRowDxfId="459"/>
    <tableColumn id="3" xr3:uid="{00000000-0010-0000-0500-000003000000}" name="Dept" dataDxfId="458" totalsRowDxfId="457"/>
    <tableColumn id="4" xr3:uid="{00000000-0010-0000-0500-000004000000}" name="Course Offerings Todate" totalsRowFunction="sum" dataDxfId="456" totalsRowDxfId="455">
      <calculatedColumnFormula>COUNTIFS(Table2[Course],Table3112[[#This Row],[Courses - Planned vs Need (Active Courses)]],Table2[Remaining Courses],"0")</calculatedColumnFormula>
    </tableColumn>
    <tableColumn id="5" xr3:uid="{00000000-0010-0000-0500-000005000000}" name="Online" totalsRowFunction="sum" dataDxfId="454" totalsRowDxfId="453">
      <calculatedColumnFormula>COUNTIFS(Table2[Course],Table3112[[#This Row],[Courses - Planned vs Need (Active Courses)]],Table2[Location],"Global Online",Table2[Remaining Courses],"0")</calculatedColumnFormula>
    </tableColumn>
    <tableColumn id="6" xr3:uid="{00000000-0010-0000-0500-000006000000}" name="Resident" totalsRowFunction="sum" dataDxfId="452" totalsRowDxfId="451">
      <calculatedColumnFormula>Table3112[[#This Row],[Course Offerings Todate]]-Table3112[[#This Row],[Online]]</calculatedColumnFormula>
    </tableColumn>
    <tableColumn id="14" xr3:uid="{00000000-0010-0000-0500-00000E000000}" name="Quotas Per Convening" dataDxfId="450" totalsRowDxfId="449"/>
    <tableColumn id="9" xr3:uid="{00000000-0010-0000-0500-000009000000}" name="Quotas Provided" dataDxfId="448" totalsRowDxfId="447">
      <calculatedColumnFormula>Table3112[[#This Row],[Course Offerings Todate]]*Table3112[[#This Row],[Quotas Per Convening]]</calculatedColumnFormula>
    </tableColumn>
    <tableColumn id="13" xr3:uid="{00000000-0010-0000-0500-00000D000000}" name="Quotas Used" dataDxfId="446" totalsRowDxfId="445">
      <calculatedColumnFormula>SUM(Table3112[[#This Row],[Total Grads]]+Table3112[[#This Row],[Fails]]+Table3112[[#This Row],[No Shows]])</calculatedColumnFormula>
    </tableColumn>
    <tableColumn id="10" xr3:uid="{00000000-0010-0000-0500-00000A000000}" name="Total Grads" totalsRowFunction="sum" dataDxfId="444" totalsRowDxfId="443">
      <calculatedColumnFormula>SUMIF(Table2[Course],Table3112[[#This Row],[Courses - Planned vs Need (Active Courses)]],Table2[Graduates])</calculatedColumnFormula>
    </tableColumn>
    <tableColumn id="7" xr3:uid="{00000000-0010-0000-0500-000007000000}" name="Fails" dataDxfId="442" totalsRowDxfId="441">
      <calculatedColumnFormula>SUMIF(Table2[Course],Table3112[[#This Row],[Courses - Planned vs Need (Active Courses)]],Table2[Fail])</calculatedColumnFormula>
    </tableColumn>
    <tableColumn id="11" xr3:uid="{00000000-0010-0000-0500-00000B000000}" name="No Shows" totalsRowFunction="sum" dataDxfId="440">
      <calculatedColumnFormula>SUMIF(Table2[Course],Table3112[[#This Row],[Courses - Planned vs Need (Active Courses)]],Table2[No Shows])</calculatedColumnFormula>
    </tableColumn>
    <tableColumn id="12" xr3:uid="{00000000-0010-0000-0500-00000C000000}" name="Walk-ins" totalsRowFunction="sum" dataDxfId="439">
      <calculatedColumnFormula>SUMIF(Table2[Course],Table3112[[#This Row],[Courses - Planned vs Need (Active Courses)]],Table2[Walk-ins])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A3:AI465" totalsRowCount="1" headerRowDxfId="437" dataDxfId="435" totalsRowDxfId="434" headerRowBorderDxfId="436">
  <autoFilter ref="A3:AI464" xr:uid="{00000000-0009-0000-0100-000002000000}"/>
  <sortState xmlns:xlrd2="http://schemas.microsoft.com/office/spreadsheetml/2017/richdata2" ref="A4:AI464">
    <sortCondition ref="F3:F464"/>
  </sortState>
  <tableColumns count="35">
    <tableColumn id="1" xr3:uid="{00000000-0010-0000-0400-000001000000}" name="Comments" totalsRowLabel="Total" dataDxfId="433" totalsRowDxfId="432"/>
    <tableColumn id="2" xr3:uid="{00000000-0010-0000-0400-000002000000}" name="Course" totalsRowFunction="count" dataDxfId="431" totalsRowDxfId="430"/>
    <tableColumn id="3" xr3:uid="{00000000-0010-0000-0400-000003000000}" name="CIN" dataDxfId="429" totalsRowDxfId="428">
      <calculatedColumnFormula>VLOOKUP(Table2[[#This Row],[Course]],Data!$A$1:$E$56,2,FALSE)</calculatedColumnFormula>
    </tableColumn>
    <tableColumn id="4" xr3:uid="{00000000-0010-0000-0400-000004000000}" name="CDP " dataDxfId="427" totalsRowDxfId="426">
      <calculatedColumnFormula>VLOOKUP(Table2[[#This Row],[Course]],Data!$A$1:$E$56,3,FALSE)</calculatedColumnFormula>
    </tableColumn>
    <tableColumn id="5" xr3:uid="{00000000-0010-0000-0400-000005000000}" name="Location" dataDxfId="425" totalsRowDxfId="424"/>
    <tableColumn id="6" xr3:uid="{00000000-0010-0000-0400-000006000000}" name="Start Date" dataDxfId="423" totalsRowDxfId="422"/>
    <tableColumn id="7" xr3:uid="{00000000-0010-0000-0400-000007000000}" name="End Date" dataDxfId="421" totalsRowDxfId="420"/>
    <tableColumn id="26" xr3:uid="{00000000-0010-0000-0400-00001A000000}" name="Resident Local Start Time of location" dataDxfId="419" totalsRowDxfId="418"/>
    <tableColumn id="32" xr3:uid="{00000000-0010-0000-0400-000020000000}" name="EST/EDT Local Live Session Start Time " dataDxfId="417" totalsRowDxfId="416"/>
    <tableColumn id="28" xr3:uid="{00000000-0010-0000-0400-00001C000000}" name="PST/PDT Local Live Session Start Time " dataDxfId="415" totalsRowDxfId="414"/>
    <tableColumn id="29" xr3:uid="{00000000-0010-0000-0400-00001D000000}" name="AST Local Live Session Start Time " dataDxfId="413" totalsRowDxfId="412"/>
    <tableColumn id="30" xr3:uid="{00000000-0010-0000-0400-00001E000000}" name="CET/CEST Local Live Session Start Time " dataDxfId="411" totalsRowDxfId="410"/>
    <tableColumn id="27" xr3:uid="{00000000-0010-0000-0400-00001B000000}" name="HST Local Live Session Start Time " dataDxfId="409" totalsRowDxfId="408"/>
    <tableColumn id="31" xr3:uid="{00000000-0010-0000-0400-00001F000000}" name="JST Local Live Session Start Time " dataDxfId="407" totalsRowDxfId="406"/>
    <tableColumn id="8" xr3:uid="{00000000-0010-0000-0400-000008000000}" name="Primary Instructor" dataDxfId="405" totalsRowDxfId="404"/>
    <tableColumn id="9" xr3:uid="{00000000-0010-0000-0400-000009000000}" name="Instructor 2" dataDxfId="403" totalsRowDxfId="402"/>
    <tableColumn id="11" xr3:uid="{00000000-0010-0000-0400-00000B000000}" name="Survey" dataDxfId="401" totalsRowDxfId="400"/>
    <tableColumn id="12" xr3:uid="{00000000-0010-0000-0400-00000C000000}" name="Survey Results" dataDxfId="399" totalsRowDxfId="398"/>
    <tableColumn id="13" xr3:uid="{00000000-0010-0000-0400-00000D000000}" name="Contract Cost" dataDxfId="397" totalsRowDxfId="396"/>
    <tableColumn id="14" xr3:uid="{00000000-0010-0000-0400-00000E000000}" name="Travel Cost" dataDxfId="395" totalsRowDxfId="394"/>
    <tableColumn id="15" xr3:uid="{00000000-0010-0000-0400-00000F000000}" name="Material Cost" dataDxfId="393" totalsRowDxfId="392"/>
    <tableColumn id="22" xr3:uid="{00000000-0010-0000-0400-000016000000}" name="Quotas" totalsRowFunction="custom" dataDxfId="391" totalsRowDxfId="390">
      <totalsRowFormula>SUBTOTAL(109,V4:V464)</totalsRowFormula>
    </tableColumn>
    <tableColumn id="10" xr3:uid="{00000000-0010-0000-0400-00000A000000}" name="Course Length (Days)" totalsRowFunction="sum" dataDxfId="389" totalsRowDxfId="388"/>
    <tableColumn id="35" xr3:uid="{10FB30BD-BAF6-4D55-A6D8-44F0A1E7B5FF}" name="Needs Assessment" totalsRowDxfId="387"/>
    <tableColumn id="34" xr3:uid="{5B2355FA-BDA5-45ED-A706-E3FF7A97F8AF}" name="Registered" dataDxfId="386" totalsRowDxfId="385"/>
    <tableColumn id="33" xr3:uid="{6F68EB2F-59DB-4ED7-9728-6470458F9A70}" name="Waitlisted" dataDxfId="384" totalsRowDxfId="383"/>
    <tableColumn id="16" xr3:uid="{00000000-0010-0000-0400-000010000000}" name="Graduates" totalsRowFunction="custom" dataDxfId="382" totalsRowDxfId="381">
      <totalsRowFormula>SUBTOTAL(109,AA4:AA464)</totalsRowFormula>
    </tableColumn>
    <tableColumn id="17" xr3:uid="{00000000-0010-0000-0400-000011000000}" name="Fail" totalsRowFunction="custom" dataDxfId="380" totalsRowDxfId="379">
      <totalsRowFormula>SUBTOTAL(109,AB4:AB464)</totalsRowFormula>
    </tableColumn>
    <tableColumn id="18" xr3:uid="{00000000-0010-0000-0400-000012000000}" name="No Shows" totalsRowFunction="custom" dataDxfId="378" totalsRowDxfId="377">
      <totalsRowFormula>SUBTOTAL(109,AC4:AC464)</totalsRowFormula>
    </tableColumn>
    <tableColumn id="19" xr3:uid="{00000000-0010-0000-0400-000013000000}" name="Walk-ins" totalsRowFunction="custom" dataDxfId="376" totalsRowDxfId="375">
      <totalsRowFormula>SUBTOTAL(109,AD4:AD464)</totalsRowFormula>
    </tableColumn>
    <tableColumn id="20" xr3:uid="{00000000-0010-0000-0400-000014000000}" name="Foreign Grads" totalsRowFunction="custom" dataDxfId="374" totalsRowDxfId="373">
      <totalsRowFormula>SUBTOTAL(109,AE4:AE464)</totalsRowFormula>
    </tableColumn>
    <tableColumn id="21" xr3:uid="{00000000-0010-0000-0400-000015000000}" name="Roster Received By" totalsRowFunction="count" dataDxfId="372" totalsRowDxfId="371"/>
    <tableColumn id="23" xr3:uid="{00000000-0010-0000-0400-000017000000}" name="Roster Due" dataDxfId="370" totalsRowDxfId="369">
      <calculatedColumnFormula>Table2[[#This Row],[End Date]]+2-TODAY()</calculatedColumnFormula>
    </tableColumn>
    <tableColumn id="24" xr3:uid="{00000000-0010-0000-0400-000018000000}" name="Roster Status" dataDxfId="368" totalsRowDxfId="367">
      <calculatedColumnFormula>IF(ISBLANK(Table2[[#This Row],[Roster Received By]]),1,0)</calculatedColumnFormula>
    </tableColumn>
    <tableColumn id="25" xr3:uid="{00000000-0010-0000-0400-000019000000}" name="Remaining Courses" dataDxfId="366" totalsRowDxfId="365">
      <calculatedColumnFormula>IF(Table2[[#This Row],[Start Date]]&gt;TODAY(),1,)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3:D41"/>
  <sheetViews>
    <sheetView workbookViewId="0">
      <selection activeCell="A4" sqref="A4"/>
    </sheetView>
  </sheetViews>
  <sheetFormatPr defaultColWidth="8.7109375" defaultRowHeight="15" x14ac:dyDescent="0.25"/>
  <cols>
    <col min="1" max="1" width="74.42578125" customWidth="1"/>
    <col min="2" max="2" width="16" customWidth="1"/>
    <col min="3" max="3" width="15.28515625" customWidth="1"/>
    <col min="4" max="4" width="14.42578125" customWidth="1"/>
    <col min="5" max="5" width="3" customWidth="1"/>
    <col min="6" max="6" width="4" customWidth="1"/>
    <col min="7" max="7" width="11.28515625" bestFit="1" customWidth="1"/>
  </cols>
  <sheetData>
    <row r="3" spans="1:4" x14ac:dyDescent="0.25">
      <c r="A3" s="6" t="s">
        <v>0</v>
      </c>
      <c r="B3" t="s">
        <v>1</v>
      </c>
      <c r="C3" t="s">
        <v>2</v>
      </c>
      <c r="D3" t="s">
        <v>3</v>
      </c>
    </row>
    <row r="4" spans="1:4" x14ac:dyDescent="0.25">
      <c r="A4" s="4" t="s">
        <v>4</v>
      </c>
      <c r="B4">
        <v>9</v>
      </c>
      <c r="C4">
        <v>270</v>
      </c>
      <c r="D4">
        <v>79</v>
      </c>
    </row>
    <row r="5" spans="1:4" x14ac:dyDescent="0.25">
      <c r="A5" s="4" t="s">
        <v>5</v>
      </c>
      <c r="B5">
        <v>6</v>
      </c>
      <c r="C5">
        <v>180</v>
      </c>
      <c r="D5">
        <v>85</v>
      </c>
    </row>
    <row r="6" spans="1:4" x14ac:dyDescent="0.25">
      <c r="A6" s="4" t="s">
        <v>6</v>
      </c>
      <c r="B6">
        <v>3</v>
      </c>
      <c r="C6">
        <v>75</v>
      </c>
      <c r="D6">
        <v>215</v>
      </c>
    </row>
    <row r="7" spans="1:4" x14ac:dyDescent="0.25">
      <c r="A7" s="4" t="s">
        <v>7</v>
      </c>
      <c r="B7">
        <v>4</v>
      </c>
      <c r="C7">
        <v>100</v>
      </c>
      <c r="D7">
        <v>170</v>
      </c>
    </row>
    <row r="8" spans="1:4" x14ac:dyDescent="0.25">
      <c r="A8" s="4" t="s">
        <v>8</v>
      </c>
      <c r="B8">
        <v>3</v>
      </c>
      <c r="C8">
        <v>75</v>
      </c>
      <c r="D8">
        <v>95</v>
      </c>
    </row>
    <row r="9" spans="1:4" x14ac:dyDescent="0.25">
      <c r="A9" s="4" t="s">
        <v>9</v>
      </c>
      <c r="B9">
        <v>4</v>
      </c>
      <c r="C9">
        <v>100</v>
      </c>
      <c r="D9">
        <v>79</v>
      </c>
    </row>
    <row r="10" spans="1:4" x14ac:dyDescent="0.25">
      <c r="A10" s="4" t="s">
        <v>10</v>
      </c>
      <c r="B10">
        <v>3</v>
      </c>
      <c r="C10">
        <v>75</v>
      </c>
      <c r="D10">
        <v>150</v>
      </c>
    </row>
    <row r="11" spans="1:4" x14ac:dyDescent="0.25">
      <c r="A11" s="4" t="s">
        <v>11</v>
      </c>
      <c r="B11">
        <v>4</v>
      </c>
      <c r="C11">
        <v>100</v>
      </c>
      <c r="D11">
        <v>74</v>
      </c>
    </row>
    <row r="12" spans="1:4" x14ac:dyDescent="0.25">
      <c r="A12" s="4" t="s">
        <v>12</v>
      </c>
      <c r="B12">
        <v>12</v>
      </c>
      <c r="C12">
        <v>360</v>
      </c>
      <c r="D12">
        <f>261+228</f>
        <v>489</v>
      </c>
    </row>
    <row r="13" spans="1:4" x14ac:dyDescent="0.25">
      <c r="A13" s="4" t="s">
        <v>13</v>
      </c>
      <c r="B13">
        <v>7</v>
      </c>
      <c r="C13">
        <v>210</v>
      </c>
      <c r="D13">
        <v>408</v>
      </c>
    </row>
    <row r="14" spans="1:4" x14ac:dyDescent="0.25">
      <c r="A14" s="4" t="s">
        <v>14</v>
      </c>
      <c r="B14">
        <v>3</v>
      </c>
      <c r="C14">
        <v>75</v>
      </c>
      <c r="D14">
        <v>603</v>
      </c>
    </row>
    <row r="15" spans="1:4" x14ac:dyDescent="0.25">
      <c r="A15" s="4" t="s">
        <v>15</v>
      </c>
      <c r="B15">
        <v>2</v>
      </c>
      <c r="C15">
        <v>70</v>
      </c>
      <c r="D15">
        <v>266</v>
      </c>
    </row>
    <row r="16" spans="1:4" x14ac:dyDescent="0.25">
      <c r="A16" s="4" t="s">
        <v>16</v>
      </c>
      <c r="B16">
        <v>1</v>
      </c>
      <c r="C16">
        <v>30</v>
      </c>
      <c r="D16">
        <v>30</v>
      </c>
    </row>
    <row r="17" spans="1:4" x14ac:dyDescent="0.25">
      <c r="A17" s="4" t="s">
        <v>17</v>
      </c>
      <c r="B17">
        <v>25</v>
      </c>
      <c r="C17">
        <v>750</v>
      </c>
      <c r="D17" s="16"/>
    </row>
    <row r="18" spans="1:4" x14ac:dyDescent="0.25">
      <c r="A18" s="4" t="s">
        <v>18</v>
      </c>
      <c r="B18">
        <v>28</v>
      </c>
      <c r="C18">
        <v>840</v>
      </c>
      <c r="D18" s="16"/>
    </row>
    <row r="19" spans="1:4" x14ac:dyDescent="0.25">
      <c r="A19" s="4" t="s">
        <v>19</v>
      </c>
      <c r="B19">
        <v>9</v>
      </c>
      <c r="C19">
        <v>270</v>
      </c>
      <c r="D19">
        <v>273</v>
      </c>
    </row>
    <row r="20" spans="1:4" x14ac:dyDescent="0.25">
      <c r="A20" s="4" t="s">
        <v>20</v>
      </c>
      <c r="B20">
        <v>7</v>
      </c>
      <c r="C20">
        <v>210</v>
      </c>
      <c r="D20">
        <v>517</v>
      </c>
    </row>
    <row r="21" spans="1:4" x14ac:dyDescent="0.25">
      <c r="A21" s="4" t="s">
        <v>21</v>
      </c>
      <c r="B21">
        <v>8</v>
      </c>
      <c r="C21">
        <v>240</v>
      </c>
      <c r="D21">
        <v>446</v>
      </c>
    </row>
    <row r="22" spans="1:4" x14ac:dyDescent="0.25">
      <c r="A22" s="4" t="s">
        <v>22</v>
      </c>
      <c r="B22">
        <v>23</v>
      </c>
      <c r="C22">
        <v>690</v>
      </c>
      <c r="D22">
        <f>323+459</f>
        <v>782</v>
      </c>
    </row>
    <row r="23" spans="1:4" x14ac:dyDescent="0.25">
      <c r="A23" s="4" t="s">
        <v>23</v>
      </c>
      <c r="B23">
        <v>25</v>
      </c>
      <c r="C23">
        <v>750</v>
      </c>
      <c r="D23" s="16"/>
    </row>
    <row r="24" spans="1:4" x14ac:dyDescent="0.25">
      <c r="A24" s="4" t="s">
        <v>24</v>
      </c>
      <c r="B24">
        <v>43</v>
      </c>
      <c r="C24">
        <v>1290</v>
      </c>
      <c r="D24" s="16"/>
    </row>
    <row r="25" spans="1:4" x14ac:dyDescent="0.25">
      <c r="A25" s="4" t="s">
        <v>25</v>
      </c>
      <c r="B25">
        <v>22</v>
      </c>
      <c r="C25">
        <v>660</v>
      </c>
      <c r="D25" s="16"/>
    </row>
    <row r="26" spans="1:4" x14ac:dyDescent="0.25">
      <c r="A26" s="4" t="s">
        <v>26</v>
      </c>
      <c r="B26">
        <v>9</v>
      </c>
      <c r="C26">
        <v>270</v>
      </c>
      <c r="D26" s="16"/>
    </row>
    <row r="27" spans="1:4" x14ac:dyDescent="0.25">
      <c r="A27" s="4" t="s">
        <v>27</v>
      </c>
      <c r="B27">
        <v>11</v>
      </c>
      <c r="C27">
        <v>330</v>
      </c>
      <c r="D27" s="16"/>
    </row>
    <row r="28" spans="1:4" x14ac:dyDescent="0.25">
      <c r="A28" s="4" t="s">
        <v>28</v>
      </c>
      <c r="B28">
        <v>5</v>
      </c>
      <c r="C28">
        <v>125</v>
      </c>
      <c r="D28">
        <v>385</v>
      </c>
    </row>
    <row r="29" spans="1:4" x14ac:dyDescent="0.25">
      <c r="A29" s="4" t="s">
        <v>29</v>
      </c>
      <c r="B29">
        <v>12</v>
      </c>
      <c r="C29">
        <v>480</v>
      </c>
      <c r="D29">
        <v>289</v>
      </c>
    </row>
    <row r="30" spans="1:4" x14ac:dyDescent="0.25">
      <c r="A30" s="4" t="s">
        <v>30</v>
      </c>
      <c r="B30">
        <v>1</v>
      </c>
      <c r="C30">
        <v>30</v>
      </c>
      <c r="D30">
        <v>347</v>
      </c>
    </row>
    <row r="31" spans="1:4" x14ac:dyDescent="0.25">
      <c r="A31" s="4" t="s">
        <v>31</v>
      </c>
      <c r="B31">
        <v>4</v>
      </c>
      <c r="C31">
        <v>120</v>
      </c>
      <c r="D31">
        <v>96</v>
      </c>
    </row>
    <row r="32" spans="1:4" x14ac:dyDescent="0.25">
      <c r="A32" s="4" t="s">
        <v>32</v>
      </c>
      <c r="B32">
        <v>10</v>
      </c>
      <c r="C32">
        <v>300</v>
      </c>
      <c r="D32">
        <f>294+163+3</f>
        <v>460</v>
      </c>
    </row>
    <row r="33" spans="1:4" x14ac:dyDescent="0.25">
      <c r="A33" s="4" t="s">
        <v>33</v>
      </c>
      <c r="B33">
        <v>10</v>
      </c>
      <c r="C33">
        <v>300</v>
      </c>
      <c r="D33">
        <v>607</v>
      </c>
    </row>
    <row r="34" spans="1:4" x14ac:dyDescent="0.25">
      <c r="A34" s="4" t="s">
        <v>34</v>
      </c>
      <c r="B34">
        <v>6</v>
      </c>
      <c r="C34">
        <v>180</v>
      </c>
      <c r="D34">
        <v>168</v>
      </c>
    </row>
    <row r="35" spans="1:4" x14ac:dyDescent="0.25">
      <c r="A35" s="4" t="s">
        <v>35</v>
      </c>
      <c r="B35">
        <v>23</v>
      </c>
      <c r="C35">
        <v>690</v>
      </c>
      <c r="D35" s="16"/>
    </row>
    <row r="36" spans="1:4" x14ac:dyDescent="0.25">
      <c r="A36" s="4" t="s">
        <v>36</v>
      </c>
      <c r="B36">
        <v>12</v>
      </c>
      <c r="C36">
        <v>360</v>
      </c>
      <c r="D36">
        <v>220</v>
      </c>
    </row>
    <row r="37" spans="1:4" x14ac:dyDescent="0.25">
      <c r="A37" s="4" t="s">
        <v>37</v>
      </c>
      <c r="B37">
        <v>6</v>
      </c>
      <c r="C37">
        <v>0</v>
      </c>
      <c r="D37">
        <f>322+70</f>
        <v>392</v>
      </c>
    </row>
    <row r="38" spans="1:4" x14ac:dyDescent="0.25">
      <c r="A38" s="4" t="s">
        <v>38</v>
      </c>
      <c r="B38">
        <v>18</v>
      </c>
      <c r="C38">
        <v>450</v>
      </c>
      <c r="D38">
        <v>683</v>
      </c>
    </row>
    <row r="39" spans="1:4" x14ac:dyDescent="0.25">
      <c r="A39" s="4" t="s">
        <v>39</v>
      </c>
      <c r="B39">
        <v>28</v>
      </c>
      <c r="C39">
        <v>2800</v>
      </c>
      <c r="D39">
        <f>896+769</f>
        <v>1665</v>
      </c>
    </row>
    <row r="40" spans="1:4" x14ac:dyDescent="0.25">
      <c r="A40" s="4" t="s">
        <v>40</v>
      </c>
      <c r="B40">
        <v>3</v>
      </c>
      <c r="C40">
        <v>90</v>
      </c>
      <c r="D40" s="16"/>
    </row>
    <row r="41" spans="1:4" x14ac:dyDescent="0.25">
      <c r="A41" s="4" t="s">
        <v>41</v>
      </c>
      <c r="B41">
        <v>409</v>
      </c>
      <c r="C41">
        <v>13945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I54"/>
  <sheetViews>
    <sheetView zoomScaleNormal="100" workbookViewId="0">
      <pane ySplit="3" topLeftCell="A61" activePane="bottomLeft" state="frozen"/>
      <selection pane="bottomLeft" activeCell="B61" sqref="B61"/>
    </sheetView>
  </sheetViews>
  <sheetFormatPr defaultColWidth="8.7109375" defaultRowHeight="15" x14ac:dyDescent="0.25"/>
  <cols>
    <col min="1" max="1" width="66.7109375" style="17" bestFit="1" customWidth="1"/>
    <col min="2" max="2" width="12.7109375" style="17" customWidth="1"/>
    <col min="3" max="3" width="16.5703125" style="18" customWidth="1"/>
    <col min="4" max="4" width="17" style="18" customWidth="1"/>
    <col min="5" max="5" width="15" style="18" hidden="1" customWidth="1"/>
    <col min="6" max="6" width="13.28515625" style="18" bestFit="1" customWidth="1"/>
    <col min="7" max="7" width="16.7109375" style="18" bestFit="1" customWidth="1"/>
    <col min="8" max="8" width="15.28515625" style="18" bestFit="1" customWidth="1"/>
    <col min="9" max="9" width="8.5703125" style="24" bestFit="1" customWidth="1"/>
    <col min="10" max="16384" width="8.7109375" style="17"/>
  </cols>
  <sheetData>
    <row r="1" spans="1:9" x14ac:dyDescent="0.25">
      <c r="A1" s="9" t="s">
        <v>42</v>
      </c>
    </row>
    <row r="2" spans="1:9" x14ac:dyDescent="0.25">
      <c r="A2" s="10" t="e">
        <f ca="1">ModDate()</f>
        <v>#NAME?</v>
      </c>
    </row>
    <row r="3" spans="1:9" s="30" customFormat="1" ht="30" x14ac:dyDescent="0.25">
      <c r="A3" s="27" t="s">
        <v>43</v>
      </c>
      <c r="B3" s="37" t="s">
        <v>44</v>
      </c>
      <c r="C3" s="28" t="s">
        <v>45</v>
      </c>
      <c r="D3" s="28" t="s">
        <v>1</v>
      </c>
      <c r="E3" s="28" t="s">
        <v>46</v>
      </c>
      <c r="F3" s="28" t="s">
        <v>2</v>
      </c>
      <c r="G3" s="28" t="s">
        <v>3</v>
      </c>
      <c r="H3" s="28" t="s">
        <v>47</v>
      </c>
      <c r="I3" s="29" t="s">
        <v>48</v>
      </c>
    </row>
    <row r="4" spans="1:9" x14ac:dyDescent="0.25">
      <c r="A4" s="17" t="s">
        <v>5</v>
      </c>
      <c r="C4" s="18" t="s">
        <v>49</v>
      </c>
      <c r="D4" s="18">
        <f>COUNTIF(Table2[Course],#REF!)</f>
        <v>0</v>
      </c>
      <c r="E4" s="26" t="e">
        <f>VLOOKUP(#REF!,Data!A$2:D$52,4,FALSE)</f>
        <v>#REF!</v>
      </c>
      <c r="F4" s="18">
        <v>300</v>
      </c>
      <c r="G4" s="49">
        <v>85</v>
      </c>
      <c r="H4" s="31" t="e">
        <f>#REF!-#REF!</f>
        <v>#REF!</v>
      </c>
      <c r="I4" s="23" t="e">
        <f>#REF!/#REF!</f>
        <v>#REF!</v>
      </c>
    </row>
    <row r="5" spans="1:9" x14ac:dyDescent="0.25">
      <c r="A5" s="17" t="s">
        <v>6</v>
      </c>
      <c r="C5" s="18" t="s">
        <v>50</v>
      </c>
      <c r="D5" s="18">
        <f>COUNTIF(Table2[Course],#REF!)</f>
        <v>0</v>
      </c>
      <c r="E5" s="18" t="e">
        <f>VLOOKUP(#REF!,Data!A$2:D$52,4,FALSE)</f>
        <v>#REF!</v>
      </c>
      <c r="F5" s="18" t="e">
        <f>#REF!*#REF!</f>
        <v>#REF!</v>
      </c>
      <c r="G5" s="49">
        <v>215</v>
      </c>
      <c r="H5" s="18" t="e">
        <f>#REF!-#REF!</f>
        <v>#REF!</v>
      </c>
      <c r="I5" s="23" t="e">
        <f>#REF!/#REF!</f>
        <v>#REF!</v>
      </c>
    </row>
    <row r="6" spans="1:9" x14ac:dyDescent="0.25">
      <c r="A6" s="17" t="s">
        <v>7</v>
      </c>
      <c r="C6" s="18" t="s">
        <v>50</v>
      </c>
      <c r="D6" s="18">
        <f>COUNTIF(Table2[Course],#REF!)</f>
        <v>0</v>
      </c>
      <c r="E6" s="18" t="e">
        <f>VLOOKUP(#REF!,Data!A$2:D$52,4,FALSE)</f>
        <v>#REF!</v>
      </c>
      <c r="F6" s="18" t="e">
        <f>#REF!*#REF!</f>
        <v>#REF!</v>
      </c>
      <c r="G6" s="49">
        <v>170</v>
      </c>
      <c r="H6" s="31" t="e">
        <f>#REF!-#REF!</f>
        <v>#REF!</v>
      </c>
      <c r="I6" s="23" t="e">
        <f>#REF!/#REF!</f>
        <v>#REF!</v>
      </c>
    </row>
    <row r="7" spans="1:9" x14ac:dyDescent="0.25">
      <c r="A7" s="17" t="s">
        <v>8</v>
      </c>
      <c r="C7" s="18" t="s">
        <v>50</v>
      </c>
      <c r="D7" s="18">
        <f>COUNTIF(Table2[Course],#REF!)</f>
        <v>0</v>
      </c>
      <c r="E7" s="18" t="e">
        <f>VLOOKUP(#REF!,Data!A$2:D$52,4,FALSE)</f>
        <v>#REF!</v>
      </c>
      <c r="F7" s="18" t="e">
        <f>#REF!*#REF!</f>
        <v>#REF!</v>
      </c>
      <c r="G7" s="49">
        <v>95</v>
      </c>
      <c r="H7" s="31" t="e">
        <f>#REF!-#REF!</f>
        <v>#REF!</v>
      </c>
      <c r="I7" s="23" t="e">
        <f>#REF!/#REF!</f>
        <v>#REF!</v>
      </c>
    </row>
    <row r="8" spans="1:9" x14ac:dyDescent="0.25">
      <c r="A8" s="17" t="s">
        <v>9</v>
      </c>
      <c r="C8" s="18" t="s">
        <v>50</v>
      </c>
      <c r="D8" s="18">
        <f>COUNTIF(Table2[Course],#REF!)</f>
        <v>0</v>
      </c>
      <c r="E8" s="18" t="e">
        <f>VLOOKUP(#REF!,Data!A$2:D$52,4,FALSE)</f>
        <v>#REF!</v>
      </c>
      <c r="F8" s="18" t="e">
        <f>#REF!*#REF!</f>
        <v>#REF!</v>
      </c>
      <c r="G8" s="49">
        <v>79</v>
      </c>
      <c r="H8" s="31" t="e">
        <f>#REF!-#REF!</f>
        <v>#REF!</v>
      </c>
      <c r="I8" s="23" t="e">
        <f>#REF!/#REF!</f>
        <v>#REF!</v>
      </c>
    </row>
    <row r="9" spans="1:9" x14ac:dyDescent="0.25">
      <c r="A9" s="17" t="s">
        <v>10</v>
      </c>
      <c r="C9" s="18" t="s">
        <v>50</v>
      </c>
      <c r="D9" s="18">
        <f>COUNTIF(Table2[Course],#REF!)</f>
        <v>0</v>
      </c>
      <c r="E9" s="18" t="e">
        <f>VLOOKUP(#REF!,Data!A$2:D$52,4,FALSE)</f>
        <v>#REF!</v>
      </c>
      <c r="F9" s="18" t="e">
        <f>#REF!*#REF!</f>
        <v>#REF!</v>
      </c>
      <c r="G9" s="49">
        <v>150</v>
      </c>
      <c r="H9" s="18" t="e">
        <f>#REF!-#REF!</f>
        <v>#REF!</v>
      </c>
      <c r="I9" s="23" t="e">
        <f>#REF!/#REF!</f>
        <v>#REF!</v>
      </c>
    </row>
    <row r="10" spans="1:9" x14ac:dyDescent="0.25">
      <c r="A10" s="17" t="s">
        <v>11</v>
      </c>
      <c r="C10" s="18" t="s">
        <v>50</v>
      </c>
      <c r="D10" s="18">
        <f>COUNTIF(Table2[Course],#REF!)</f>
        <v>0</v>
      </c>
      <c r="E10" s="18" t="e">
        <f>VLOOKUP(#REF!,Data!A$2:D$52,4,FALSE)</f>
        <v>#REF!</v>
      </c>
      <c r="F10" s="18" t="e">
        <f>#REF!*#REF!</f>
        <v>#REF!</v>
      </c>
      <c r="G10" s="49">
        <v>74</v>
      </c>
      <c r="H10" s="31" t="e">
        <f>#REF!-#REF!</f>
        <v>#REF!</v>
      </c>
      <c r="I10" s="23" t="e">
        <f>#REF!/#REF!</f>
        <v>#REF!</v>
      </c>
    </row>
    <row r="11" spans="1:9" x14ac:dyDescent="0.25">
      <c r="A11" s="17" t="s">
        <v>12</v>
      </c>
      <c r="C11" s="18" t="s">
        <v>51</v>
      </c>
      <c r="D11" s="18">
        <f>COUNTIF(Table2[Course],#REF!)</f>
        <v>0</v>
      </c>
      <c r="E11" s="18" t="e">
        <f>VLOOKUP(#REF!,Data!A$2:D$52,4,FALSE)</f>
        <v>#REF!</v>
      </c>
      <c r="F11" s="18" t="e">
        <f>#REF!*#REF!</f>
        <v>#REF!</v>
      </c>
      <c r="G11" s="49">
        <v>228</v>
      </c>
      <c r="H11" s="31" t="e">
        <f>#REF!-#REF!</f>
        <v>#REF!</v>
      </c>
      <c r="I11" s="23" t="e">
        <f>#REF!/#REF!</f>
        <v>#REF!</v>
      </c>
    </row>
    <row r="12" spans="1:9" x14ac:dyDescent="0.25">
      <c r="A12" s="17" t="s">
        <v>52</v>
      </c>
      <c r="B12" s="17" t="s">
        <v>53</v>
      </c>
      <c r="C12" s="18" t="s">
        <v>54</v>
      </c>
      <c r="D12" s="18">
        <f>COUNTIF(Table2[Course],#REF!)</f>
        <v>0</v>
      </c>
      <c r="E12" s="38">
        <v>25</v>
      </c>
      <c r="F12" s="18" t="e">
        <f>#REF!*#REF!</f>
        <v>#REF!</v>
      </c>
      <c r="G12" s="49">
        <v>408</v>
      </c>
      <c r="H12" s="18" t="e">
        <f>#REF!-#REF!</f>
        <v>#REF!</v>
      </c>
      <c r="I12" s="23" t="e">
        <f>#REF!/#REF!</f>
        <v>#REF!</v>
      </c>
    </row>
    <row r="13" spans="1:9" x14ac:dyDescent="0.25">
      <c r="A13" s="17" t="s">
        <v>14</v>
      </c>
      <c r="B13" s="17" t="s">
        <v>53</v>
      </c>
      <c r="C13" s="18" t="s">
        <v>50</v>
      </c>
      <c r="D13" s="18">
        <f>COUNTIF(Table2[Course],#REF!)</f>
        <v>0</v>
      </c>
      <c r="E13" s="18" t="e">
        <f>VLOOKUP(#REF!,Data!A$2:D$52,4,FALSE)</f>
        <v>#REF!</v>
      </c>
      <c r="F13" s="18" t="e">
        <f>#REF!*#REF!</f>
        <v>#REF!</v>
      </c>
      <c r="G13" s="49">
        <v>603</v>
      </c>
      <c r="H13" s="18" t="e">
        <f>#REF!-#REF!</f>
        <v>#REF!</v>
      </c>
      <c r="I13" s="23" t="e">
        <f>#REF!/#REF!</f>
        <v>#REF!</v>
      </c>
    </row>
    <row r="14" spans="1:9" x14ac:dyDescent="0.25">
      <c r="A14" s="17" t="s">
        <v>15</v>
      </c>
      <c r="B14" s="17" t="s">
        <v>53</v>
      </c>
      <c r="C14" s="18" t="s">
        <v>54</v>
      </c>
      <c r="D14" s="18">
        <f>COUNTIF(Table2[Course],#REF!)</f>
        <v>0</v>
      </c>
      <c r="E14" s="18" t="e">
        <f>VLOOKUP(#REF!,Data!A$2:D$52,4,FALSE)</f>
        <v>#REF!</v>
      </c>
      <c r="F14" s="18" t="e">
        <f>#REF!*#REF!</f>
        <v>#REF!</v>
      </c>
      <c r="G14" s="49">
        <v>266</v>
      </c>
      <c r="H14" s="18" t="e">
        <f>#REF!-#REF!</f>
        <v>#REF!</v>
      </c>
      <c r="I14" s="23" t="e">
        <f>#REF!/#REF!</f>
        <v>#REF!</v>
      </c>
    </row>
    <row r="15" spans="1:9" x14ac:dyDescent="0.25">
      <c r="A15" s="17" t="s">
        <v>16</v>
      </c>
      <c r="C15" s="18" t="s">
        <v>50</v>
      </c>
      <c r="D15" s="18">
        <f>COUNTIF(Table2[Course],#REF!)</f>
        <v>0</v>
      </c>
      <c r="E15" s="18" t="e">
        <f>VLOOKUP(#REF!,Data!A$2:D$52,4,FALSE)</f>
        <v>#REF!</v>
      </c>
      <c r="F15" s="18" t="e">
        <f>#REF!*#REF!</f>
        <v>#REF!</v>
      </c>
      <c r="G15" s="49">
        <v>30</v>
      </c>
      <c r="H15" s="31" t="e">
        <f>#REF!-#REF!</f>
        <v>#REF!</v>
      </c>
      <c r="I15" s="23" t="e">
        <f>#REF!/#REF!</f>
        <v>#REF!</v>
      </c>
    </row>
    <row r="16" spans="1:9" x14ac:dyDescent="0.25">
      <c r="A16" s="17" t="s">
        <v>17</v>
      </c>
      <c r="B16" s="17" t="s">
        <v>53</v>
      </c>
      <c r="C16" s="18" t="s">
        <v>49</v>
      </c>
      <c r="D16" s="18">
        <f>COUNTIF(Table2[Course],#REF!)</f>
        <v>0</v>
      </c>
      <c r="E16" s="18" t="e">
        <f>VLOOKUP(#REF!,Data!A$2:D$52,4,FALSE)</f>
        <v>#REF!</v>
      </c>
      <c r="F16" s="18" t="e">
        <f>#REF!*#REF!</f>
        <v>#REF!</v>
      </c>
      <c r="G16" s="49">
        <v>750</v>
      </c>
      <c r="H16" s="18" t="e">
        <f>#REF!-#REF!</f>
        <v>#REF!</v>
      </c>
      <c r="I16" s="23" t="e">
        <f>#REF!/#REF!</f>
        <v>#REF!</v>
      </c>
    </row>
    <row r="17" spans="1:9" x14ac:dyDescent="0.25">
      <c r="A17" s="17" t="s">
        <v>18</v>
      </c>
      <c r="B17" s="17" t="s">
        <v>53</v>
      </c>
      <c r="C17" s="18" t="s">
        <v>49</v>
      </c>
      <c r="D17" s="18">
        <f>COUNTIF(Table2[Course],#REF!)</f>
        <v>0</v>
      </c>
      <c r="E17" s="18" t="e">
        <f>VLOOKUP(#REF!,Data!A$2:D$52,4,FALSE)</f>
        <v>#REF!</v>
      </c>
      <c r="F17" s="18" t="e">
        <f>#REF!*#REF!</f>
        <v>#REF!</v>
      </c>
      <c r="G17" s="49">
        <v>840</v>
      </c>
      <c r="H17" s="18" t="e">
        <f>#REF!-#REF!</f>
        <v>#REF!</v>
      </c>
      <c r="I17" s="23" t="e">
        <f>#REF!/#REF!</f>
        <v>#REF!</v>
      </c>
    </row>
    <row r="18" spans="1:9" x14ac:dyDescent="0.25">
      <c r="A18" s="17" t="s">
        <v>19</v>
      </c>
      <c r="C18" s="18" t="s">
        <v>54</v>
      </c>
      <c r="D18" s="18">
        <f>COUNTIF(Table2[Course],#REF!)</f>
        <v>0</v>
      </c>
      <c r="E18" s="18" t="e">
        <f>VLOOKUP(#REF!,Data!A$2:D$52,4,FALSE)</f>
        <v>#REF!</v>
      </c>
      <c r="F18" s="18" t="e">
        <f>#REF!*#REF!</f>
        <v>#REF!</v>
      </c>
      <c r="G18" s="49">
        <v>273</v>
      </c>
      <c r="H18" s="31" t="e">
        <f>#REF!-#REF!</f>
        <v>#REF!</v>
      </c>
      <c r="I18" s="23" t="e">
        <f>#REF!/#REF!</f>
        <v>#REF!</v>
      </c>
    </row>
    <row r="19" spans="1:9" x14ac:dyDescent="0.25">
      <c r="A19" s="17" t="s">
        <v>20</v>
      </c>
      <c r="B19" s="17" t="s">
        <v>53</v>
      </c>
      <c r="C19" s="18" t="s">
        <v>54</v>
      </c>
      <c r="D19" s="18">
        <f>COUNTIF(Table2[Course],#REF!)</f>
        <v>0</v>
      </c>
      <c r="E19" s="18" t="e">
        <f>VLOOKUP(#REF!,Data!A$2:D$52,4,FALSE)</f>
        <v>#REF!</v>
      </c>
      <c r="F19" s="18" t="e">
        <f>#REF!*#REF!</f>
        <v>#REF!</v>
      </c>
      <c r="G19" s="49">
        <v>517</v>
      </c>
      <c r="H19" s="18" t="e">
        <f>#REF!-#REF!</f>
        <v>#REF!</v>
      </c>
      <c r="I19" s="23" t="e">
        <f>#REF!/#REF!</f>
        <v>#REF!</v>
      </c>
    </row>
    <row r="20" spans="1:9" x14ac:dyDescent="0.25">
      <c r="A20" s="17" t="s">
        <v>21</v>
      </c>
      <c r="C20" s="18" t="s">
        <v>54</v>
      </c>
      <c r="D20" s="18">
        <f>COUNTIF(Table2[Course],#REF!)</f>
        <v>0</v>
      </c>
      <c r="E20" s="18" t="e">
        <f>VLOOKUP(#REF!,Data!A$2:D$52,4,FALSE)</f>
        <v>#REF!</v>
      </c>
      <c r="F20" s="18" t="e">
        <f>#REF!*#REF!</f>
        <v>#REF!</v>
      </c>
      <c r="G20" s="49">
        <v>446</v>
      </c>
      <c r="H20" s="18" t="e">
        <f>#REF!-#REF!</f>
        <v>#REF!</v>
      </c>
      <c r="I20" s="23" t="e">
        <f>#REF!/#REF!</f>
        <v>#REF!</v>
      </c>
    </row>
    <row r="21" spans="1:9" ht="30" x14ac:dyDescent="0.25">
      <c r="A21" s="17" t="s">
        <v>22</v>
      </c>
      <c r="C21" s="18" t="s">
        <v>51</v>
      </c>
      <c r="D21" s="18">
        <f>COUNTIF(Table2[Course],#REF!)</f>
        <v>0</v>
      </c>
      <c r="E21" s="18" t="e">
        <f>VLOOKUP(#REF!,Data!A$2:D$52,4,FALSE)</f>
        <v>#REF!</v>
      </c>
      <c r="F21" s="18" t="e">
        <f>#REF!*#REF!</f>
        <v>#REF!</v>
      </c>
      <c r="G21" s="49">
        <v>323</v>
      </c>
      <c r="H21" s="31" t="e">
        <f>#REF!-#REF!</f>
        <v>#REF!</v>
      </c>
      <c r="I21" s="23" t="e">
        <f>#REF!/#REF!</f>
        <v>#REF!</v>
      </c>
    </row>
    <row r="22" spans="1:9" x14ac:dyDescent="0.25">
      <c r="A22" s="17" t="s">
        <v>23</v>
      </c>
      <c r="B22" s="17" t="s">
        <v>53</v>
      </c>
      <c r="C22" s="18" t="s">
        <v>49</v>
      </c>
      <c r="D22" s="18">
        <f>COUNTIF(Table2[Course],#REF!)</f>
        <v>0</v>
      </c>
      <c r="E22" s="18" t="e">
        <f>VLOOKUP(#REF!,Data!A$2:D$52,4,FALSE)</f>
        <v>#REF!</v>
      </c>
      <c r="F22" s="18" t="e">
        <f>#REF!*#REF!</f>
        <v>#REF!</v>
      </c>
      <c r="G22" s="49">
        <v>750</v>
      </c>
      <c r="H22" s="18" t="e">
        <f>#REF!-#REF!</f>
        <v>#REF!</v>
      </c>
      <c r="I22" s="23" t="e">
        <f>#REF!/#REF!</f>
        <v>#REF!</v>
      </c>
    </row>
    <row r="23" spans="1:9" ht="30" x14ac:dyDescent="0.25">
      <c r="A23" s="17" t="s">
        <v>24</v>
      </c>
      <c r="B23" s="17" t="s">
        <v>53</v>
      </c>
      <c r="C23" s="18" t="s">
        <v>49</v>
      </c>
      <c r="D23" s="18">
        <f>COUNTIF(Table2[Course],#REF!)</f>
        <v>0</v>
      </c>
      <c r="E23" s="18" t="e">
        <f>VLOOKUP(#REF!,Data!A$2:D$52,4,FALSE)</f>
        <v>#REF!</v>
      </c>
      <c r="F23" s="18" t="e">
        <f>#REF!*#REF!</f>
        <v>#REF!</v>
      </c>
      <c r="G23" s="49">
        <v>1290</v>
      </c>
      <c r="H23" s="18" t="e">
        <f>#REF!-#REF!</f>
        <v>#REF!</v>
      </c>
      <c r="I23" s="23" t="e">
        <f>#REF!/#REF!</f>
        <v>#REF!</v>
      </c>
    </row>
    <row r="24" spans="1:9" x14ac:dyDescent="0.25">
      <c r="A24" s="17" t="s">
        <v>25</v>
      </c>
      <c r="B24" s="17" t="s">
        <v>53</v>
      </c>
      <c r="C24" s="18" t="s">
        <v>49</v>
      </c>
      <c r="D24" s="18">
        <f>COUNTIF(Table2[Course],#REF!)</f>
        <v>0</v>
      </c>
      <c r="E24" s="18" t="e">
        <f>VLOOKUP(#REF!,Data!A$2:D$52,4,FALSE)</f>
        <v>#REF!</v>
      </c>
      <c r="F24" s="18" t="e">
        <f>#REF!*#REF!</f>
        <v>#REF!</v>
      </c>
      <c r="G24" s="49">
        <v>660</v>
      </c>
      <c r="H24" s="18" t="e">
        <f>#REF!-#REF!</f>
        <v>#REF!</v>
      </c>
      <c r="I24" s="23" t="e">
        <f>#REF!/#REF!</f>
        <v>#REF!</v>
      </c>
    </row>
    <row r="25" spans="1:9" x14ac:dyDescent="0.25">
      <c r="A25" s="17" t="s">
        <v>26</v>
      </c>
      <c r="B25" s="17" t="s">
        <v>53</v>
      </c>
      <c r="C25" s="18" t="s">
        <v>49</v>
      </c>
      <c r="D25" s="18">
        <f>COUNTIF(Table2[Course],#REF!)</f>
        <v>0</v>
      </c>
      <c r="E25" s="18" t="e">
        <f>VLOOKUP(#REF!,Data!A$2:D$52,4,FALSE)</f>
        <v>#REF!</v>
      </c>
      <c r="F25" s="18" t="e">
        <f>#REF!*#REF!</f>
        <v>#REF!</v>
      </c>
      <c r="G25" s="49">
        <v>300</v>
      </c>
      <c r="H25" s="18" t="e">
        <f>#REF!-#REF!</f>
        <v>#REF!</v>
      </c>
      <c r="I25" s="23" t="e">
        <f>#REF!/#REF!</f>
        <v>#REF!</v>
      </c>
    </row>
    <row r="26" spans="1:9" x14ac:dyDescent="0.25">
      <c r="A26" s="17" t="s">
        <v>27</v>
      </c>
      <c r="B26" s="17" t="s">
        <v>53</v>
      </c>
      <c r="C26" s="18" t="s">
        <v>49</v>
      </c>
      <c r="D26" s="18">
        <f>COUNTIF(Table2[Course],#REF!)</f>
        <v>0</v>
      </c>
      <c r="E26" s="18" t="e">
        <f>VLOOKUP(#REF!,Data!A$2:D$52,4,FALSE)</f>
        <v>#REF!</v>
      </c>
      <c r="F26" s="18" t="e">
        <f>#REF!*#REF!</f>
        <v>#REF!</v>
      </c>
      <c r="G26" s="49">
        <v>330</v>
      </c>
      <c r="H26" s="18" t="e">
        <f>#REF!-#REF!</f>
        <v>#REF!</v>
      </c>
      <c r="I26" s="23" t="e">
        <f>#REF!/#REF!</f>
        <v>#REF!</v>
      </c>
    </row>
    <row r="27" spans="1:9" x14ac:dyDescent="0.25">
      <c r="A27" s="17" t="s">
        <v>28</v>
      </c>
      <c r="C27" s="18" t="s">
        <v>50</v>
      </c>
      <c r="D27" s="18">
        <f>COUNTIF(Table2[Course],#REF!)</f>
        <v>0</v>
      </c>
      <c r="E27" s="18" t="e">
        <f>VLOOKUP(#REF!,Data!A$2:D$52,4,FALSE)</f>
        <v>#REF!</v>
      </c>
      <c r="F27" s="18" t="e">
        <f>#REF!*#REF!</f>
        <v>#REF!</v>
      </c>
      <c r="G27" s="49">
        <v>385</v>
      </c>
      <c r="H27" s="18" t="e">
        <f>#REF!-#REF!</f>
        <v>#REF!</v>
      </c>
      <c r="I27" s="23" t="e">
        <f>#REF!/#REF!</f>
        <v>#REF!</v>
      </c>
    </row>
    <row r="28" spans="1:9" x14ac:dyDescent="0.25">
      <c r="A28" s="17" t="s">
        <v>29</v>
      </c>
      <c r="C28" s="18" t="s">
        <v>50</v>
      </c>
      <c r="D28" s="18">
        <f>COUNTIF(Table2[Course],#REF!)</f>
        <v>0</v>
      </c>
      <c r="E28" s="18" t="e">
        <f>VLOOKUP(#REF!,Data!A$2:D$52,4,FALSE)</f>
        <v>#REF!</v>
      </c>
      <c r="F28" s="18" t="e">
        <f>#REF!*#REF!</f>
        <v>#REF!</v>
      </c>
      <c r="G28" s="49">
        <v>289</v>
      </c>
      <c r="H28" s="31" t="e">
        <f>#REF!-#REF!</f>
        <v>#REF!</v>
      </c>
      <c r="I28" s="23" t="e">
        <f>#REF!/#REF!</f>
        <v>#REF!</v>
      </c>
    </row>
    <row r="29" spans="1:9" x14ac:dyDescent="0.25">
      <c r="A29" s="17" t="s">
        <v>31</v>
      </c>
      <c r="C29" s="18" t="s">
        <v>50</v>
      </c>
      <c r="D29" s="18">
        <f>COUNTIF(Table2[Course],#REF!)</f>
        <v>0</v>
      </c>
      <c r="E29" s="18" t="e">
        <f>VLOOKUP(#REF!,Data!A$2:D$52,4,FALSE)</f>
        <v>#REF!</v>
      </c>
      <c r="F29" s="18" t="e">
        <f>#REF!*#REF!</f>
        <v>#REF!</v>
      </c>
      <c r="G29" s="49">
        <v>96</v>
      </c>
      <c r="H29" s="31" t="e">
        <f>#REF!-#REF!</f>
        <v>#REF!</v>
      </c>
      <c r="I29" s="23" t="e">
        <f>#REF!/#REF!</f>
        <v>#REF!</v>
      </c>
    </row>
    <row r="30" spans="1:9" ht="30" x14ac:dyDescent="0.25">
      <c r="A30" s="17" t="s">
        <v>32</v>
      </c>
      <c r="C30" s="18" t="s">
        <v>54</v>
      </c>
      <c r="D30" s="18">
        <f>COUNTIF(Table2[Course],#REF!)</f>
        <v>0</v>
      </c>
      <c r="E30" s="18" t="e">
        <f>VLOOKUP(#REF!,Data!A$2:D$52,4,FALSE)</f>
        <v>#REF!</v>
      </c>
      <c r="F30" s="18" t="e">
        <f>#REF!*#REF!</f>
        <v>#REF!</v>
      </c>
      <c r="G30" s="49">
        <v>294</v>
      </c>
      <c r="H30" s="31" t="e">
        <f>#REF!-#REF!</f>
        <v>#REF!</v>
      </c>
      <c r="I30" s="23" t="e">
        <f>#REF!/#REF!</f>
        <v>#REF!</v>
      </c>
    </row>
    <row r="31" spans="1:9" x14ac:dyDescent="0.25">
      <c r="A31" s="19" t="s">
        <v>55</v>
      </c>
      <c r="B31" s="19" t="s">
        <v>53</v>
      </c>
      <c r="C31" s="18" t="s">
        <v>54</v>
      </c>
      <c r="D31" s="18">
        <f>COUNTIF(Table2[Course],#REF!)</f>
        <v>0</v>
      </c>
      <c r="E31" s="18" t="e">
        <f>VLOOKUP(#REF!,Data!A$2:D$52,4,FALSE)</f>
        <v>#REF!</v>
      </c>
      <c r="F31" s="18" t="e">
        <f>#REF!*#REF!</f>
        <v>#REF!</v>
      </c>
      <c r="G31" s="49">
        <v>408</v>
      </c>
      <c r="H31" s="18" t="e">
        <f>#REF!-#REF!</f>
        <v>#REF!</v>
      </c>
      <c r="I31" s="23" t="e">
        <f>#REF!/#REF!</f>
        <v>#REF!</v>
      </c>
    </row>
    <row r="32" spans="1:9" x14ac:dyDescent="0.25">
      <c r="A32" s="17" t="s">
        <v>33</v>
      </c>
      <c r="C32" s="18" t="s">
        <v>54</v>
      </c>
      <c r="D32" s="18">
        <f>COUNTIF(Table2[Course],#REF!)</f>
        <v>0</v>
      </c>
      <c r="E32" s="18" t="e">
        <f>VLOOKUP(#REF!,Data!A$2:D$52,4,FALSE)</f>
        <v>#REF!</v>
      </c>
      <c r="F32" s="18" t="e">
        <f>#REF!*#REF!</f>
        <v>#REF!</v>
      </c>
      <c r="G32" s="49">
        <v>607</v>
      </c>
      <c r="H32" s="31" t="e">
        <f>#REF!-#REF!</f>
        <v>#REF!</v>
      </c>
      <c r="I32" s="23" t="e">
        <f>#REF!/#REF!</f>
        <v>#REF!</v>
      </c>
    </row>
    <row r="33" spans="1:9" x14ac:dyDescent="0.25">
      <c r="A33" s="17" t="s">
        <v>34</v>
      </c>
      <c r="C33" s="18" t="s">
        <v>50</v>
      </c>
      <c r="D33" s="18">
        <f>COUNTIF(Table2[Course],#REF!)</f>
        <v>0</v>
      </c>
      <c r="E33" s="18" t="e">
        <f>VLOOKUP(#REF!,Data!A$2:D$52,4,FALSE)</f>
        <v>#REF!</v>
      </c>
      <c r="F33" s="18" t="e">
        <f>#REF!*#REF!</f>
        <v>#REF!</v>
      </c>
      <c r="G33" s="49">
        <v>168</v>
      </c>
      <c r="H33" s="31" t="e">
        <f>#REF!-#REF!</f>
        <v>#REF!</v>
      </c>
      <c r="I33" s="23" t="e">
        <f>#REF!/#REF!</f>
        <v>#REF!</v>
      </c>
    </row>
    <row r="34" spans="1:9" x14ac:dyDescent="0.25">
      <c r="A34" s="17" t="s">
        <v>35</v>
      </c>
      <c r="B34" s="17" t="s">
        <v>53</v>
      </c>
      <c r="C34" s="18" t="s">
        <v>49</v>
      </c>
      <c r="D34" s="18">
        <f>COUNTIF(Table2[Course],#REF!)</f>
        <v>0</v>
      </c>
      <c r="E34" s="18" t="e">
        <f>VLOOKUP(#REF!,Data!A$2:D$52,4,FALSE)</f>
        <v>#REF!</v>
      </c>
      <c r="F34" s="18" t="e">
        <f>#REF!*#REF!</f>
        <v>#REF!</v>
      </c>
      <c r="G34" s="49">
        <v>690</v>
      </c>
      <c r="H34" s="18" t="e">
        <f>#REF!-#REF!</f>
        <v>#REF!</v>
      </c>
      <c r="I34" s="23" t="e">
        <f>#REF!/#REF!</f>
        <v>#REF!</v>
      </c>
    </row>
    <row r="35" spans="1:9" x14ac:dyDescent="0.25">
      <c r="A35" s="17" t="s">
        <v>36</v>
      </c>
      <c r="C35" s="18" t="s">
        <v>51</v>
      </c>
      <c r="D35" s="18">
        <f>COUNTIF(Table2[Course],#REF!)</f>
        <v>0</v>
      </c>
      <c r="E35" s="18" t="e">
        <f>VLOOKUP(#REF!,Data!A$2:D$52,4,FALSE)</f>
        <v>#REF!</v>
      </c>
      <c r="F35" s="18" t="e">
        <f>#REF!*#REF!</f>
        <v>#REF!</v>
      </c>
      <c r="G35" s="49">
        <v>220</v>
      </c>
      <c r="H35" s="31" t="e">
        <f>#REF!-#REF!</f>
        <v>#REF!</v>
      </c>
      <c r="I35" s="23" t="e">
        <f>#REF!/#REF!</f>
        <v>#REF!</v>
      </c>
    </row>
    <row r="36" spans="1:9" x14ac:dyDescent="0.25">
      <c r="A36" s="17" t="s">
        <v>38</v>
      </c>
      <c r="C36" s="18" t="s">
        <v>50</v>
      </c>
      <c r="D36" s="18">
        <f>COUNTIF(Table2[Course],#REF!)</f>
        <v>0</v>
      </c>
      <c r="E36" s="18" t="e">
        <f>VLOOKUP(#REF!,Data!A$2:D$52,4,FALSE)</f>
        <v>#REF!</v>
      </c>
      <c r="F36" s="18" t="e">
        <f>#REF!*#REF!</f>
        <v>#REF!</v>
      </c>
      <c r="G36" s="49">
        <v>683</v>
      </c>
      <c r="H36" s="31" t="e">
        <f>#REF!-#REF!</f>
        <v>#REF!</v>
      </c>
      <c r="I36" s="23" t="e">
        <f>#REF!/#REF!</f>
        <v>#REF!</v>
      </c>
    </row>
    <row r="37" spans="1:9" x14ac:dyDescent="0.25">
      <c r="A37" s="17" t="s">
        <v>39</v>
      </c>
      <c r="C37" s="18" t="s">
        <v>54</v>
      </c>
      <c r="D37" s="18">
        <f>COUNTIF(Table2[Course],#REF!)</f>
        <v>0</v>
      </c>
      <c r="E37" s="18" t="e">
        <f>VLOOKUP(#REF!,Data!A$2:D$52,4,FALSE)</f>
        <v>#REF!</v>
      </c>
      <c r="F37" s="18" t="e">
        <f>#REF!*#REF!</f>
        <v>#REF!</v>
      </c>
      <c r="G37" s="49">
        <v>769</v>
      </c>
      <c r="H37" s="31" t="e">
        <f>#REF!-#REF!</f>
        <v>#REF!</v>
      </c>
      <c r="I37" s="23" t="e">
        <f>#REF!/#REF!</f>
        <v>#REF!</v>
      </c>
    </row>
    <row r="38" spans="1:9" x14ac:dyDescent="0.25">
      <c r="A38" s="17" t="s">
        <v>56</v>
      </c>
      <c r="C38" s="18" t="s">
        <v>57</v>
      </c>
      <c r="D38" s="18">
        <f>COUNTIF(Table2[Course],#REF!)</f>
        <v>0</v>
      </c>
      <c r="E38" s="18" t="e">
        <f>VLOOKUP(#REF!,Data!A$2:D$52,4,FALSE)</f>
        <v>#REF!</v>
      </c>
      <c r="F38" s="18" t="e">
        <f>#REF!*#REF!</f>
        <v>#REF!</v>
      </c>
      <c r="G38" s="49">
        <v>49</v>
      </c>
      <c r="H38" s="31" t="e">
        <f>#REF!-#REF!</f>
        <v>#REF!</v>
      </c>
      <c r="I38" s="23" t="e">
        <f>#REF!/#REF!</f>
        <v>#REF!</v>
      </c>
    </row>
    <row r="39" spans="1:9" ht="15.75" thickBot="1" x14ac:dyDescent="0.3">
      <c r="A39" s="17" t="s">
        <v>40</v>
      </c>
      <c r="B39" s="17" t="s">
        <v>53</v>
      </c>
      <c r="C39" s="18" t="s">
        <v>49</v>
      </c>
      <c r="D39" s="18">
        <f>COUNTIF(Table2[Course],#REF!)</f>
        <v>0</v>
      </c>
      <c r="E39" s="18" t="e">
        <f>VLOOKUP(#REF!,Data!A$2:D$52,4,FALSE)</f>
        <v>#REF!</v>
      </c>
      <c r="F39" s="18" t="e">
        <f>#REF!*#REF!</f>
        <v>#REF!</v>
      </c>
      <c r="G39" s="49">
        <v>120</v>
      </c>
      <c r="H39" s="18" t="e">
        <f>#REF!-#REF!</f>
        <v>#REF!</v>
      </c>
      <c r="I39" s="23" t="e">
        <f>#REF!/#REF!</f>
        <v>#REF!</v>
      </c>
    </row>
    <row r="40" spans="1:9" ht="16.5" thickTop="1" thickBot="1" x14ac:dyDescent="0.3">
      <c r="A40" s="17" t="s">
        <v>58</v>
      </c>
      <c r="D40" s="18" t="e">
        <f>SUBTOTAL(109,#REF!)</f>
        <v>#REF!</v>
      </c>
      <c r="F40" s="18" t="e">
        <f>SUBTOTAL(109,#REF!)</f>
        <v>#REF!</v>
      </c>
      <c r="G40" s="18" t="e">
        <f>SUBTOTAL(109,#REF!)</f>
        <v>#REF!</v>
      </c>
      <c r="H40" s="39"/>
      <c r="I40" s="32" t="e">
        <f>SUM(F40/G40)</f>
        <v>#REF!</v>
      </c>
    </row>
    <row r="41" spans="1:9" ht="15.75" thickTop="1" x14ac:dyDescent="0.25"/>
    <row r="43" spans="1:9" x14ac:dyDescent="0.25">
      <c r="A43" s="40" t="s">
        <v>59</v>
      </c>
      <c r="B43" s="40" t="s">
        <v>60</v>
      </c>
      <c r="C43" s="41" t="s">
        <v>45</v>
      </c>
      <c r="D43" s="41" t="s">
        <v>3</v>
      </c>
      <c r="E43" s="46" t="s">
        <v>61</v>
      </c>
      <c r="F43" s="48" t="s">
        <v>62</v>
      </c>
      <c r="H43" s="17"/>
      <c r="I43" s="17"/>
    </row>
    <row r="44" spans="1:9" x14ac:dyDescent="0.25">
      <c r="A44" s="20" t="s">
        <v>63</v>
      </c>
      <c r="B44" s="20"/>
      <c r="C44" s="21" t="s">
        <v>57</v>
      </c>
      <c r="D44" s="21">
        <v>37</v>
      </c>
      <c r="E44" s="47"/>
      <c r="F44" s="47" t="s">
        <v>64</v>
      </c>
      <c r="H44" s="17"/>
      <c r="I44" s="17"/>
    </row>
    <row r="45" spans="1:9" x14ac:dyDescent="0.25">
      <c r="A45" s="20" t="s">
        <v>4</v>
      </c>
      <c r="B45" s="20"/>
      <c r="C45" s="21" t="s">
        <v>49</v>
      </c>
      <c r="D45" s="21">
        <v>79</v>
      </c>
      <c r="E45" s="21"/>
      <c r="F45" s="21" t="s">
        <v>64</v>
      </c>
      <c r="G45" s="17"/>
      <c r="H45" s="17"/>
      <c r="I45" s="17"/>
    </row>
    <row r="46" spans="1:9" x14ac:dyDescent="0.25">
      <c r="A46" s="20" t="s">
        <v>65</v>
      </c>
      <c r="B46" s="20"/>
      <c r="C46" s="21" t="s">
        <v>54</v>
      </c>
      <c r="D46" s="21">
        <v>163</v>
      </c>
      <c r="E46" s="21"/>
      <c r="F46" s="21" t="s">
        <v>64</v>
      </c>
      <c r="H46" s="17"/>
      <c r="I46" s="17"/>
    </row>
    <row r="47" spans="1:9" x14ac:dyDescent="0.25">
      <c r="A47" s="20" t="s">
        <v>66</v>
      </c>
      <c r="B47" s="20"/>
      <c r="C47" s="21" t="s">
        <v>51</v>
      </c>
      <c r="D47" s="21">
        <v>261</v>
      </c>
      <c r="E47" s="21"/>
      <c r="F47" s="21" t="s">
        <v>64</v>
      </c>
      <c r="H47" s="17"/>
      <c r="I47" s="17"/>
    </row>
    <row r="48" spans="1:9" x14ac:dyDescent="0.25">
      <c r="A48" s="20" t="s">
        <v>67</v>
      </c>
      <c r="B48" s="20"/>
      <c r="C48" s="21" t="s">
        <v>50</v>
      </c>
      <c r="D48" s="21">
        <v>347</v>
      </c>
      <c r="E48" s="21"/>
      <c r="F48" s="21" t="s">
        <v>64</v>
      </c>
      <c r="H48" s="17"/>
      <c r="I48" s="17"/>
    </row>
    <row r="49" spans="1:9" x14ac:dyDescent="0.25">
      <c r="A49" s="20" t="s">
        <v>68</v>
      </c>
      <c r="B49" s="20"/>
      <c r="C49" s="21" t="s">
        <v>50</v>
      </c>
      <c r="D49" s="21">
        <v>392</v>
      </c>
      <c r="E49" s="21"/>
      <c r="F49" s="21" t="s">
        <v>69</v>
      </c>
      <c r="H49" s="17"/>
      <c r="I49" s="17"/>
    </row>
    <row r="50" spans="1:9" x14ac:dyDescent="0.25">
      <c r="A50" s="22" t="s">
        <v>70</v>
      </c>
      <c r="B50" s="22"/>
      <c r="C50" s="21" t="s">
        <v>54</v>
      </c>
      <c r="D50" s="21">
        <v>436</v>
      </c>
      <c r="E50" s="21"/>
      <c r="F50" s="21" t="s">
        <v>69</v>
      </c>
      <c r="H50" s="17"/>
      <c r="I50" s="17"/>
    </row>
    <row r="51" spans="1:9" x14ac:dyDescent="0.25">
      <c r="A51" s="20" t="s">
        <v>71</v>
      </c>
      <c r="B51" s="20"/>
      <c r="C51" s="21" t="s">
        <v>51</v>
      </c>
      <c r="D51" s="21">
        <v>459</v>
      </c>
      <c r="E51" s="21"/>
      <c r="F51" s="21" t="s">
        <v>64</v>
      </c>
      <c r="H51" s="17"/>
      <c r="I51" s="17"/>
    </row>
    <row r="52" spans="1:9" x14ac:dyDescent="0.25">
      <c r="A52" s="42" t="s">
        <v>72</v>
      </c>
      <c r="B52" s="42"/>
      <c r="C52" s="43" t="s">
        <v>51</v>
      </c>
      <c r="D52" s="43">
        <v>896</v>
      </c>
      <c r="E52" s="43"/>
      <c r="F52" s="43" t="s">
        <v>64</v>
      </c>
      <c r="H52" s="17"/>
      <c r="I52" s="17"/>
    </row>
    <row r="53" spans="1:9" x14ac:dyDescent="0.25">
      <c r="A53" s="44" t="s">
        <v>58</v>
      </c>
      <c r="B53" s="44"/>
      <c r="C53" s="45"/>
      <c r="D53" s="45">
        <f>SUBTOTAL(109,Table7[Quota Need])</f>
        <v>3070</v>
      </c>
      <c r="E53"/>
      <c r="F53"/>
      <c r="I53" s="18"/>
    </row>
    <row r="54" spans="1:9" x14ac:dyDescent="0.25">
      <c r="A54" s="17" t="s">
        <v>73</v>
      </c>
    </row>
  </sheetData>
  <sortState xmlns:xlrd2="http://schemas.microsoft.com/office/spreadsheetml/2017/richdata2" ref="A43:E51">
    <sortCondition descending="1" ref="D43:D51"/>
  </sortState>
  <conditionalFormatting sqref="D44:E44">
    <cfRule type="cellIs" dxfId="364" priority="6" operator="greaterThan">
      <formula>#REF!</formula>
    </cfRule>
  </conditionalFormatting>
  <conditionalFormatting sqref="H4:H39">
    <cfRule type="cellIs" dxfId="363" priority="14" operator="greaterThanOrEqual">
      <formula>0</formula>
    </cfRule>
  </conditionalFormatting>
  <conditionalFormatting sqref="H4:H40">
    <cfRule type="cellIs" dxfId="362" priority="2" operator="lessThan">
      <formula>1</formula>
    </cfRule>
  </conditionalFormatting>
  <conditionalFormatting sqref="H40">
    <cfRule type="cellIs" dxfId="361" priority="3" operator="greaterThan">
      <formula>$F$13301</formula>
    </cfRule>
  </conditionalFormatting>
  <conditionalFormatting sqref="I4:I39">
    <cfRule type="cellIs" dxfId="360" priority="1" operator="lessThan">
      <formula>1</formula>
    </cfRule>
  </conditionalFormatting>
  <dataValidations count="1">
    <dataValidation type="list" allowBlank="1" showInputMessage="1" showErrorMessage="1" sqref="A37:B38" xr:uid="{00000000-0002-0000-0300-000000000000}">
      <formula1>Class</formula1>
    </dataValidation>
  </dataValidations>
  <pageMargins left="0.7" right="0.7" top="0.75" bottom="0.75" header="0.3" footer="0.3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E20"/>
  <sheetViews>
    <sheetView zoomScale="110" zoomScaleNormal="110" workbookViewId="0">
      <selection activeCell="G15" sqref="G15"/>
    </sheetView>
  </sheetViews>
  <sheetFormatPr defaultColWidth="11.42578125" defaultRowHeight="15" x14ac:dyDescent="0.25"/>
  <cols>
    <col min="1" max="1" width="14.5703125" bestFit="1" customWidth="1"/>
    <col min="2" max="2" width="19.28515625" customWidth="1"/>
    <col min="3" max="3" width="13.42578125" customWidth="1"/>
    <col min="4" max="4" width="14.28515625" customWidth="1"/>
    <col min="5" max="5" width="24.5703125" style="25" customWidth="1"/>
  </cols>
  <sheetData>
    <row r="1" spans="1:5" x14ac:dyDescent="0.25">
      <c r="A1" s="34" t="s">
        <v>74</v>
      </c>
      <c r="B1" s="35" t="s">
        <v>75</v>
      </c>
      <c r="C1" s="35" t="s">
        <v>76</v>
      </c>
      <c r="D1" s="35" t="s">
        <v>58</v>
      </c>
      <c r="E1" s="36" t="s">
        <v>77</v>
      </c>
    </row>
    <row r="2" spans="1:5" x14ac:dyDescent="0.25">
      <c r="A2" t="s">
        <v>78</v>
      </c>
      <c r="B2" s="21">
        <f>SUMIF(Table2[Primary Instructor],Table57[[#This Row],[Instructor]],Table2[Course Length (Days)])</f>
        <v>284</v>
      </c>
      <c r="C2" s="21">
        <f>SUMIF(Table2[Instructor 2],Table57[[#This Row],[Instructor]],Table2[Course Length (Days)])</f>
        <v>0</v>
      </c>
      <c r="D2" s="21">
        <f>SUM(B2+C2)</f>
        <v>284</v>
      </c>
      <c r="E2" s="33">
        <f t="shared" ref="E2:E20" si="0">SUM(D2/249)</f>
        <v>1.1405622489959839</v>
      </c>
    </row>
    <row r="3" spans="1:5" x14ac:dyDescent="0.25">
      <c r="A3" t="s">
        <v>79</v>
      </c>
      <c r="B3" s="21">
        <f>SUMIF(Table2[Primary Instructor],Table57[[#This Row],[Instructor]],Table2[Course Length (Days)])</f>
        <v>0</v>
      </c>
      <c r="C3" s="21">
        <f>SUMIF(Table2[Instructor 2],Table57[[#This Row],[Instructor]],Table2[Course Length (Days)])</f>
        <v>0</v>
      </c>
      <c r="D3" s="21">
        <f t="shared" ref="D3:D17" si="1">SUM(B3 + C3)</f>
        <v>0</v>
      </c>
      <c r="E3" s="33">
        <f t="shared" si="0"/>
        <v>0</v>
      </c>
    </row>
    <row r="4" spans="1:5" x14ac:dyDescent="0.25">
      <c r="A4" t="s">
        <v>80</v>
      </c>
      <c r="B4" s="21">
        <f>SUMIF(Table2[Primary Instructor],Table57[[#This Row],[Instructor]],Table2[Course Length (Days)])</f>
        <v>124</v>
      </c>
      <c r="C4" s="21">
        <f>SUMIF(Table2[Instructor 2],Table57[[#This Row],[Instructor]],Table2[Course Length (Days)])</f>
        <v>0</v>
      </c>
      <c r="D4" s="21">
        <f t="shared" si="1"/>
        <v>124</v>
      </c>
      <c r="E4" s="33">
        <f t="shared" si="0"/>
        <v>0.49799196787148592</v>
      </c>
    </row>
    <row r="5" spans="1:5" x14ac:dyDescent="0.25">
      <c r="A5" t="s">
        <v>81</v>
      </c>
      <c r="B5" s="21">
        <f>SUMIF(Table2[Primary Instructor],Table57[[#This Row],[Instructor]],Table2[Course Length (Days)])</f>
        <v>97</v>
      </c>
      <c r="C5" s="21">
        <f>SUMIF(Table2[Instructor 2],Table57[[#This Row],[Instructor]],Table2[Course Length (Days)])</f>
        <v>12</v>
      </c>
      <c r="D5" s="21">
        <f t="shared" si="1"/>
        <v>109</v>
      </c>
      <c r="E5" s="33">
        <f t="shared" si="0"/>
        <v>0.43775100401606426</v>
      </c>
    </row>
    <row r="6" spans="1:5" x14ac:dyDescent="0.25">
      <c r="A6" t="s">
        <v>82</v>
      </c>
      <c r="B6" s="21">
        <f>SUMIF(Table2[Primary Instructor],Table57[[#This Row],[Instructor]],Table2[Course Length (Days)])</f>
        <v>0</v>
      </c>
      <c r="C6" s="21">
        <f>SUMIF(Table2[Instructor 2],Table57[[#This Row],[Instructor]],Table2[Course Length (Days)])</f>
        <v>0</v>
      </c>
      <c r="D6" s="21">
        <f t="shared" si="1"/>
        <v>0</v>
      </c>
      <c r="E6" s="33">
        <f t="shared" si="0"/>
        <v>0</v>
      </c>
    </row>
    <row r="7" spans="1:5" x14ac:dyDescent="0.25">
      <c r="A7" t="s">
        <v>83</v>
      </c>
      <c r="B7" s="21">
        <f>SUMIF(Table2[Primary Instructor],Table57[[#This Row],[Instructor]],Table2[Course Length (Days)])</f>
        <v>115</v>
      </c>
      <c r="C7" s="21">
        <f>SUMIF(Table2[Instructor 2],Table57[[#This Row],[Instructor]],Table2[Course Length (Days)])</f>
        <v>0</v>
      </c>
      <c r="D7" s="21">
        <f t="shared" si="1"/>
        <v>115</v>
      </c>
      <c r="E7" s="33">
        <f t="shared" si="0"/>
        <v>0.46184738955823296</v>
      </c>
    </row>
    <row r="8" spans="1:5" x14ac:dyDescent="0.25">
      <c r="A8" t="s">
        <v>84</v>
      </c>
      <c r="B8" s="21">
        <f>SUMIF(Table2[Primary Instructor],Table57[[#This Row],[Instructor]],Table2[Course Length (Days)])</f>
        <v>89</v>
      </c>
      <c r="C8" s="21">
        <f>SUMIF(Table2[Instructor 2],Table57[[#This Row],[Instructor]],Table2[Course Length (Days)])</f>
        <v>30</v>
      </c>
      <c r="D8" s="21">
        <f t="shared" si="1"/>
        <v>119</v>
      </c>
      <c r="E8" s="33">
        <f t="shared" si="0"/>
        <v>0.47791164658634538</v>
      </c>
    </row>
    <row r="9" spans="1:5" x14ac:dyDescent="0.25">
      <c r="A9" t="s">
        <v>85</v>
      </c>
      <c r="B9" s="21">
        <f>SUMIF(Table2[Primary Instructor],Table57[[#This Row],[Instructor]],Table2[Course Length (Days)])</f>
        <v>52</v>
      </c>
      <c r="C9" s="21">
        <f>SUMIF(Table2[Instructor 2],Table57[[#This Row],[Instructor]],Table2[Course Length (Days)])</f>
        <v>0</v>
      </c>
      <c r="D9" s="21">
        <f t="shared" si="1"/>
        <v>52</v>
      </c>
      <c r="E9" s="33">
        <f t="shared" si="0"/>
        <v>0.20883534136546184</v>
      </c>
    </row>
    <row r="10" spans="1:5" x14ac:dyDescent="0.25">
      <c r="A10" t="s">
        <v>86</v>
      </c>
      <c r="B10" s="21">
        <f>SUMIF(Table2[Primary Instructor],Table57[[#This Row],[Instructor]],Table2[Course Length (Days)])</f>
        <v>38</v>
      </c>
      <c r="C10" s="21">
        <f>SUMIF(Table2[Instructor 2],Table57[[#This Row],[Instructor]],Table2[Course Length (Days)])</f>
        <v>28</v>
      </c>
      <c r="D10" s="21">
        <f t="shared" si="1"/>
        <v>66</v>
      </c>
      <c r="E10" s="33">
        <f t="shared" si="0"/>
        <v>0.26506024096385544</v>
      </c>
    </row>
    <row r="11" spans="1:5" x14ac:dyDescent="0.25">
      <c r="A11" t="s">
        <v>87</v>
      </c>
      <c r="B11" s="21">
        <f>SUMIF(Table2[Primary Instructor],Table57[[#This Row],[Instructor]],Table2[Course Length (Days)])</f>
        <v>0</v>
      </c>
      <c r="C11" s="21">
        <f>SUMIF(Table2[Instructor 2],Table57[[#This Row],[Instructor]],Table2[Course Length (Days)])</f>
        <v>0</v>
      </c>
      <c r="D11" s="21">
        <f t="shared" si="1"/>
        <v>0</v>
      </c>
      <c r="E11" s="33">
        <f t="shared" si="0"/>
        <v>0</v>
      </c>
    </row>
    <row r="12" spans="1:5" x14ac:dyDescent="0.25">
      <c r="A12" t="s">
        <v>88</v>
      </c>
      <c r="B12" s="21">
        <f>SUMIF(Table2[Primary Instructor],Table57[[#This Row],[Instructor]],Table2[Course Length (Days)])</f>
        <v>68</v>
      </c>
      <c r="C12" s="21">
        <f>SUMIF(Table2[Instructor 2],Table57[[#This Row],[Instructor]],Table2[Course Length (Days)])</f>
        <v>15</v>
      </c>
      <c r="D12" s="21">
        <f t="shared" si="1"/>
        <v>83</v>
      </c>
      <c r="E12" s="33">
        <f t="shared" si="0"/>
        <v>0.33333333333333331</v>
      </c>
    </row>
    <row r="13" spans="1:5" x14ac:dyDescent="0.25">
      <c r="A13" t="s">
        <v>89</v>
      </c>
      <c r="B13" s="21">
        <f>SUMIF(Table2[Primary Instructor],Table57[[#This Row],[Instructor]],Table2[Course Length (Days)])</f>
        <v>122</v>
      </c>
      <c r="C13" s="21">
        <f>SUMIF(Table2[Instructor 2],Table57[[#This Row],[Instructor]],Table2[Course Length (Days)])</f>
        <v>0</v>
      </c>
      <c r="D13" s="21">
        <f t="shared" si="1"/>
        <v>122</v>
      </c>
      <c r="E13" s="33">
        <f t="shared" si="0"/>
        <v>0.48995983935742971</v>
      </c>
    </row>
    <row r="14" spans="1:5" x14ac:dyDescent="0.25">
      <c r="A14" t="s">
        <v>90</v>
      </c>
      <c r="B14" s="21">
        <f>SUMIF(Table2[Primary Instructor],Table57[[#This Row],[Instructor]],Table2[Course Length (Days)])</f>
        <v>39</v>
      </c>
      <c r="C14" s="21">
        <f>SUMIF(Table2[Instructor 2],Table57[[#This Row],[Instructor]],Table2[Course Length (Days)])</f>
        <v>47</v>
      </c>
      <c r="D14" s="21">
        <f t="shared" si="1"/>
        <v>86</v>
      </c>
      <c r="E14" s="33">
        <f t="shared" si="0"/>
        <v>0.34538152610441769</v>
      </c>
    </row>
    <row r="15" spans="1:5" x14ac:dyDescent="0.25">
      <c r="A15" t="s">
        <v>91</v>
      </c>
      <c r="B15" s="21">
        <f>SUMIF(Table2[Primary Instructor],Table57[[#This Row],[Instructor]],Table2[Course Length (Days)])</f>
        <v>0</v>
      </c>
      <c r="C15" s="21">
        <f>SUMIF(Table2[Instructor 2],Table57[[#This Row],[Instructor]],Table2[Course Length (Days)])</f>
        <v>0</v>
      </c>
      <c r="D15" s="21">
        <f t="shared" si="1"/>
        <v>0</v>
      </c>
      <c r="E15" s="33">
        <f t="shared" si="0"/>
        <v>0</v>
      </c>
    </row>
    <row r="16" spans="1:5" x14ac:dyDescent="0.25">
      <c r="A16" t="s">
        <v>92</v>
      </c>
      <c r="B16" s="21">
        <f>SUMIF(Table2[Primary Instructor],Table57[[#This Row],[Instructor]],Table2[Course Length (Days)])</f>
        <v>93</v>
      </c>
      <c r="C16" s="21">
        <f>SUMIF(Table2[Instructor 2],Table57[[#This Row],[Instructor]],Table2[Course Length (Days)])</f>
        <v>0</v>
      </c>
      <c r="D16" s="21">
        <f t="shared" si="1"/>
        <v>93</v>
      </c>
      <c r="E16" s="33">
        <f t="shared" si="0"/>
        <v>0.37349397590361444</v>
      </c>
    </row>
    <row r="17" spans="1:5" x14ac:dyDescent="0.25">
      <c r="A17" t="s">
        <v>93</v>
      </c>
      <c r="B17" s="21">
        <f>SUMIF(Table2[Primary Instructor],Table57[[#This Row],[Instructor]],Table2[Course Length (Days)])</f>
        <v>0</v>
      </c>
      <c r="C17" s="21">
        <f>SUMIF(Table2[Instructor 2],Table57[[#This Row],[Instructor]],Table2[Course Length (Days)])</f>
        <v>0</v>
      </c>
      <c r="D17" s="21">
        <f t="shared" si="1"/>
        <v>0</v>
      </c>
      <c r="E17" s="33">
        <f t="shared" si="0"/>
        <v>0</v>
      </c>
    </row>
    <row r="18" spans="1:5" x14ac:dyDescent="0.25">
      <c r="A18" t="s">
        <v>94</v>
      </c>
      <c r="B18" s="21">
        <f>SUMIF(Table2[Primary Instructor],Table57[[#This Row],[Instructor]],Table2[Course Length (Days)])</f>
        <v>263</v>
      </c>
      <c r="C18" s="21">
        <f>SUMIF(Table2[Instructor 2],Table57[[#This Row],[Instructor]],Table2[Course Length (Days)])</f>
        <v>0</v>
      </c>
      <c r="D18" s="21">
        <v>21</v>
      </c>
      <c r="E18" s="33">
        <f t="shared" si="0"/>
        <v>8.4337349397590355E-2</v>
      </c>
    </row>
    <row r="19" spans="1:5" x14ac:dyDescent="0.25">
      <c r="A19" t="s">
        <v>95</v>
      </c>
      <c r="B19" s="21">
        <f>SUMIF(Table2[Primary Instructor],Table57[[#This Row],[Instructor]],Table2[Course Length (Days)])</f>
        <v>50</v>
      </c>
      <c r="C19" s="21">
        <f>SUMIF(Table2[Instructor 2],Table57[[#This Row],[Instructor]],Table2[Course Length (Days)])</f>
        <v>0</v>
      </c>
      <c r="D19" s="21">
        <v>3</v>
      </c>
      <c r="E19" s="33">
        <f t="shared" si="0"/>
        <v>1.2048192771084338E-2</v>
      </c>
    </row>
    <row r="20" spans="1:5" x14ac:dyDescent="0.25">
      <c r="A20" t="s">
        <v>96</v>
      </c>
      <c r="B20" s="21">
        <f>SUMIF(Table2[Primary Instructor],Table57[[#This Row],[Instructor]],Table2[Course Length (Days)])</f>
        <v>0</v>
      </c>
      <c r="C20" s="21">
        <f>SUMIF(Table2[Instructor 2],Table57[[#This Row],[Instructor]],Table2[Course Length (Days)])</f>
        <v>0</v>
      </c>
      <c r="D20" s="21">
        <f>SUM(B20 + C20)</f>
        <v>0</v>
      </c>
      <c r="E20" s="33">
        <f t="shared" si="0"/>
        <v>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E20"/>
  <sheetViews>
    <sheetView zoomScale="110" zoomScaleNormal="110" workbookViewId="0">
      <selection activeCell="D28" sqref="D28"/>
    </sheetView>
  </sheetViews>
  <sheetFormatPr defaultColWidth="11.42578125" defaultRowHeight="15" x14ac:dyDescent="0.25"/>
  <cols>
    <col min="1" max="1" width="14.5703125" bestFit="1" customWidth="1"/>
    <col min="2" max="2" width="19.28515625" customWidth="1"/>
    <col min="3" max="3" width="13.42578125" customWidth="1"/>
    <col min="4" max="4" width="14.28515625" customWidth="1"/>
    <col min="5" max="5" width="24.5703125" style="25" customWidth="1"/>
  </cols>
  <sheetData>
    <row r="1" spans="1:5" x14ac:dyDescent="0.25">
      <c r="A1" s="34" t="s">
        <v>74</v>
      </c>
      <c r="B1" s="35" t="s">
        <v>75</v>
      </c>
      <c r="C1" s="35" t="s">
        <v>76</v>
      </c>
      <c r="D1" s="35" t="s">
        <v>58</v>
      </c>
      <c r="E1" s="36" t="s">
        <v>77</v>
      </c>
    </row>
    <row r="2" spans="1:5" x14ac:dyDescent="0.25">
      <c r="A2" t="s">
        <v>78</v>
      </c>
      <c r="B2" s="21">
        <f>COUNTIF(Table2[Primary Instructor],Table5[[#This Row],[Instructor]])</f>
        <v>128</v>
      </c>
      <c r="C2" s="21">
        <f>COUNTIF(Table2[Instructor 2],Table5[[#This Row],[Instructor]])</f>
        <v>0</v>
      </c>
      <c r="D2" s="21">
        <f>SUM(B2+C2)</f>
        <v>128</v>
      </c>
      <c r="E2" s="33">
        <f t="shared" ref="E2:E20" si="0">SUM(D2/52)</f>
        <v>2.4615384615384617</v>
      </c>
    </row>
    <row r="3" spans="1:5" x14ac:dyDescent="0.25">
      <c r="A3" t="s">
        <v>81</v>
      </c>
      <c r="B3" s="21">
        <f>COUNTIF(Table2[Primary Instructor],Table5[[#This Row],[Instructor]])</f>
        <v>34</v>
      </c>
      <c r="C3" s="21">
        <f>COUNTIF(Table2[Instructor 2],Table5[[#This Row],[Instructor]])</f>
        <v>3</v>
      </c>
      <c r="D3" s="21">
        <f>SUM(B3 + C3)</f>
        <v>37</v>
      </c>
      <c r="E3" s="33">
        <f t="shared" si="0"/>
        <v>0.71153846153846156</v>
      </c>
    </row>
    <row r="4" spans="1:5" x14ac:dyDescent="0.25">
      <c r="A4" t="s">
        <v>80</v>
      </c>
      <c r="B4" s="21">
        <f>COUNTIF(Table2[Primary Instructor],Table5[[#This Row],[Instructor]])</f>
        <v>25</v>
      </c>
      <c r="C4" s="21">
        <f>COUNTIF(Table2[Instructor 2],Table5[[#This Row],[Instructor]])</f>
        <v>0</v>
      </c>
      <c r="D4" s="21">
        <f>SUM(B4 + C4)</f>
        <v>25</v>
      </c>
      <c r="E4" s="33">
        <f t="shared" si="0"/>
        <v>0.48076923076923078</v>
      </c>
    </row>
    <row r="5" spans="1:5" x14ac:dyDescent="0.25">
      <c r="A5" t="s">
        <v>84</v>
      </c>
      <c r="B5" s="21">
        <f>COUNTIF(Table2[Primary Instructor],Table5[[#This Row],[Instructor]])</f>
        <v>26</v>
      </c>
      <c r="C5" s="21">
        <f>COUNTIF(Table2[Instructor 2],Table5[[#This Row],[Instructor]])</f>
        <v>8</v>
      </c>
      <c r="D5" s="21">
        <f>SUM(B5 + C5)</f>
        <v>34</v>
      </c>
      <c r="E5" s="33">
        <f t="shared" si="0"/>
        <v>0.65384615384615385</v>
      </c>
    </row>
    <row r="6" spans="1:5" x14ac:dyDescent="0.25">
      <c r="A6" t="s">
        <v>79</v>
      </c>
      <c r="B6" s="21">
        <f>COUNTIF(Table2[Primary Instructor],Table5[[#This Row],[Instructor]])</f>
        <v>0</v>
      </c>
      <c r="C6" s="21">
        <f>COUNTIF(Table2[Instructor 2],Table5[[#This Row],[Instructor]])</f>
        <v>0</v>
      </c>
      <c r="D6" s="21">
        <f>SUM(B6 + C6)</f>
        <v>0</v>
      </c>
      <c r="E6" s="33">
        <f t="shared" si="0"/>
        <v>0</v>
      </c>
    </row>
    <row r="7" spans="1:5" x14ac:dyDescent="0.25">
      <c r="A7" t="s">
        <v>88</v>
      </c>
      <c r="B7" s="21">
        <f>COUNTIF(Table2[Primary Instructor],Table5[[#This Row],[Instructor]])</f>
        <v>21</v>
      </c>
      <c r="C7" s="21">
        <f>COUNTIF(Table2[Instructor 2],Table5[[#This Row],[Instructor]])</f>
        <v>7</v>
      </c>
      <c r="D7" s="21">
        <f>SUM(B7 + C7)</f>
        <v>28</v>
      </c>
      <c r="E7" s="33">
        <f t="shared" si="0"/>
        <v>0.53846153846153844</v>
      </c>
    </row>
    <row r="8" spans="1:5" x14ac:dyDescent="0.25">
      <c r="A8" t="s">
        <v>94</v>
      </c>
      <c r="B8" s="21">
        <f>COUNTIF(Table2[Primary Instructor],Table5[[#This Row],[Instructor]])</f>
        <v>57</v>
      </c>
      <c r="C8" s="21">
        <f>COUNTIF(Table2[Instructor 2],Table5[[#This Row],[Instructor]])</f>
        <v>0</v>
      </c>
      <c r="D8" s="21">
        <v>21</v>
      </c>
      <c r="E8" s="33">
        <f t="shared" si="0"/>
        <v>0.40384615384615385</v>
      </c>
    </row>
    <row r="9" spans="1:5" x14ac:dyDescent="0.25">
      <c r="A9" t="s">
        <v>86</v>
      </c>
      <c r="B9" s="21">
        <f>COUNTIF(Table2[Primary Instructor],Table5[[#This Row],[Instructor]])</f>
        <v>10</v>
      </c>
      <c r="C9" s="21">
        <f>COUNTIF(Table2[Instructor 2],Table5[[#This Row],[Instructor]])</f>
        <v>10</v>
      </c>
      <c r="D9" s="21">
        <f t="shared" ref="D9:D18" si="1">SUM(B9 + C9)</f>
        <v>20</v>
      </c>
      <c r="E9" s="33">
        <f t="shared" si="0"/>
        <v>0.38461538461538464</v>
      </c>
    </row>
    <row r="10" spans="1:5" x14ac:dyDescent="0.25">
      <c r="A10" t="s">
        <v>82</v>
      </c>
      <c r="B10" s="21">
        <f>COUNTIF(Table2[Primary Instructor],Table5[[#This Row],[Instructor]])</f>
        <v>0</v>
      </c>
      <c r="C10" s="21">
        <f>COUNTIF(Table2[Instructor 2],Table5[[#This Row],[Instructor]])</f>
        <v>0</v>
      </c>
      <c r="D10" s="21">
        <f t="shared" si="1"/>
        <v>0</v>
      </c>
      <c r="E10" s="33">
        <f t="shared" si="0"/>
        <v>0</v>
      </c>
    </row>
    <row r="11" spans="1:5" x14ac:dyDescent="0.25">
      <c r="A11" t="s">
        <v>85</v>
      </c>
      <c r="B11" s="21">
        <f>COUNTIF(Table2[Primary Instructor],Table5[[#This Row],[Instructor]])</f>
        <v>13</v>
      </c>
      <c r="C11" s="21">
        <f>COUNTIF(Table2[Instructor 2],Table5[[#This Row],[Instructor]])</f>
        <v>0</v>
      </c>
      <c r="D11" s="21">
        <f t="shared" si="1"/>
        <v>13</v>
      </c>
      <c r="E11" s="33">
        <f t="shared" si="0"/>
        <v>0.25</v>
      </c>
    </row>
    <row r="12" spans="1:5" x14ac:dyDescent="0.25">
      <c r="A12" t="s">
        <v>87</v>
      </c>
      <c r="B12" s="21">
        <f>COUNTIF(Table2[Primary Instructor],Table5[[#This Row],[Instructor]])</f>
        <v>0</v>
      </c>
      <c r="C12" s="21">
        <f>COUNTIF(Table2[Instructor 2],Table5[[#This Row],[Instructor]])</f>
        <v>0</v>
      </c>
      <c r="D12" s="21">
        <f t="shared" si="1"/>
        <v>0</v>
      </c>
      <c r="E12" s="33">
        <f t="shared" si="0"/>
        <v>0</v>
      </c>
    </row>
    <row r="13" spans="1:5" x14ac:dyDescent="0.25">
      <c r="A13" t="s">
        <v>83</v>
      </c>
      <c r="B13" s="21">
        <f>COUNTIF(Table2[Primary Instructor],Table5[[#This Row],[Instructor]])</f>
        <v>23</v>
      </c>
      <c r="C13" s="21">
        <f>COUNTIF(Table2[Instructor 2],Table5[[#This Row],[Instructor]])</f>
        <v>0</v>
      </c>
      <c r="D13" s="21">
        <f t="shared" si="1"/>
        <v>23</v>
      </c>
      <c r="E13" s="33">
        <f t="shared" si="0"/>
        <v>0.44230769230769229</v>
      </c>
    </row>
    <row r="14" spans="1:5" x14ac:dyDescent="0.25">
      <c r="A14" t="s">
        <v>89</v>
      </c>
      <c r="B14" s="21">
        <f>COUNTIF(Table2[Primary Instructor],Table5[[#This Row],[Instructor]])</f>
        <v>28</v>
      </c>
      <c r="C14" s="21">
        <f>COUNTIF(Table2[Instructor 2],Table5[[#This Row],[Instructor]])</f>
        <v>0</v>
      </c>
      <c r="D14" s="21">
        <f t="shared" si="1"/>
        <v>28</v>
      </c>
      <c r="E14" s="33">
        <f t="shared" si="0"/>
        <v>0.53846153846153844</v>
      </c>
    </row>
    <row r="15" spans="1:5" x14ac:dyDescent="0.25">
      <c r="A15" t="s">
        <v>90</v>
      </c>
      <c r="B15" s="21">
        <f>COUNTIF(Table2[Primary Instructor],Table5[[#This Row],[Instructor]])</f>
        <v>11</v>
      </c>
      <c r="C15" s="21">
        <f>COUNTIF(Table2[Instructor 2],Table5[[#This Row],[Instructor]])</f>
        <v>13</v>
      </c>
      <c r="D15" s="21">
        <f t="shared" si="1"/>
        <v>24</v>
      </c>
      <c r="E15" s="33">
        <f t="shared" si="0"/>
        <v>0.46153846153846156</v>
      </c>
    </row>
    <row r="16" spans="1:5" x14ac:dyDescent="0.25">
      <c r="A16" t="s">
        <v>91</v>
      </c>
      <c r="B16" s="21">
        <f>COUNTIF(Table2[Primary Instructor],Table5[[#This Row],[Instructor]])</f>
        <v>0</v>
      </c>
      <c r="C16" s="21">
        <f>COUNTIF(Table2[Instructor 2],Table5[[#This Row],[Instructor]])</f>
        <v>0</v>
      </c>
      <c r="D16" s="21">
        <f t="shared" si="1"/>
        <v>0</v>
      </c>
      <c r="E16" s="33">
        <f t="shared" si="0"/>
        <v>0</v>
      </c>
    </row>
    <row r="17" spans="1:5" x14ac:dyDescent="0.25">
      <c r="A17" t="s">
        <v>92</v>
      </c>
      <c r="B17" s="21">
        <f>COUNTIF(Table2[Primary Instructor],Table5[[#This Row],[Instructor]])</f>
        <v>19</v>
      </c>
      <c r="C17" s="21">
        <f>COUNTIF(Table2[Instructor 2],Table5[[#This Row],[Instructor]])</f>
        <v>0</v>
      </c>
      <c r="D17" s="21">
        <f t="shared" si="1"/>
        <v>19</v>
      </c>
      <c r="E17" s="33">
        <f t="shared" si="0"/>
        <v>0.36538461538461536</v>
      </c>
    </row>
    <row r="18" spans="1:5" x14ac:dyDescent="0.25">
      <c r="A18" t="s">
        <v>93</v>
      </c>
      <c r="B18" s="21">
        <f>COUNTIF(Table2[Primary Instructor],Table5[[#This Row],[Instructor]])</f>
        <v>0</v>
      </c>
      <c r="C18" s="21">
        <f>COUNTIF(Table2[Instructor 2],Table5[[#This Row],[Instructor]])</f>
        <v>0</v>
      </c>
      <c r="D18" s="21">
        <f t="shared" si="1"/>
        <v>0</v>
      </c>
      <c r="E18" s="33">
        <f t="shared" si="0"/>
        <v>0</v>
      </c>
    </row>
    <row r="19" spans="1:5" x14ac:dyDescent="0.25">
      <c r="A19" t="s">
        <v>95</v>
      </c>
      <c r="B19" s="21">
        <f>COUNTIF(Table2[Primary Instructor],Table5[[#This Row],[Instructor]])</f>
        <v>10</v>
      </c>
      <c r="C19" s="21">
        <f>COUNTIF(Table2[Instructor 2],Table5[[#This Row],[Instructor]])</f>
        <v>0</v>
      </c>
      <c r="D19" s="21">
        <v>3</v>
      </c>
      <c r="E19" s="33">
        <f t="shared" si="0"/>
        <v>5.7692307692307696E-2</v>
      </c>
    </row>
    <row r="20" spans="1:5" x14ac:dyDescent="0.25">
      <c r="A20" t="s">
        <v>96</v>
      </c>
      <c r="B20" s="21">
        <f>COUNTIF(Table2[Primary Instructor],Table5[[#This Row],[Instructor]])</f>
        <v>0</v>
      </c>
      <c r="C20" s="21">
        <f>COUNTIF(Table2[Instructor 2],Table5[[#This Row],[Instructor]])</f>
        <v>0</v>
      </c>
      <c r="D20" s="21">
        <f>SUM(B20 + C20)</f>
        <v>0</v>
      </c>
      <c r="E20" s="33">
        <f t="shared" si="0"/>
        <v>0</v>
      </c>
    </row>
  </sheetData>
  <sheetProtection selectLockedCells="1" selectUnlockedCells="1"/>
  <pageMargins left="0.7" right="0.7" top="0.75" bottom="0.75" header="0.3" footer="0.3"/>
  <pageSetup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B71"/>
  <sheetViews>
    <sheetView workbookViewId="0">
      <selection activeCell="G13" sqref="G13"/>
    </sheetView>
  </sheetViews>
  <sheetFormatPr defaultColWidth="8.7109375" defaultRowHeight="15" x14ac:dyDescent="0.25"/>
  <cols>
    <col min="1" max="1" width="30.7109375" bestFit="1" customWidth="1"/>
    <col min="2" max="2" width="16.42578125" bestFit="1" customWidth="1"/>
  </cols>
  <sheetData>
    <row r="1" spans="1:2" x14ac:dyDescent="0.25">
      <c r="A1" s="6" t="s">
        <v>97</v>
      </c>
      <c r="B1" t="s">
        <v>98</v>
      </c>
    </row>
    <row r="3" spans="1:2" x14ac:dyDescent="0.25">
      <c r="A3" s="6" t="s">
        <v>0</v>
      </c>
      <c r="B3" t="s">
        <v>99</v>
      </c>
    </row>
    <row r="4" spans="1:2" x14ac:dyDescent="0.25">
      <c r="A4" s="4" t="s">
        <v>100</v>
      </c>
      <c r="B4">
        <v>2</v>
      </c>
    </row>
    <row r="5" spans="1:2" x14ac:dyDescent="0.25">
      <c r="A5" s="4" t="s">
        <v>101</v>
      </c>
      <c r="B5">
        <v>3</v>
      </c>
    </row>
    <row r="6" spans="1:2" x14ac:dyDescent="0.25">
      <c r="A6" s="4" t="s">
        <v>102</v>
      </c>
      <c r="B6">
        <v>3</v>
      </c>
    </row>
    <row r="7" spans="1:2" x14ac:dyDescent="0.25">
      <c r="A7" s="4" t="s">
        <v>103</v>
      </c>
      <c r="B7">
        <v>5</v>
      </c>
    </row>
    <row r="8" spans="1:2" x14ac:dyDescent="0.25">
      <c r="A8" s="4" t="s">
        <v>104</v>
      </c>
      <c r="B8">
        <v>12</v>
      </c>
    </row>
    <row r="9" spans="1:2" x14ac:dyDescent="0.25">
      <c r="A9" s="4" t="s">
        <v>105</v>
      </c>
    </row>
    <row r="10" spans="1:2" x14ac:dyDescent="0.25">
      <c r="A10" s="4" t="s">
        <v>106</v>
      </c>
      <c r="B10">
        <v>1</v>
      </c>
    </row>
    <row r="11" spans="1:2" x14ac:dyDescent="0.25">
      <c r="A11" s="4" t="s">
        <v>107</v>
      </c>
      <c r="B11">
        <v>2</v>
      </c>
    </row>
    <row r="12" spans="1:2" x14ac:dyDescent="0.25">
      <c r="A12" s="4" t="s">
        <v>108</v>
      </c>
      <c r="B12">
        <v>4</v>
      </c>
    </row>
    <row r="13" spans="1:2" x14ac:dyDescent="0.25">
      <c r="A13" s="4" t="s">
        <v>109</v>
      </c>
      <c r="B13">
        <v>1</v>
      </c>
    </row>
    <row r="14" spans="1:2" x14ac:dyDescent="0.25">
      <c r="A14" s="4" t="s">
        <v>110</v>
      </c>
      <c r="B14">
        <v>4</v>
      </c>
    </row>
    <row r="15" spans="1:2" x14ac:dyDescent="0.25">
      <c r="A15" s="4" t="s">
        <v>111</v>
      </c>
      <c r="B15">
        <v>2</v>
      </c>
    </row>
    <row r="16" spans="1:2" x14ac:dyDescent="0.25">
      <c r="A16" s="4" t="s">
        <v>112</v>
      </c>
      <c r="B16">
        <v>3</v>
      </c>
    </row>
    <row r="17" spans="1:2" x14ac:dyDescent="0.25">
      <c r="A17" s="4" t="s">
        <v>113</v>
      </c>
      <c r="B17">
        <v>2</v>
      </c>
    </row>
    <row r="18" spans="1:2" x14ac:dyDescent="0.25">
      <c r="A18" s="4" t="s">
        <v>114</v>
      </c>
      <c r="B18">
        <v>2</v>
      </c>
    </row>
    <row r="19" spans="1:2" x14ac:dyDescent="0.25">
      <c r="A19" s="4" t="s">
        <v>115</v>
      </c>
      <c r="B19">
        <v>4</v>
      </c>
    </row>
    <row r="20" spans="1:2" x14ac:dyDescent="0.25">
      <c r="A20" s="4" t="s">
        <v>116</v>
      </c>
      <c r="B20">
        <v>150</v>
      </c>
    </row>
    <row r="21" spans="1:2" x14ac:dyDescent="0.25">
      <c r="A21" s="4" t="s">
        <v>117</v>
      </c>
      <c r="B21">
        <v>5</v>
      </c>
    </row>
    <row r="22" spans="1:2" x14ac:dyDescent="0.25">
      <c r="A22" s="4" t="s">
        <v>118</v>
      </c>
      <c r="B22">
        <v>3</v>
      </c>
    </row>
    <row r="23" spans="1:2" x14ac:dyDescent="0.25">
      <c r="A23" s="4" t="s">
        <v>119</v>
      </c>
      <c r="B23">
        <v>7</v>
      </c>
    </row>
    <row r="24" spans="1:2" x14ac:dyDescent="0.25">
      <c r="A24" s="4" t="s">
        <v>120</v>
      </c>
      <c r="B24">
        <v>6</v>
      </c>
    </row>
    <row r="25" spans="1:2" x14ac:dyDescent="0.25">
      <c r="A25" s="4" t="s">
        <v>121</v>
      </c>
      <c r="B25">
        <v>3</v>
      </c>
    </row>
    <row r="26" spans="1:2" x14ac:dyDescent="0.25">
      <c r="A26" s="4" t="s">
        <v>122</v>
      </c>
      <c r="B26">
        <v>2</v>
      </c>
    </row>
    <row r="27" spans="1:2" x14ac:dyDescent="0.25">
      <c r="A27" s="4" t="s">
        <v>123</v>
      </c>
      <c r="B27">
        <v>2</v>
      </c>
    </row>
    <row r="28" spans="1:2" x14ac:dyDescent="0.25">
      <c r="A28" s="4" t="s">
        <v>124</v>
      </c>
      <c r="B28">
        <v>5</v>
      </c>
    </row>
    <row r="29" spans="1:2" x14ac:dyDescent="0.25">
      <c r="A29" s="4" t="s">
        <v>125</v>
      </c>
      <c r="B29">
        <v>1</v>
      </c>
    </row>
    <row r="30" spans="1:2" x14ac:dyDescent="0.25">
      <c r="A30" s="4" t="s">
        <v>126</v>
      </c>
      <c r="B30">
        <v>2</v>
      </c>
    </row>
    <row r="31" spans="1:2" x14ac:dyDescent="0.25">
      <c r="A31" s="4" t="s">
        <v>127</v>
      </c>
      <c r="B31">
        <v>1</v>
      </c>
    </row>
    <row r="32" spans="1:2" x14ac:dyDescent="0.25">
      <c r="A32" s="4" t="s">
        <v>128</v>
      </c>
      <c r="B32">
        <v>1</v>
      </c>
    </row>
    <row r="33" spans="1:2" x14ac:dyDescent="0.25">
      <c r="A33" s="4" t="s">
        <v>129</v>
      </c>
      <c r="B33">
        <v>1</v>
      </c>
    </row>
    <row r="34" spans="1:2" x14ac:dyDescent="0.25">
      <c r="A34" s="4" t="s">
        <v>130</v>
      </c>
      <c r="B34">
        <v>1</v>
      </c>
    </row>
    <row r="35" spans="1:2" x14ac:dyDescent="0.25">
      <c r="A35" s="4" t="s">
        <v>131</v>
      </c>
      <c r="B35">
        <v>4</v>
      </c>
    </row>
    <row r="36" spans="1:2" x14ac:dyDescent="0.25">
      <c r="A36" s="4" t="s">
        <v>132</v>
      </c>
      <c r="B36">
        <v>1</v>
      </c>
    </row>
    <row r="37" spans="1:2" x14ac:dyDescent="0.25">
      <c r="A37" s="4" t="s">
        <v>133</v>
      </c>
      <c r="B37">
        <v>4</v>
      </c>
    </row>
    <row r="38" spans="1:2" x14ac:dyDescent="0.25">
      <c r="A38" s="4" t="s">
        <v>134</v>
      </c>
      <c r="B38">
        <v>1</v>
      </c>
    </row>
    <row r="39" spans="1:2" x14ac:dyDescent="0.25">
      <c r="A39" s="4" t="s">
        <v>135</v>
      </c>
      <c r="B39">
        <v>5</v>
      </c>
    </row>
    <row r="40" spans="1:2" x14ac:dyDescent="0.25">
      <c r="A40" s="4" t="s">
        <v>136</v>
      </c>
      <c r="B40">
        <v>1</v>
      </c>
    </row>
    <row r="41" spans="1:2" x14ac:dyDescent="0.25">
      <c r="A41" s="4" t="s">
        <v>137</v>
      </c>
      <c r="B41">
        <v>1</v>
      </c>
    </row>
    <row r="42" spans="1:2" x14ac:dyDescent="0.25">
      <c r="A42" s="4" t="s">
        <v>138</v>
      </c>
      <c r="B42">
        <v>1</v>
      </c>
    </row>
    <row r="43" spans="1:2" x14ac:dyDescent="0.25">
      <c r="A43" s="4" t="s">
        <v>139</v>
      </c>
      <c r="B43">
        <v>3</v>
      </c>
    </row>
    <row r="44" spans="1:2" x14ac:dyDescent="0.25">
      <c r="A44" s="4" t="s">
        <v>140</v>
      </c>
      <c r="B44">
        <v>27</v>
      </c>
    </row>
    <row r="45" spans="1:2" x14ac:dyDescent="0.25">
      <c r="A45" s="4" t="s">
        <v>141</v>
      </c>
      <c r="B45">
        <v>5</v>
      </c>
    </row>
    <row r="46" spans="1:2" x14ac:dyDescent="0.25">
      <c r="A46" s="4" t="s">
        <v>142</v>
      </c>
      <c r="B46">
        <v>3</v>
      </c>
    </row>
    <row r="47" spans="1:2" x14ac:dyDescent="0.25">
      <c r="A47" s="4" t="s">
        <v>143</v>
      </c>
      <c r="B47">
        <v>3</v>
      </c>
    </row>
    <row r="48" spans="1:2" x14ac:dyDescent="0.25">
      <c r="A48" s="4" t="s">
        <v>144</v>
      </c>
      <c r="B48">
        <v>3</v>
      </c>
    </row>
    <row r="49" spans="1:2" x14ac:dyDescent="0.25">
      <c r="A49" s="4" t="s">
        <v>145</v>
      </c>
      <c r="B49">
        <v>1</v>
      </c>
    </row>
    <row r="50" spans="1:2" x14ac:dyDescent="0.25">
      <c r="A50" s="4" t="s">
        <v>146</v>
      </c>
      <c r="B50">
        <v>5</v>
      </c>
    </row>
    <row r="51" spans="1:2" x14ac:dyDescent="0.25">
      <c r="A51" s="4" t="s">
        <v>147</v>
      </c>
      <c r="B51">
        <v>14</v>
      </c>
    </row>
    <row r="52" spans="1:2" x14ac:dyDescent="0.25">
      <c r="A52" s="4" t="s">
        <v>148</v>
      </c>
      <c r="B52">
        <v>3</v>
      </c>
    </row>
    <row r="53" spans="1:2" x14ac:dyDescent="0.25">
      <c r="A53" s="4" t="s">
        <v>149</v>
      </c>
      <c r="B53">
        <v>1</v>
      </c>
    </row>
    <row r="54" spans="1:2" x14ac:dyDescent="0.25">
      <c r="A54" s="4" t="s">
        <v>150</v>
      </c>
      <c r="B54">
        <v>2</v>
      </c>
    </row>
    <row r="55" spans="1:2" x14ac:dyDescent="0.25">
      <c r="A55" s="4" t="s">
        <v>151</v>
      </c>
      <c r="B55">
        <v>7</v>
      </c>
    </row>
    <row r="56" spans="1:2" x14ac:dyDescent="0.25">
      <c r="A56" s="4" t="s">
        <v>152</v>
      </c>
      <c r="B56">
        <v>1</v>
      </c>
    </row>
    <row r="57" spans="1:2" x14ac:dyDescent="0.25">
      <c r="A57" s="4" t="s">
        <v>153</v>
      </c>
      <c r="B57">
        <v>7</v>
      </c>
    </row>
    <row r="58" spans="1:2" x14ac:dyDescent="0.25">
      <c r="A58" s="4" t="s">
        <v>154</v>
      </c>
      <c r="B58">
        <v>1</v>
      </c>
    </row>
    <row r="59" spans="1:2" x14ac:dyDescent="0.25">
      <c r="A59" s="4" t="s">
        <v>155</v>
      </c>
      <c r="B59">
        <v>16</v>
      </c>
    </row>
    <row r="60" spans="1:2" x14ac:dyDescent="0.25">
      <c r="A60" s="4" t="s">
        <v>156</v>
      </c>
      <c r="B60">
        <v>3</v>
      </c>
    </row>
    <row r="61" spans="1:2" x14ac:dyDescent="0.25">
      <c r="A61" s="4" t="s">
        <v>157</v>
      </c>
      <c r="B61">
        <v>4</v>
      </c>
    </row>
    <row r="62" spans="1:2" x14ac:dyDescent="0.25">
      <c r="A62" s="4" t="s">
        <v>158</v>
      </c>
      <c r="B62">
        <v>5</v>
      </c>
    </row>
    <row r="63" spans="1:2" x14ac:dyDescent="0.25">
      <c r="A63" s="4" t="s">
        <v>159</v>
      </c>
      <c r="B63">
        <v>2</v>
      </c>
    </row>
    <row r="64" spans="1:2" x14ac:dyDescent="0.25">
      <c r="A64" s="4" t="s">
        <v>160</v>
      </c>
      <c r="B64">
        <v>7</v>
      </c>
    </row>
    <row r="65" spans="1:2" x14ac:dyDescent="0.25">
      <c r="A65" s="4" t="s">
        <v>161</v>
      </c>
      <c r="B65">
        <v>1</v>
      </c>
    </row>
    <row r="66" spans="1:2" x14ac:dyDescent="0.25">
      <c r="A66" s="4" t="s">
        <v>162</v>
      </c>
      <c r="B66">
        <v>1</v>
      </c>
    </row>
    <row r="67" spans="1:2" x14ac:dyDescent="0.25">
      <c r="A67" s="4" t="s">
        <v>163</v>
      </c>
      <c r="B67">
        <v>1</v>
      </c>
    </row>
    <row r="68" spans="1:2" x14ac:dyDescent="0.25">
      <c r="A68" s="4" t="s">
        <v>164</v>
      </c>
      <c r="B68">
        <v>1</v>
      </c>
    </row>
    <row r="69" spans="1:2" x14ac:dyDescent="0.25">
      <c r="A69" s="4" t="s">
        <v>165</v>
      </c>
      <c r="B69">
        <v>4</v>
      </c>
    </row>
    <row r="70" spans="1:2" x14ac:dyDescent="0.25">
      <c r="A70" s="4" t="s">
        <v>166</v>
      </c>
      <c r="B70">
        <v>18</v>
      </c>
    </row>
    <row r="71" spans="1:2" x14ac:dyDescent="0.25">
      <c r="A71" s="4" t="s">
        <v>41</v>
      </c>
      <c r="B71">
        <v>407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rgb="FFFF0000"/>
  </sheetPr>
  <dimension ref="A1:L97"/>
  <sheetViews>
    <sheetView topLeftCell="D1" zoomScale="70" zoomScaleNormal="70" workbookViewId="0">
      <selection activeCell="G31" sqref="G31"/>
    </sheetView>
  </sheetViews>
  <sheetFormatPr defaultColWidth="8.7109375" defaultRowHeight="15" x14ac:dyDescent="0.25"/>
  <cols>
    <col min="1" max="1" width="70.28515625" bestFit="1" customWidth="1"/>
    <col min="2" max="2" width="11.28515625" bestFit="1" customWidth="1"/>
    <col min="3" max="3" width="8.7109375" style="1"/>
    <col min="6" max="6" width="14.42578125" bestFit="1" customWidth="1"/>
    <col min="7" max="8" width="12" bestFit="1" customWidth="1"/>
    <col min="9" max="9" width="13.28515625" bestFit="1" customWidth="1"/>
    <col min="10" max="10" width="24.7109375" bestFit="1" customWidth="1"/>
    <col min="11" max="11" width="24" bestFit="1" customWidth="1"/>
    <col min="12" max="12" width="18.28515625" bestFit="1" customWidth="1"/>
  </cols>
  <sheetData>
    <row r="1" spans="1:12" x14ac:dyDescent="0.25">
      <c r="A1" s="7" t="s">
        <v>97</v>
      </c>
      <c r="B1" s="7" t="s">
        <v>167</v>
      </c>
      <c r="C1" s="8" t="s">
        <v>168</v>
      </c>
      <c r="D1" t="s">
        <v>169</v>
      </c>
      <c r="E1" t="s">
        <v>170</v>
      </c>
      <c r="F1" s="7" t="s">
        <v>171</v>
      </c>
      <c r="G1" s="7" t="s">
        <v>172</v>
      </c>
      <c r="H1" s="7" t="s">
        <v>173</v>
      </c>
      <c r="I1" s="7" t="s">
        <v>174</v>
      </c>
      <c r="J1" s="7" t="s">
        <v>175</v>
      </c>
      <c r="K1" s="7" t="s">
        <v>176</v>
      </c>
      <c r="L1" s="7" t="s">
        <v>177</v>
      </c>
    </row>
    <row r="2" spans="1:12" x14ac:dyDescent="0.25">
      <c r="A2" t="s">
        <v>178</v>
      </c>
      <c r="B2" t="s">
        <v>179</v>
      </c>
      <c r="C2" s="1" t="s">
        <v>180</v>
      </c>
      <c r="D2">
        <v>20</v>
      </c>
      <c r="E2">
        <v>2</v>
      </c>
      <c r="F2" t="s">
        <v>181</v>
      </c>
      <c r="I2" t="s">
        <v>116</v>
      </c>
      <c r="J2" t="s">
        <v>182</v>
      </c>
      <c r="L2" t="s">
        <v>183</v>
      </c>
    </row>
    <row r="3" spans="1:12" x14ac:dyDescent="0.25">
      <c r="A3" t="s">
        <v>184</v>
      </c>
      <c r="B3" t="s">
        <v>185</v>
      </c>
      <c r="C3" s="1" t="s">
        <v>186</v>
      </c>
      <c r="D3">
        <v>45</v>
      </c>
      <c r="E3">
        <v>5</v>
      </c>
      <c r="F3" t="s">
        <v>187</v>
      </c>
      <c r="I3" t="s">
        <v>188</v>
      </c>
      <c r="J3" t="s">
        <v>101</v>
      </c>
      <c r="L3" t="s">
        <v>189</v>
      </c>
    </row>
    <row r="4" spans="1:12" x14ac:dyDescent="0.25">
      <c r="A4" t="s">
        <v>6</v>
      </c>
      <c r="B4" t="s">
        <v>190</v>
      </c>
      <c r="C4" s="1">
        <v>3878</v>
      </c>
      <c r="D4">
        <v>25</v>
      </c>
      <c r="E4">
        <v>3</v>
      </c>
      <c r="F4" t="s">
        <v>96</v>
      </c>
      <c r="J4" t="s">
        <v>102</v>
      </c>
      <c r="L4" t="s">
        <v>191</v>
      </c>
    </row>
    <row r="5" spans="1:12" x14ac:dyDescent="0.25">
      <c r="A5" t="s">
        <v>7</v>
      </c>
      <c r="B5" t="s">
        <v>192</v>
      </c>
      <c r="C5" s="1">
        <v>3879</v>
      </c>
      <c r="D5">
        <v>30</v>
      </c>
      <c r="E5">
        <v>1</v>
      </c>
      <c r="F5" t="s">
        <v>89</v>
      </c>
      <c r="J5" t="s">
        <v>193</v>
      </c>
      <c r="L5" t="s">
        <v>194</v>
      </c>
    </row>
    <row r="6" spans="1:12" x14ac:dyDescent="0.25">
      <c r="A6" t="s">
        <v>8</v>
      </c>
      <c r="B6" t="s">
        <v>195</v>
      </c>
      <c r="C6" s="1">
        <v>3882</v>
      </c>
      <c r="D6">
        <v>25</v>
      </c>
      <c r="E6">
        <v>2</v>
      </c>
      <c r="F6" t="s">
        <v>78</v>
      </c>
      <c r="J6" t="s">
        <v>103</v>
      </c>
      <c r="L6" t="s">
        <v>196</v>
      </c>
    </row>
    <row r="7" spans="1:12" x14ac:dyDescent="0.25">
      <c r="A7" t="s">
        <v>9</v>
      </c>
      <c r="B7" t="s">
        <v>197</v>
      </c>
      <c r="C7" s="1">
        <v>3888</v>
      </c>
      <c r="D7">
        <v>30</v>
      </c>
      <c r="E7">
        <v>1</v>
      </c>
      <c r="F7" t="s">
        <v>198</v>
      </c>
      <c r="J7" t="s">
        <v>199</v>
      </c>
      <c r="L7" t="s">
        <v>200</v>
      </c>
    </row>
    <row r="8" spans="1:12" x14ac:dyDescent="0.25">
      <c r="A8" t="s">
        <v>10</v>
      </c>
      <c r="B8" t="s">
        <v>201</v>
      </c>
      <c r="C8" s="1" t="s">
        <v>202</v>
      </c>
      <c r="D8">
        <v>25</v>
      </c>
      <c r="E8">
        <v>5</v>
      </c>
      <c r="F8" t="s">
        <v>203</v>
      </c>
      <c r="J8" t="s">
        <v>204</v>
      </c>
      <c r="L8" t="s">
        <v>205</v>
      </c>
    </row>
    <row r="9" spans="1:12" x14ac:dyDescent="0.25">
      <c r="A9" t="s">
        <v>11</v>
      </c>
      <c r="B9" t="s">
        <v>206</v>
      </c>
      <c r="C9" s="1" t="s">
        <v>207</v>
      </c>
      <c r="D9">
        <v>30</v>
      </c>
      <c r="E9">
        <v>1</v>
      </c>
      <c r="F9" t="s">
        <v>89</v>
      </c>
      <c r="J9" t="s">
        <v>204</v>
      </c>
      <c r="L9" t="s">
        <v>208</v>
      </c>
    </row>
    <row r="10" spans="1:12" x14ac:dyDescent="0.25">
      <c r="A10" t="s">
        <v>209</v>
      </c>
      <c r="B10" t="s">
        <v>210</v>
      </c>
      <c r="C10" s="1" t="s">
        <v>211</v>
      </c>
      <c r="D10">
        <v>30</v>
      </c>
      <c r="E10">
        <v>3</v>
      </c>
      <c r="F10" t="s">
        <v>212</v>
      </c>
      <c r="J10" t="s">
        <v>104</v>
      </c>
      <c r="L10" t="s">
        <v>213</v>
      </c>
    </row>
    <row r="11" spans="1:12" x14ac:dyDescent="0.25">
      <c r="A11" t="s">
        <v>214</v>
      </c>
      <c r="B11" t="s">
        <v>215</v>
      </c>
      <c r="C11" s="1" t="s">
        <v>216</v>
      </c>
      <c r="D11">
        <v>45</v>
      </c>
      <c r="E11">
        <v>5</v>
      </c>
      <c r="F11" t="s">
        <v>79</v>
      </c>
      <c r="J11" t="s">
        <v>217</v>
      </c>
    </row>
    <row r="12" spans="1:12" x14ac:dyDescent="0.25">
      <c r="A12" t="s">
        <v>14</v>
      </c>
      <c r="B12" t="s">
        <v>218</v>
      </c>
      <c r="C12" s="1" t="s">
        <v>219</v>
      </c>
      <c r="D12">
        <v>25</v>
      </c>
      <c r="E12">
        <v>5</v>
      </c>
      <c r="F12" t="s">
        <v>83</v>
      </c>
      <c r="J12" t="s">
        <v>220</v>
      </c>
    </row>
    <row r="13" spans="1:12" x14ac:dyDescent="0.25">
      <c r="A13" t="s">
        <v>15</v>
      </c>
      <c r="B13" t="s">
        <v>221</v>
      </c>
      <c r="C13" s="1" t="s">
        <v>222</v>
      </c>
      <c r="D13">
        <v>35</v>
      </c>
      <c r="E13">
        <v>5</v>
      </c>
      <c r="F13" t="s">
        <v>223</v>
      </c>
      <c r="J13" t="s">
        <v>224</v>
      </c>
    </row>
    <row r="14" spans="1:12" x14ac:dyDescent="0.25">
      <c r="A14" t="s">
        <v>70</v>
      </c>
      <c r="B14" t="s">
        <v>225</v>
      </c>
      <c r="C14" s="1" t="s">
        <v>226</v>
      </c>
      <c r="D14">
        <v>30</v>
      </c>
      <c r="E14">
        <v>4</v>
      </c>
      <c r="F14" t="s">
        <v>227</v>
      </c>
      <c r="J14" t="s">
        <v>228</v>
      </c>
    </row>
    <row r="15" spans="1:12" x14ac:dyDescent="0.25">
      <c r="A15" t="s">
        <v>16</v>
      </c>
      <c r="B15" t="s">
        <v>229</v>
      </c>
      <c r="C15" s="1" t="s">
        <v>230</v>
      </c>
      <c r="D15">
        <v>25</v>
      </c>
      <c r="E15">
        <v>2</v>
      </c>
      <c r="F15" t="s">
        <v>231</v>
      </c>
      <c r="J15" t="s">
        <v>107</v>
      </c>
    </row>
    <row r="16" spans="1:12" x14ac:dyDescent="0.25">
      <c r="A16" t="s">
        <v>17</v>
      </c>
      <c r="B16" t="s">
        <v>232</v>
      </c>
      <c r="C16" s="1">
        <v>3682</v>
      </c>
      <c r="D16">
        <v>40</v>
      </c>
      <c r="E16">
        <v>5</v>
      </c>
      <c r="F16" t="s">
        <v>90</v>
      </c>
      <c r="J16" t="s">
        <v>108</v>
      </c>
    </row>
    <row r="17" spans="1:10" x14ac:dyDescent="0.25">
      <c r="A17" t="s">
        <v>18</v>
      </c>
      <c r="B17" t="s">
        <v>233</v>
      </c>
      <c r="C17" s="1">
        <v>3683</v>
      </c>
      <c r="D17">
        <v>40</v>
      </c>
      <c r="E17">
        <v>5</v>
      </c>
      <c r="F17" t="s">
        <v>81</v>
      </c>
      <c r="J17" t="s">
        <v>109</v>
      </c>
    </row>
    <row r="18" spans="1:10" x14ac:dyDescent="0.25">
      <c r="A18" t="s">
        <v>19</v>
      </c>
      <c r="B18" t="s">
        <v>234</v>
      </c>
      <c r="C18" s="1" t="s">
        <v>235</v>
      </c>
      <c r="D18">
        <v>45</v>
      </c>
      <c r="E18">
        <v>3</v>
      </c>
      <c r="F18" t="s">
        <v>86</v>
      </c>
      <c r="J18" t="s">
        <v>110</v>
      </c>
    </row>
    <row r="19" spans="1:10" x14ac:dyDescent="0.25">
      <c r="A19" t="s">
        <v>236</v>
      </c>
      <c r="B19" t="s">
        <v>237</v>
      </c>
      <c r="C19" s="1" t="s">
        <v>238</v>
      </c>
      <c r="D19">
        <v>25</v>
      </c>
      <c r="E19">
        <v>5</v>
      </c>
      <c r="F19" t="s">
        <v>84</v>
      </c>
      <c r="J19" t="s">
        <v>111</v>
      </c>
    </row>
    <row r="20" spans="1:10" x14ac:dyDescent="0.25">
      <c r="A20" t="s">
        <v>239</v>
      </c>
      <c r="B20" t="s">
        <v>237</v>
      </c>
      <c r="C20" s="1" t="s">
        <v>238</v>
      </c>
      <c r="D20">
        <v>25</v>
      </c>
      <c r="E20">
        <v>5</v>
      </c>
      <c r="F20" t="s">
        <v>95</v>
      </c>
      <c r="J20" t="s">
        <v>113</v>
      </c>
    </row>
    <row r="21" spans="1:10" x14ac:dyDescent="0.25">
      <c r="A21" t="s">
        <v>20</v>
      </c>
      <c r="B21" t="s">
        <v>240</v>
      </c>
      <c r="C21" s="1" t="s">
        <v>241</v>
      </c>
      <c r="D21">
        <v>30</v>
      </c>
      <c r="E21">
        <v>4</v>
      </c>
      <c r="F21" t="s">
        <v>242</v>
      </c>
      <c r="J21" t="s">
        <v>115</v>
      </c>
    </row>
    <row r="22" spans="1:10" x14ac:dyDescent="0.25">
      <c r="A22" t="s">
        <v>243</v>
      </c>
      <c r="B22" t="s">
        <v>244</v>
      </c>
      <c r="C22" s="1" t="s">
        <v>245</v>
      </c>
      <c r="D22">
        <v>45</v>
      </c>
      <c r="E22">
        <v>5</v>
      </c>
      <c r="F22" t="s">
        <v>92</v>
      </c>
      <c r="J22" t="s">
        <v>116</v>
      </c>
    </row>
    <row r="23" spans="1:10" x14ac:dyDescent="0.25">
      <c r="A23" t="s">
        <v>246</v>
      </c>
      <c r="B23" t="s">
        <v>247</v>
      </c>
      <c r="C23" s="1" t="s">
        <v>248</v>
      </c>
      <c r="D23">
        <v>30</v>
      </c>
      <c r="E23">
        <v>3</v>
      </c>
      <c r="F23" t="s">
        <v>85</v>
      </c>
      <c r="J23" t="s">
        <v>117</v>
      </c>
    </row>
    <row r="24" spans="1:10" x14ac:dyDescent="0.25">
      <c r="A24" t="s">
        <v>249</v>
      </c>
      <c r="B24" t="s">
        <v>250</v>
      </c>
      <c r="C24" s="1" t="s">
        <v>251</v>
      </c>
      <c r="D24">
        <v>45</v>
      </c>
      <c r="E24">
        <v>5</v>
      </c>
      <c r="F24" t="s">
        <v>80</v>
      </c>
      <c r="J24" t="s">
        <v>118</v>
      </c>
    </row>
    <row r="25" spans="1:10" x14ac:dyDescent="0.25">
      <c r="A25" t="s">
        <v>23</v>
      </c>
      <c r="B25" t="s">
        <v>252</v>
      </c>
      <c r="C25" s="69" t="s">
        <v>253</v>
      </c>
      <c r="D25">
        <v>25</v>
      </c>
      <c r="E25">
        <v>3</v>
      </c>
      <c r="F25" t="s">
        <v>88</v>
      </c>
      <c r="J25" t="s">
        <v>254</v>
      </c>
    </row>
    <row r="26" spans="1:10" x14ac:dyDescent="0.25">
      <c r="A26" t="s">
        <v>24</v>
      </c>
      <c r="B26" t="s">
        <v>255</v>
      </c>
      <c r="C26" s="1" t="s">
        <v>256</v>
      </c>
      <c r="D26">
        <v>30</v>
      </c>
      <c r="E26">
        <v>1</v>
      </c>
      <c r="F26" t="s">
        <v>94</v>
      </c>
      <c r="J26" t="s">
        <v>119</v>
      </c>
    </row>
    <row r="27" spans="1:10" x14ac:dyDescent="0.25">
      <c r="A27" t="s">
        <v>25</v>
      </c>
      <c r="B27" t="s">
        <v>257</v>
      </c>
      <c r="C27" s="1" t="s">
        <v>258</v>
      </c>
      <c r="D27">
        <v>30</v>
      </c>
      <c r="E27">
        <v>2</v>
      </c>
      <c r="F27" t="s">
        <v>259</v>
      </c>
      <c r="J27" t="s">
        <v>120</v>
      </c>
    </row>
    <row r="28" spans="1:10" x14ac:dyDescent="0.25">
      <c r="A28" t="s">
        <v>26</v>
      </c>
      <c r="B28" t="s">
        <v>260</v>
      </c>
      <c r="C28" s="1" t="s">
        <v>261</v>
      </c>
      <c r="D28">
        <v>30</v>
      </c>
      <c r="E28">
        <v>1</v>
      </c>
      <c r="F28" t="s">
        <v>262</v>
      </c>
      <c r="J28" t="s">
        <v>263</v>
      </c>
    </row>
    <row r="29" spans="1:10" x14ac:dyDescent="0.25">
      <c r="A29" t="s">
        <v>27</v>
      </c>
      <c r="B29" t="s">
        <v>264</v>
      </c>
      <c r="C29" s="1" t="s">
        <v>265</v>
      </c>
      <c r="D29">
        <v>30</v>
      </c>
      <c r="E29">
        <v>1</v>
      </c>
      <c r="F29" t="s">
        <v>266</v>
      </c>
      <c r="J29" t="s">
        <v>267</v>
      </c>
    </row>
    <row r="30" spans="1:10" x14ac:dyDescent="0.25">
      <c r="A30" t="s">
        <v>28</v>
      </c>
      <c r="B30" t="s">
        <v>268</v>
      </c>
      <c r="C30" s="1">
        <v>5891</v>
      </c>
      <c r="D30">
        <v>25</v>
      </c>
      <c r="E30">
        <v>3</v>
      </c>
      <c r="F30" t="s">
        <v>269</v>
      </c>
      <c r="J30" t="s">
        <v>121</v>
      </c>
    </row>
    <row r="31" spans="1:10" x14ac:dyDescent="0.25">
      <c r="A31" t="s">
        <v>270</v>
      </c>
      <c r="B31" t="s">
        <v>271</v>
      </c>
      <c r="C31" s="1" t="s">
        <v>272</v>
      </c>
      <c r="D31">
        <v>40</v>
      </c>
      <c r="E31">
        <v>3</v>
      </c>
      <c r="F31" t="s">
        <v>273</v>
      </c>
      <c r="J31" t="s">
        <v>122</v>
      </c>
    </row>
    <row r="32" spans="1:10" x14ac:dyDescent="0.25">
      <c r="A32" t="s">
        <v>274</v>
      </c>
      <c r="B32" t="s">
        <v>275</v>
      </c>
      <c r="C32" s="1" t="s">
        <v>276</v>
      </c>
      <c r="D32">
        <v>30</v>
      </c>
      <c r="E32">
        <v>4</v>
      </c>
      <c r="J32" t="s">
        <v>277</v>
      </c>
    </row>
    <row r="33" spans="1:10" x14ac:dyDescent="0.25">
      <c r="A33" t="s">
        <v>278</v>
      </c>
      <c r="B33" t="s">
        <v>279</v>
      </c>
      <c r="C33" s="1" t="s">
        <v>280</v>
      </c>
      <c r="D33">
        <v>30</v>
      </c>
      <c r="E33">
        <v>4</v>
      </c>
      <c r="J33" t="s">
        <v>124</v>
      </c>
    </row>
    <row r="34" spans="1:10" x14ac:dyDescent="0.25">
      <c r="A34" t="s">
        <v>281</v>
      </c>
      <c r="B34" t="s">
        <v>282</v>
      </c>
      <c r="C34" s="1" t="s">
        <v>283</v>
      </c>
      <c r="D34">
        <v>45</v>
      </c>
      <c r="E34">
        <v>4</v>
      </c>
      <c r="J34" t="s">
        <v>126</v>
      </c>
    </row>
    <row r="35" spans="1:10" x14ac:dyDescent="0.25">
      <c r="A35" t="s">
        <v>284</v>
      </c>
      <c r="B35" t="s">
        <v>285</v>
      </c>
      <c r="C35" s="1" t="s">
        <v>286</v>
      </c>
      <c r="D35">
        <v>30</v>
      </c>
      <c r="E35">
        <v>4</v>
      </c>
      <c r="J35" t="s">
        <v>287</v>
      </c>
    </row>
    <row r="36" spans="1:10" x14ac:dyDescent="0.25">
      <c r="A36" t="s">
        <v>288</v>
      </c>
      <c r="B36" t="s">
        <v>289</v>
      </c>
      <c r="C36" s="1" t="s">
        <v>290</v>
      </c>
      <c r="D36">
        <v>30</v>
      </c>
      <c r="E36">
        <v>4</v>
      </c>
      <c r="J36" t="s">
        <v>291</v>
      </c>
    </row>
    <row r="37" spans="1:10" x14ac:dyDescent="0.25">
      <c r="A37" t="s">
        <v>292</v>
      </c>
      <c r="B37" t="s">
        <v>293</v>
      </c>
      <c r="C37" s="1">
        <v>1228</v>
      </c>
      <c r="D37">
        <v>45</v>
      </c>
      <c r="E37">
        <v>5</v>
      </c>
      <c r="J37" t="s">
        <v>131</v>
      </c>
    </row>
    <row r="38" spans="1:10" x14ac:dyDescent="0.25">
      <c r="A38" t="s">
        <v>294</v>
      </c>
      <c r="B38" t="s">
        <v>295</v>
      </c>
      <c r="C38" s="1" t="s">
        <v>296</v>
      </c>
      <c r="D38">
        <v>30</v>
      </c>
      <c r="E38">
        <v>0</v>
      </c>
      <c r="J38" t="s">
        <v>297</v>
      </c>
    </row>
    <row r="39" spans="1:10" x14ac:dyDescent="0.25">
      <c r="A39" t="s">
        <v>34</v>
      </c>
      <c r="B39" t="s">
        <v>298</v>
      </c>
      <c r="C39" s="1">
        <v>3555</v>
      </c>
      <c r="D39">
        <v>30</v>
      </c>
      <c r="E39">
        <v>4</v>
      </c>
      <c r="J39" t="s">
        <v>299</v>
      </c>
    </row>
    <row r="40" spans="1:10" x14ac:dyDescent="0.25">
      <c r="A40" t="s">
        <v>35</v>
      </c>
      <c r="B40" t="s">
        <v>300</v>
      </c>
      <c r="C40" s="1" t="s">
        <v>301</v>
      </c>
      <c r="D40">
        <v>30</v>
      </c>
      <c r="E40">
        <v>1</v>
      </c>
      <c r="J40" t="s">
        <v>302</v>
      </c>
    </row>
    <row r="41" spans="1:10" x14ac:dyDescent="0.25">
      <c r="A41" t="s">
        <v>303</v>
      </c>
      <c r="B41" t="s">
        <v>304</v>
      </c>
      <c r="C41" s="1" t="s">
        <v>305</v>
      </c>
      <c r="D41">
        <v>30</v>
      </c>
      <c r="E41">
        <v>4</v>
      </c>
      <c r="J41" t="s">
        <v>306</v>
      </c>
    </row>
    <row r="42" spans="1:10" x14ac:dyDescent="0.25">
      <c r="A42" t="s">
        <v>38</v>
      </c>
      <c r="B42" t="s">
        <v>307</v>
      </c>
      <c r="C42" s="1" t="s">
        <v>308</v>
      </c>
      <c r="D42">
        <v>30</v>
      </c>
      <c r="E42">
        <v>4</v>
      </c>
      <c r="J42" t="s">
        <v>309</v>
      </c>
    </row>
    <row r="43" spans="1:10" x14ac:dyDescent="0.25">
      <c r="A43" t="s">
        <v>310</v>
      </c>
      <c r="B43" t="s">
        <v>311</v>
      </c>
      <c r="C43" s="1" t="s">
        <v>312</v>
      </c>
      <c r="D43">
        <v>30</v>
      </c>
      <c r="E43">
        <v>5</v>
      </c>
      <c r="J43" t="s">
        <v>133</v>
      </c>
    </row>
    <row r="44" spans="1:10" x14ac:dyDescent="0.25">
      <c r="A44" t="s">
        <v>313</v>
      </c>
      <c r="B44" t="s">
        <v>314</v>
      </c>
      <c r="C44" s="1" t="s">
        <v>315</v>
      </c>
      <c r="D44">
        <v>30</v>
      </c>
      <c r="E44">
        <v>2</v>
      </c>
      <c r="J44" t="s">
        <v>316</v>
      </c>
    </row>
    <row r="45" spans="1:10" x14ac:dyDescent="0.25">
      <c r="A45" t="s">
        <v>317</v>
      </c>
      <c r="B45" t="s">
        <v>318</v>
      </c>
      <c r="C45" s="1" t="s">
        <v>319</v>
      </c>
      <c r="D45">
        <v>100</v>
      </c>
      <c r="E45">
        <v>5</v>
      </c>
      <c r="J45" t="s">
        <v>320</v>
      </c>
    </row>
    <row r="46" spans="1:10" x14ac:dyDescent="0.25">
      <c r="A46" t="s">
        <v>321</v>
      </c>
      <c r="B46" t="s">
        <v>322</v>
      </c>
      <c r="C46" s="1" t="s">
        <v>322</v>
      </c>
      <c r="D46">
        <v>0</v>
      </c>
      <c r="E46">
        <v>0</v>
      </c>
      <c r="J46" t="s">
        <v>135</v>
      </c>
    </row>
    <row r="47" spans="1:10" x14ac:dyDescent="0.25">
      <c r="A47" t="s">
        <v>323</v>
      </c>
      <c r="B47" t="s">
        <v>324</v>
      </c>
      <c r="C47" s="1" t="s">
        <v>325</v>
      </c>
      <c r="D47">
        <v>30</v>
      </c>
      <c r="E47">
        <v>2</v>
      </c>
      <c r="J47" t="s">
        <v>326</v>
      </c>
    </row>
    <row r="48" spans="1:10" x14ac:dyDescent="0.25">
      <c r="A48" t="s">
        <v>327</v>
      </c>
      <c r="B48" t="s">
        <v>328</v>
      </c>
      <c r="C48" s="1" t="s">
        <v>329</v>
      </c>
      <c r="D48">
        <v>25</v>
      </c>
      <c r="E48">
        <v>2</v>
      </c>
      <c r="J48" t="s">
        <v>137</v>
      </c>
    </row>
    <row r="49" spans="1:10" x14ac:dyDescent="0.25">
      <c r="A49" t="s">
        <v>40</v>
      </c>
      <c r="B49" t="s">
        <v>330</v>
      </c>
      <c r="C49" s="1" t="s">
        <v>331</v>
      </c>
      <c r="D49">
        <v>25</v>
      </c>
      <c r="E49">
        <v>2</v>
      </c>
      <c r="J49" t="s">
        <v>138</v>
      </c>
    </row>
    <row r="50" spans="1:10" x14ac:dyDescent="0.25">
      <c r="A50" t="s">
        <v>332</v>
      </c>
      <c r="B50" t="s">
        <v>333</v>
      </c>
      <c r="C50" s="1" t="s">
        <v>333</v>
      </c>
      <c r="D50">
        <v>0</v>
      </c>
      <c r="E50">
        <v>0</v>
      </c>
      <c r="J50" t="s">
        <v>139</v>
      </c>
    </row>
    <row r="51" spans="1:10" x14ac:dyDescent="0.25">
      <c r="A51" t="s">
        <v>334</v>
      </c>
      <c r="B51" t="s">
        <v>334</v>
      </c>
      <c r="C51" s="1" t="s">
        <v>334</v>
      </c>
      <c r="D51">
        <v>0</v>
      </c>
      <c r="E51">
        <v>0</v>
      </c>
      <c r="J51" t="s">
        <v>335</v>
      </c>
    </row>
    <row r="52" spans="1:10" x14ac:dyDescent="0.25">
      <c r="A52" t="s">
        <v>336</v>
      </c>
      <c r="B52" t="s">
        <v>337</v>
      </c>
      <c r="C52" s="1" t="s">
        <v>337</v>
      </c>
      <c r="D52">
        <v>0</v>
      </c>
      <c r="E52">
        <v>0</v>
      </c>
      <c r="J52" t="s">
        <v>338</v>
      </c>
    </row>
    <row r="53" spans="1:10" x14ac:dyDescent="0.25">
      <c r="A53" s="104" t="s">
        <v>339</v>
      </c>
      <c r="B53" t="s">
        <v>337</v>
      </c>
      <c r="C53" s="1" t="s">
        <v>337</v>
      </c>
      <c r="D53">
        <v>0</v>
      </c>
      <c r="E53">
        <v>0</v>
      </c>
      <c r="J53" t="s">
        <v>140</v>
      </c>
    </row>
    <row r="54" spans="1:10" x14ac:dyDescent="0.25">
      <c r="J54" t="s">
        <v>141</v>
      </c>
    </row>
    <row r="55" spans="1:10" x14ac:dyDescent="0.25">
      <c r="J55" t="s">
        <v>340</v>
      </c>
    </row>
    <row r="56" spans="1:10" x14ac:dyDescent="0.25">
      <c r="J56" t="s">
        <v>341</v>
      </c>
    </row>
    <row r="57" spans="1:10" x14ac:dyDescent="0.25">
      <c r="J57" t="s">
        <v>342</v>
      </c>
    </row>
    <row r="58" spans="1:10" x14ac:dyDescent="0.25">
      <c r="J58" t="s">
        <v>143</v>
      </c>
    </row>
    <row r="59" spans="1:10" x14ac:dyDescent="0.25">
      <c r="J59" t="s">
        <v>343</v>
      </c>
    </row>
    <row r="60" spans="1:10" x14ac:dyDescent="0.25">
      <c r="J60" t="s">
        <v>144</v>
      </c>
    </row>
    <row r="61" spans="1:10" x14ac:dyDescent="0.25">
      <c r="J61" t="s">
        <v>146</v>
      </c>
    </row>
    <row r="62" spans="1:10" x14ac:dyDescent="0.25">
      <c r="J62" t="s">
        <v>147</v>
      </c>
    </row>
    <row r="63" spans="1:10" x14ac:dyDescent="0.25">
      <c r="J63" t="s">
        <v>148</v>
      </c>
    </row>
    <row r="64" spans="1:10" x14ac:dyDescent="0.25">
      <c r="J64" t="s">
        <v>149</v>
      </c>
    </row>
    <row r="65" spans="10:10" x14ac:dyDescent="0.25">
      <c r="J65" t="s">
        <v>344</v>
      </c>
    </row>
    <row r="66" spans="10:10" x14ac:dyDescent="0.25">
      <c r="J66" t="s">
        <v>345</v>
      </c>
    </row>
    <row r="67" spans="10:10" x14ac:dyDescent="0.25">
      <c r="J67" t="s">
        <v>346</v>
      </c>
    </row>
    <row r="68" spans="10:10" x14ac:dyDescent="0.25">
      <c r="J68" t="s">
        <v>150</v>
      </c>
    </row>
    <row r="69" spans="10:10" x14ac:dyDescent="0.25">
      <c r="J69" t="s">
        <v>347</v>
      </c>
    </row>
    <row r="70" spans="10:10" x14ac:dyDescent="0.25">
      <c r="J70" t="s">
        <v>151</v>
      </c>
    </row>
    <row r="71" spans="10:10" x14ac:dyDescent="0.25">
      <c r="J71" t="s">
        <v>348</v>
      </c>
    </row>
    <row r="72" spans="10:10" x14ac:dyDescent="0.25">
      <c r="J72" t="s">
        <v>349</v>
      </c>
    </row>
    <row r="73" spans="10:10" x14ac:dyDescent="0.25">
      <c r="J73" t="s">
        <v>350</v>
      </c>
    </row>
    <row r="74" spans="10:10" x14ac:dyDescent="0.25">
      <c r="J74" t="s">
        <v>351</v>
      </c>
    </row>
    <row r="75" spans="10:10" x14ac:dyDescent="0.25">
      <c r="J75" t="s">
        <v>153</v>
      </c>
    </row>
    <row r="76" spans="10:10" x14ac:dyDescent="0.25">
      <c r="J76" t="s">
        <v>352</v>
      </c>
    </row>
    <row r="77" spans="10:10" x14ac:dyDescent="0.25">
      <c r="J77" t="s">
        <v>154</v>
      </c>
    </row>
    <row r="78" spans="10:10" x14ac:dyDescent="0.25">
      <c r="J78" t="s">
        <v>155</v>
      </c>
    </row>
    <row r="79" spans="10:10" x14ac:dyDescent="0.25">
      <c r="J79" t="s">
        <v>353</v>
      </c>
    </row>
    <row r="80" spans="10:10" x14ac:dyDescent="0.25">
      <c r="J80" t="s">
        <v>354</v>
      </c>
    </row>
    <row r="81" spans="10:10" x14ac:dyDescent="0.25">
      <c r="J81" t="s">
        <v>156</v>
      </c>
    </row>
    <row r="82" spans="10:10" x14ac:dyDescent="0.25">
      <c r="J82" t="s">
        <v>157</v>
      </c>
    </row>
    <row r="83" spans="10:10" x14ac:dyDescent="0.25">
      <c r="J83" t="s">
        <v>158</v>
      </c>
    </row>
    <row r="84" spans="10:10" x14ac:dyDescent="0.25">
      <c r="J84" t="s">
        <v>160</v>
      </c>
    </row>
    <row r="85" spans="10:10" x14ac:dyDescent="0.25">
      <c r="J85" t="s">
        <v>355</v>
      </c>
    </row>
    <row r="86" spans="10:10" x14ac:dyDescent="0.25">
      <c r="J86" t="s">
        <v>356</v>
      </c>
    </row>
    <row r="87" spans="10:10" x14ac:dyDescent="0.25">
      <c r="J87" t="s">
        <v>357</v>
      </c>
    </row>
    <row r="88" spans="10:10" x14ac:dyDescent="0.25">
      <c r="J88" t="s">
        <v>358</v>
      </c>
    </row>
    <row r="89" spans="10:10" x14ac:dyDescent="0.25">
      <c r="J89" t="s">
        <v>359</v>
      </c>
    </row>
    <row r="90" spans="10:10" x14ac:dyDescent="0.25">
      <c r="J90" t="s">
        <v>164</v>
      </c>
    </row>
    <row r="91" spans="10:10" x14ac:dyDescent="0.25">
      <c r="J91" t="s">
        <v>165</v>
      </c>
    </row>
    <row r="92" spans="10:10" x14ac:dyDescent="0.25">
      <c r="J92" t="s">
        <v>360</v>
      </c>
    </row>
    <row r="93" spans="10:10" x14ac:dyDescent="0.25">
      <c r="J93" t="s">
        <v>361</v>
      </c>
    </row>
    <row r="94" spans="10:10" x14ac:dyDescent="0.25">
      <c r="J94" t="s">
        <v>166</v>
      </c>
    </row>
    <row r="95" spans="10:10" x14ac:dyDescent="0.25">
      <c r="J95" t="s">
        <v>362</v>
      </c>
    </row>
    <row r="96" spans="10:10" x14ac:dyDescent="0.25">
      <c r="J96" t="s">
        <v>363</v>
      </c>
    </row>
    <row r="97" spans="10:10" x14ac:dyDescent="0.25">
      <c r="J97" t="s">
        <v>364</v>
      </c>
    </row>
  </sheetData>
  <sortState xmlns:xlrd2="http://schemas.microsoft.com/office/spreadsheetml/2017/richdata2" ref="J2:J1048576">
    <sortCondition ref="J2:J1048576"/>
  </sortState>
  <conditionalFormatting sqref="A53">
    <cfRule type="expression" dxfId="359" priority="1">
      <formula>$Y52="Benzick, Sue"</formula>
    </cfRule>
    <cfRule type="expression" dxfId="358" priority="2">
      <formula>$Y52="Jenne, Richard"</formula>
    </cfRule>
    <cfRule type="expression" dxfId="357" priority="3">
      <formula>$Y52="McQueen, Jennifer"</formula>
    </cfRule>
  </conditionalFormatting>
  <dataValidations disablePrompts="1" count="1">
    <dataValidation type="list" allowBlank="1" showInputMessage="1" showErrorMessage="1" sqref="A53" xr:uid="{00000000-0002-0000-0700-000000000000}">
      <formula1>Class</formula1>
    </dataValidation>
  </dataValidations>
  <pageMargins left="0.7" right="0.7" top="0.75" bottom="0.75" header="0.3" footer="0.3"/>
  <pageSetup orientation="portrait" r:id="rId1"/>
  <ignoredErrors>
    <ignoredError sqref="C2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AA41"/>
  <sheetViews>
    <sheetView showGridLines="0" tabSelected="1" zoomScale="80" zoomScaleNormal="80" workbookViewId="0">
      <pane xSplit="9" ySplit="4" topLeftCell="J5" activePane="bottomRight" state="frozen"/>
      <selection pane="topRight"/>
      <selection pane="bottomLeft"/>
      <selection pane="bottomRight" activeCell="V12" sqref="V12"/>
    </sheetView>
  </sheetViews>
  <sheetFormatPr defaultColWidth="9.140625" defaultRowHeight="15" customHeight="1" x14ac:dyDescent="0.25"/>
  <cols>
    <col min="1" max="1" width="10.140625" bestFit="1" customWidth="1"/>
    <col min="2" max="2" width="39.5703125" customWidth="1"/>
    <col min="3" max="3" width="7.5703125" customWidth="1"/>
    <col min="4" max="4" width="13.5703125" customWidth="1"/>
    <col min="5" max="5" width="11.140625" customWidth="1"/>
    <col min="6" max="6" width="9.140625" customWidth="1"/>
    <col min="7" max="7" width="9.85546875" customWidth="1"/>
    <col min="8" max="8" width="10.140625" customWidth="1"/>
    <col min="9" max="9" width="12" customWidth="1"/>
    <col min="10" max="10" width="9.85546875" customWidth="1"/>
    <col min="11" max="11" width="8.28515625" customWidth="1"/>
    <col min="12" max="13" width="10" customWidth="1"/>
    <col min="14" max="14" width="8.28515625" customWidth="1"/>
    <col min="15" max="15" width="7.42578125" customWidth="1"/>
    <col min="16" max="17" width="9.28515625" customWidth="1"/>
    <col min="18" max="18" width="17.28515625" customWidth="1"/>
    <col min="19" max="19" width="16.28515625" customWidth="1"/>
    <col min="20" max="20" width="10.7109375" customWidth="1"/>
    <col min="21" max="21" width="17.5703125" customWidth="1"/>
    <col min="22" max="22" width="12.5703125" customWidth="1"/>
    <col min="23" max="23" width="13.28515625" customWidth="1"/>
    <col min="24" max="24" width="10.5703125" customWidth="1"/>
    <col min="25" max="25" width="22.7109375" customWidth="1"/>
    <col min="26" max="26" width="21.7109375" customWidth="1"/>
    <col min="27" max="27" width="27.140625" customWidth="1"/>
  </cols>
  <sheetData>
    <row r="1" spans="2:27" x14ac:dyDescent="0.25">
      <c r="B1" s="52" t="s">
        <v>365</v>
      </c>
      <c r="C1" s="51"/>
      <c r="D1" s="51"/>
      <c r="E1" s="51"/>
      <c r="F1" s="51"/>
      <c r="G1" s="3"/>
      <c r="H1" s="51"/>
      <c r="I1" s="51"/>
      <c r="J1" s="53"/>
      <c r="K1" s="51"/>
      <c r="L1" s="51"/>
      <c r="M1" s="51"/>
      <c r="N1" s="51"/>
      <c r="O1" s="51"/>
      <c r="P1" s="51"/>
      <c r="Q1" s="51"/>
      <c r="R1" s="51"/>
      <c r="S1" s="51"/>
      <c r="T1" s="2"/>
      <c r="U1" s="54"/>
      <c r="V1" s="54"/>
      <c r="W1" s="54"/>
      <c r="X1" s="54"/>
      <c r="Y1" s="51"/>
      <c r="Z1" s="51"/>
      <c r="AA1" s="51"/>
    </row>
    <row r="2" spans="2:27" ht="15.75" thickBot="1" x14ac:dyDescent="0.3">
      <c r="B2" s="55" t="e">
        <f ca="1">ModDate()</f>
        <v>#NAME?</v>
      </c>
      <c r="C2" s="51"/>
      <c r="D2" s="51"/>
      <c r="E2" s="51"/>
      <c r="F2" s="51"/>
      <c r="G2" s="51"/>
      <c r="H2" s="51"/>
      <c r="I2" s="51"/>
      <c r="J2" s="53"/>
      <c r="K2" s="51"/>
      <c r="L2" s="51"/>
      <c r="M2" s="51"/>
      <c r="N2" s="51"/>
      <c r="O2" s="51"/>
      <c r="P2" s="51"/>
      <c r="Q2" s="51"/>
      <c r="R2" s="51"/>
      <c r="S2" s="51"/>
      <c r="T2" s="51"/>
      <c r="U2" s="54"/>
      <c r="V2" s="54"/>
      <c r="W2" s="54"/>
      <c r="X2" s="54"/>
      <c r="Y2" s="51"/>
      <c r="Z2" s="51"/>
      <c r="AA2" s="51"/>
    </row>
    <row r="3" spans="2:27" ht="15.75" x14ac:dyDescent="0.25">
      <c r="B3" s="426" t="s">
        <v>366</v>
      </c>
      <c r="C3" s="427"/>
      <c r="D3" s="427"/>
      <c r="E3" s="427"/>
      <c r="F3" s="427"/>
      <c r="G3" s="427"/>
      <c r="H3" s="427"/>
      <c r="I3" s="427"/>
      <c r="J3" s="427"/>
      <c r="K3" s="428" t="s">
        <v>367</v>
      </c>
      <c r="L3" s="429"/>
      <c r="M3" s="429"/>
      <c r="N3" s="429"/>
      <c r="O3" s="430"/>
      <c r="P3" s="430"/>
      <c r="Q3" s="430"/>
      <c r="R3" s="430"/>
      <c r="S3" s="430"/>
      <c r="T3" s="430"/>
      <c r="U3" s="430"/>
      <c r="V3" s="425"/>
      <c r="W3" s="86"/>
      <c r="X3" s="431" t="s">
        <v>368</v>
      </c>
      <c r="Y3" s="431"/>
      <c r="Z3" s="431"/>
      <c r="AA3" s="432"/>
    </row>
    <row r="4" spans="2:27" ht="105" x14ac:dyDescent="0.25">
      <c r="B4" s="56" t="s">
        <v>43</v>
      </c>
      <c r="C4" s="57" t="s">
        <v>369</v>
      </c>
      <c r="D4" s="57" t="s">
        <v>370</v>
      </c>
      <c r="E4" s="57" t="s">
        <v>1</v>
      </c>
      <c r="F4" s="57" t="s">
        <v>46</v>
      </c>
      <c r="G4" s="57" t="s">
        <v>2</v>
      </c>
      <c r="H4" s="57" t="s">
        <v>371</v>
      </c>
      <c r="I4" s="57" t="s">
        <v>47</v>
      </c>
      <c r="J4" s="82" t="s">
        <v>48</v>
      </c>
      <c r="K4" s="87" t="s">
        <v>372</v>
      </c>
      <c r="L4" s="268" t="s">
        <v>373</v>
      </c>
      <c r="M4" s="268" t="s">
        <v>374</v>
      </c>
      <c r="N4" s="268" t="s">
        <v>375</v>
      </c>
      <c r="O4" s="83" t="s">
        <v>376</v>
      </c>
      <c r="P4" s="83" t="s">
        <v>377</v>
      </c>
      <c r="Q4" s="83" t="s">
        <v>378</v>
      </c>
      <c r="R4" s="84" t="s">
        <v>379</v>
      </c>
      <c r="S4" s="84" t="s">
        <v>380</v>
      </c>
      <c r="T4" s="84" t="s">
        <v>381</v>
      </c>
      <c r="U4" s="85" t="s">
        <v>382</v>
      </c>
      <c r="V4" s="85" t="s">
        <v>383</v>
      </c>
      <c r="W4" s="88" t="s">
        <v>384</v>
      </c>
      <c r="X4" s="68" t="s">
        <v>385</v>
      </c>
      <c r="Y4" s="58" t="s">
        <v>386</v>
      </c>
      <c r="Z4" s="58" t="s">
        <v>387</v>
      </c>
      <c r="AA4" s="59" t="s">
        <v>388</v>
      </c>
    </row>
    <row r="5" spans="2:27" ht="31.5" x14ac:dyDescent="0.25">
      <c r="B5" s="90" t="s">
        <v>184</v>
      </c>
      <c r="C5" s="74"/>
      <c r="D5" s="74" t="s">
        <v>49</v>
      </c>
      <c r="E5" s="74">
        <f>COUNTIF(Table2[Course],Table311[[#This Row],[Courses - Planned vs Need (Active Courses)]])</f>
        <v>10</v>
      </c>
      <c r="F5" s="91">
        <v>45</v>
      </c>
      <c r="G5" s="74">
        <f>Table311[[#This Row],[Course Offerings]]*Table311[[#This Row],[Quota per Offering]]</f>
        <v>450</v>
      </c>
      <c r="H5" s="74">
        <v>340</v>
      </c>
      <c r="I5" s="74">
        <f t="shared" ref="I5:I40" si="0">SUM(G5-H5)</f>
        <v>110</v>
      </c>
      <c r="J5" s="77">
        <f t="shared" ref="J5:J40" si="1">SUM(G5/H5)</f>
        <v>1.3235294117647058</v>
      </c>
      <c r="K5" s="75">
        <f>SUMIF(Table2[Course],Table311[[#This Row],[Courses - Planned vs Need (Active Courses)]],Table2[Graduates])</f>
        <v>165</v>
      </c>
      <c r="L5" s="115">
        <f>SUMIF(Table2[Course],Table311[[#This Row],[Courses - Planned vs Need (Active Courses)]],Table2[Registered])</f>
        <v>209</v>
      </c>
      <c r="M5" s="115">
        <f>SUMIF(Table2[Course],Table311[[#This Row],[Courses - Planned vs Need (Active Courses)]],Table2[Waitlisted])</f>
        <v>0</v>
      </c>
      <c r="N5" s="115">
        <f>SUMIF(Table2[Course],Table311[[#This Row],[Courses - Planned vs Need (Active Courses)]],Table2[Walk-ins])</f>
        <v>3</v>
      </c>
      <c r="O5" s="76">
        <f>SUMIF(Table2[Course],Table311[[#This Row],[Courses - Planned vs Need (Active Courses)]],Table2[No Shows])</f>
        <v>30</v>
      </c>
      <c r="P5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223</v>
      </c>
      <c r="Q5" s="78">
        <f>ROUNDDOWN(Table311[[#This Row],[To date quotas unused (Open quotas+ no shows)]]/Table311[[#This Row],[Quota per Offering]],0)</f>
        <v>4</v>
      </c>
      <c r="R5" s="76">
        <f t="shared" ref="R5:R40" si="2">SUM(G5-K5)</f>
        <v>285</v>
      </c>
      <c r="S5" s="78">
        <f ca="1">COUNTIFS(Table2[Course],Table311[[#This Row],[Courses - Planned vs Need (Active Courses)]],Table2[Roster Status],"1",Table2[Remaining Courses],"0")</f>
        <v>1</v>
      </c>
      <c r="T5" s="78">
        <f ca="1">COUNTIFS(Table2[Course],Table311[[#This Row],[Courses - Planned vs Need (Active Courses)]],Table2[Remaining Courses],"1")</f>
        <v>1</v>
      </c>
      <c r="U5" s="81">
        <f t="shared" ref="U5:U40" si="3">SUM(K5/H5)</f>
        <v>0.48529411764705882</v>
      </c>
      <c r="V5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0.38055555555555554</v>
      </c>
      <c r="W5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0.91666666666666663</v>
      </c>
      <c r="X5" s="115">
        <v>33</v>
      </c>
      <c r="Y5" s="78">
        <f t="shared" ref="Y5" ca="1" si="4">SUM(S5,T5)*F5</f>
        <v>90</v>
      </c>
      <c r="Z5" s="78">
        <f>Table311[[#This Row],[Fleet Quota Need]]-Table311[[#This Row],[Total Grads]]</f>
        <v>175</v>
      </c>
      <c r="AA5" s="61"/>
    </row>
    <row r="6" spans="2:27" ht="15.75" x14ac:dyDescent="0.25">
      <c r="B6" s="90" t="s">
        <v>6</v>
      </c>
      <c r="C6" s="74"/>
      <c r="D6" s="74" t="s">
        <v>50</v>
      </c>
      <c r="E6" s="74">
        <f>COUNTIF(Table2[Course],Table311[[#This Row],[Courses - Planned vs Need (Active Courses)]])</f>
        <v>2</v>
      </c>
      <c r="F6" s="74">
        <v>25</v>
      </c>
      <c r="G6" s="74">
        <f>Table311[[#This Row],[Course Offerings]]*Table311[[#This Row],[Quota per Offering]]</f>
        <v>50</v>
      </c>
      <c r="H6" s="74">
        <v>384</v>
      </c>
      <c r="I6" s="74">
        <f t="shared" ref="I6:I39" si="5">SUM(G6-H6)</f>
        <v>-334</v>
      </c>
      <c r="J6" s="77">
        <f t="shared" ref="J6:J39" si="6">SUM(G6/H6)</f>
        <v>0.13020833333333334</v>
      </c>
      <c r="K6" s="75">
        <f>SUMIF(Table2[Course],Table311[[#This Row],[Courses - Planned vs Need (Active Courses)]],Table2[Graduates])</f>
        <v>31</v>
      </c>
      <c r="L6" s="115">
        <f>SUMIF(Table2[Course],Table311[[#This Row],[Courses - Planned vs Need (Active Courses)]],Table2[Registered])</f>
        <v>29</v>
      </c>
      <c r="M6" s="115">
        <f>SUMIF(Table2[Course],Table311[[#This Row],[Courses - Planned vs Need (Active Courses)]],Table2[Waitlisted])</f>
        <v>0</v>
      </c>
      <c r="N6" s="115">
        <f>SUMIF(Table2[Course],Table311[[#This Row],[Courses - Planned vs Need (Active Courses)]],Table2[Walk-ins])</f>
        <v>3</v>
      </c>
      <c r="O6" s="76">
        <f>SUMIF(Table2[Course],Table311[[#This Row],[Courses - Planned vs Need (Active Courses)]],Table2[No Shows])</f>
        <v>1</v>
      </c>
      <c r="P6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19</v>
      </c>
      <c r="Q6" s="78">
        <f>ROUNDDOWN(Table311[[#This Row],[To date quotas unused (Open quotas+ no shows)]]/Table311[[#This Row],[Quota per Offering]],0)</f>
        <v>0</v>
      </c>
      <c r="R6" s="76">
        <f t="shared" ref="R6:R39" si="7">SUM(G6-K6)</f>
        <v>19</v>
      </c>
      <c r="S6" s="78">
        <f>COUNTIFS(Table2[Course],Table311[[#This Row],[Courses - Planned vs Need (Active Courses)]],Table2[Roster Status],"1",Table2[Remaining Courses],"0")</f>
        <v>0</v>
      </c>
      <c r="T6" s="78">
        <f ca="1">COUNTIFS(Table2[Course],Table311[[#This Row],[Courses - Planned vs Need (Active Courses)]],Table2[Remaining Courses],"1")</f>
        <v>0</v>
      </c>
      <c r="U6" s="81">
        <f t="shared" ref="U6:U39" si="8">SUM(K6/H6)</f>
        <v>8.0729166666666671E-2</v>
      </c>
      <c r="V6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0.62</v>
      </c>
      <c r="W6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0.98</v>
      </c>
      <c r="X6" s="115">
        <v>0</v>
      </c>
      <c r="Y6" s="78">
        <f ca="1">SUM(S6,T6)*F6</f>
        <v>0</v>
      </c>
      <c r="Z6" s="78">
        <f>Table311[[#This Row],[Fleet Quota Need]]-Table311[[#This Row],[Total Grads]]</f>
        <v>353</v>
      </c>
      <c r="AA6" s="61"/>
    </row>
    <row r="7" spans="2:27" ht="15.75" x14ac:dyDescent="0.25">
      <c r="B7" s="90" t="s">
        <v>7</v>
      </c>
      <c r="C7" s="74"/>
      <c r="D7" s="74" t="s">
        <v>50</v>
      </c>
      <c r="E7" s="74">
        <f>COUNTIF(Table2[Course],Table311[[#This Row],[Courses - Planned vs Need (Active Courses)]])</f>
        <v>4</v>
      </c>
      <c r="F7" s="74">
        <v>30</v>
      </c>
      <c r="G7" s="74">
        <f>Table311[[#This Row],[Course Offerings]]*Table311[[#This Row],[Quota per Offering]]</f>
        <v>120</v>
      </c>
      <c r="H7" s="74">
        <v>361</v>
      </c>
      <c r="I7" s="74">
        <f t="shared" si="5"/>
        <v>-241</v>
      </c>
      <c r="J7" s="77">
        <f t="shared" si="6"/>
        <v>0.33240997229916897</v>
      </c>
      <c r="K7" s="75">
        <f>SUMIF(Table2[Course],Table311[[#This Row],[Courses - Planned vs Need (Active Courses)]],Table2[Graduates])</f>
        <v>61</v>
      </c>
      <c r="L7" s="115">
        <f>SUMIF(Table2[Course],Table311[[#This Row],[Courses - Planned vs Need (Active Courses)]],Table2[Registered])</f>
        <v>67</v>
      </c>
      <c r="M7" s="115">
        <f>SUMIF(Table2[Course],Table311[[#This Row],[Courses - Planned vs Need (Active Courses)]],Table2[Waitlisted])</f>
        <v>0</v>
      </c>
      <c r="N7" s="115">
        <f>SUMIF(Table2[Course],Table311[[#This Row],[Courses - Planned vs Need (Active Courses)]],Table2[Walk-ins])</f>
        <v>0</v>
      </c>
      <c r="O7" s="76">
        <f>SUMIF(Table2[Course],Table311[[#This Row],[Courses - Planned vs Need (Active Courses)]],Table2[No Shows])</f>
        <v>2</v>
      </c>
      <c r="P7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31</v>
      </c>
      <c r="Q7" s="78">
        <f>ROUNDDOWN(Table311[[#This Row],[To date quotas unused (Open quotas+ no shows)]]/Table311[[#This Row],[Quota per Offering]],0)</f>
        <v>1</v>
      </c>
      <c r="R7" s="76">
        <f t="shared" si="7"/>
        <v>59</v>
      </c>
      <c r="S7" s="78">
        <f ca="1">COUNTIFS(Table2[Course],Table311[[#This Row],[Courses - Planned vs Need (Active Courses)]],Table2[Roster Status],"1",Table2[Remaining Courses],"0")</f>
        <v>1</v>
      </c>
      <c r="T7" s="78">
        <f ca="1">COUNTIFS(Table2[Course],Table311[[#This Row],[Courses - Planned vs Need (Active Courses)]],Table2[Remaining Courses],"1")</f>
        <v>0</v>
      </c>
      <c r="U7" s="81">
        <f t="shared" si="8"/>
        <v>0.16897506925207756</v>
      </c>
      <c r="V7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0.65555555555555556</v>
      </c>
      <c r="W7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0.97777777777777775</v>
      </c>
      <c r="X7" s="115">
        <v>9</v>
      </c>
      <c r="Y7" s="78">
        <f ca="1">SUM(S7,T7)*F7</f>
        <v>30</v>
      </c>
      <c r="Z7" s="78">
        <f>Table311[[#This Row],[Fleet Quota Need]]-Table311[[#This Row],[Total Grads]]</f>
        <v>300</v>
      </c>
      <c r="AA7" s="61"/>
    </row>
    <row r="8" spans="2:27" ht="15.75" x14ac:dyDescent="0.25">
      <c r="B8" s="90" t="s">
        <v>8</v>
      </c>
      <c r="C8" s="74"/>
      <c r="D8" s="74" t="s">
        <v>50</v>
      </c>
      <c r="E8" s="74">
        <f>COUNTIF(Table2[Course],Table311[[#This Row],[Courses - Planned vs Need (Active Courses)]])</f>
        <v>2</v>
      </c>
      <c r="F8" s="74">
        <v>25</v>
      </c>
      <c r="G8" s="74">
        <f>Table311[[#This Row],[Course Offerings]]*Table311[[#This Row],[Quota per Offering]]</f>
        <v>50</v>
      </c>
      <c r="H8" s="74">
        <v>261</v>
      </c>
      <c r="I8" s="74">
        <f t="shared" si="5"/>
        <v>-211</v>
      </c>
      <c r="J8" s="77">
        <f t="shared" si="6"/>
        <v>0.19157088122605365</v>
      </c>
      <c r="K8" s="75">
        <f>SUMIF(Table2[Course],Table311[[#This Row],[Courses - Planned vs Need (Active Courses)]],Table2[Graduates])</f>
        <v>24</v>
      </c>
      <c r="L8" s="115">
        <f>SUMIF(Table2[Course],Table311[[#This Row],[Courses - Planned vs Need (Active Courses)]],Table2[Registered])</f>
        <v>22</v>
      </c>
      <c r="M8" s="115">
        <f>SUMIF(Table2[Course],Table311[[#This Row],[Courses - Planned vs Need (Active Courses)]],Table2[Waitlisted])</f>
        <v>0</v>
      </c>
      <c r="N8" s="115">
        <f>SUMIF(Table2[Course],Table311[[#This Row],[Courses - Planned vs Need (Active Courses)]],Table2[Walk-ins])</f>
        <v>3</v>
      </c>
      <c r="O8" s="76">
        <f>SUMIF(Table2[Course],Table311[[#This Row],[Courses - Planned vs Need (Active Courses)]],Table2[No Shows])</f>
        <v>1</v>
      </c>
      <c r="P8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27</v>
      </c>
      <c r="Q8" s="78">
        <f>ROUNDDOWN(Table311[[#This Row],[To date quotas unused (Open quotas+ no shows)]]/Table311[[#This Row],[Quota per Offering]],0)</f>
        <v>1</v>
      </c>
      <c r="R8" s="76">
        <f t="shared" si="7"/>
        <v>26</v>
      </c>
      <c r="S8" s="78">
        <f>COUNTIFS(Table2[Course],Table311[[#This Row],[Courses - Planned vs Need (Active Courses)]],Table2[Roster Status],"1",Table2[Remaining Courses],"0")</f>
        <v>0</v>
      </c>
      <c r="T8" s="78">
        <f ca="1">COUNTIFS(Table2[Course],Table311[[#This Row],[Courses - Planned vs Need (Active Courses)]],Table2[Remaining Courses],"1")</f>
        <v>0</v>
      </c>
      <c r="U8" s="81">
        <f t="shared" si="8"/>
        <v>9.1954022988505746E-2</v>
      </c>
      <c r="V8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0.46</v>
      </c>
      <c r="W8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0.98</v>
      </c>
      <c r="X8" s="115">
        <v>0</v>
      </c>
      <c r="Y8" s="78">
        <f ca="1">SUM(S8,T8)*F8</f>
        <v>0</v>
      </c>
      <c r="Z8" s="78">
        <f>Table311[[#This Row],[Fleet Quota Need]]-Table311[[#This Row],[Total Grads]]</f>
        <v>237</v>
      </c>
      <c r="AA8" s="61"/>
    </row>
    <row r="9" spans="2:27" ht="31.5" x14ac:dyDescent="0.25">
      <c r="B9" s="90" t="s">
        <v>9</v>
      </c>
      <c r="C9" s="74"/>
      <c r="D9" s="74" t="s">
        <v>50</v>
      </c>
      <c r="E9" s="74">
        <f>COUNTIF(Table2[Course],Table311[[#This Row],[Courses - Planned vs Need (Active Courses)]])</f>
        <v>4</v>
      </c>
      <c r="F9" s="74">
        <v>30</v>
      </c>
      <c r="G9" s="74">
        <f>Table311[[#This Row],[Course Offerings]]*Table311[[#This Row],[Quota per Offering]]</f>
        <v>120</v>
      </c>
      <c r="H9" s="74">
        <v>234</v>
      </c>
      <c r="I9" s="74">
        <f t="shared" si="5"/>
        <v>-114</v>
      </c>
      <c r="J9" s="77">
        <f t="shared" si="6"/>
        <v>0.51282051282051277</v>
      </c>
      <c r="K9" s="75">
        <f>SUMIF(Table2[Course],Table311[[#This Row],[Courses - Planned vs Need (Active Courses)]],Table2[Graduates])</f>
        <v>36</v>
      </c>
      <c r="L9" s="115">
        <f>SUMIF(Table2[Course],Table311[[#This Row],[Courses - Planned vs Need (Active Courses)]],Table2[Registered])</f>
        <v>36</v>
      </c>
      <c r="M9" s="115">
        <f>SUMIF(Table2[Course],Table311[[#This Row],[Courses - Planned vs Need (Active Courses)]],Table2[Waitlisted])</f>
        <v>0</v>
      </c>
      <c r="N9" s="115">
        <f>SUMIF(Table2[Course],Table311[[#This Row],[Courses - Planned vs Need (Active Courses)]],Table2[Walk-ins])</f>
        <v>0</v>
      </c>
      <c r="O9" s="76">
        <f>SUMIF(Table2[Course],Table311[[#This Row],[Courses - Planned vs Need (Active Courses)]],Table2[No Shows])</f>
        <v>1</v>
      </c>
      <c r="P9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55</v>
      </c>
      <c r="Q9" s="78">
        <f>ROUNDDOWN(Table311[[#This Row],[To date quotas unused (Open quotas+ no shows)]]/Table311[[#This Row],[Quota per Offering]],0)</f>
        <v>1</v>
      </c>
      <c r="R9" s="76">
        <f t="shared" si="7"/>
        <v>84</v>
      </c>
      <c r="S9" s="78">
        <f ca="1">COUNTIFS(Table2[Course],Table311[[#This Row],[Courses - Planned vs Need (Active Courses)]],Table2[Roster Status],"1",Table2[Remaining Courses],"0")</f>
        <v>1</v>
      </c>
      <c r="T9" s="78">
        <f ca="1">COUNTIFS(Table2[Course],Table311[[#This Row],[Courses - Planned vs Need (Active Courses)]],Table2[Remaining Courses],"1")</f>
        <v>0</v>
      </c>
      <c r="U9" s="81">
        <f t="shared" si="8"/>
        <v>0.15384615384615385</v>
      </c>
      <c r="V9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0.3888888888888889</v>
      </c>
      <c r="W9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0.98888888888888893</v>
      </c>
      <c r="X9" s="115">
        <v>0</v>
      </c>
      <c r="Y9" s="78">
        <f ca="1">SUM(S9,T9)*F9</f>
        <v>30</v>
      </c>
      <c r="Z9" s="78">
        <f>Table311[[#This Row],[Fleet Quota Need]]-Table311[[#This Row],[Total Grads]]</f>
        <v>198</v>
      </c>
      <c r="AA9" s="61"/>
    </row>
    <row r="10" spans="2:27" ht="15.75" x14ac:dyDescent="0.25">
      <c r="B10" s="90" t="s">
        <v>10</v>
      </c>
      <c r="C10" s="74"/>
      <c r="D10" s="74" t="s">
        <v>50</v>
      </c>
      <c r="E10" s="74">
        <f>COUNTIF(Table2[Course],Table311[[#This Row],[Courses - Planned vs Need (Active Courses)]])</f>
        <v>2</v>
      </c>
      <c r="F10" s="74">
        <v>25</v>
      </c>
      <c r="G10" s="74">
        <f>Table311[[#This Row],[Course Offerings]]*Table311[[#This Row],[Quota per Offering]]</f>
        <v>50</v>
      </c>
      <c r="H10" s="74">
        <v>291</v>
      </c>
      <c r="I10" s="74">
        <f t="shared" si="5"/>
        <v>-241</v>
      </c>
      <c r="J10" s="77">
        <f t="shared" si="6"/>
        <v>0.1718213058419244</v>
      </c>
      <c r="K10" s="75">
        <f>SUMIF(Table2[Course],Table311[[#This Row],[Courses - Planned vs Need (Active Courses)]],Table2[Graduates])</f>
        <v>19</v>
      </c>
      <c r="L10" s="115">
        <f>SUMIF(Table2[Course],Table311[[#This Row],[Courses - Planned vs Need (Active Courses)]],Table2[Registered])</f>
        <v>22</v>
      </c>
      <c r="M10" s="115">
        <f>SUMIF(Table2[Course],Table311[[#This Row],[Courses - Planned vs Need (Active Courses)]],Table2[Waitlisted])</f>
        <v>0</v>
      </c>
      <c r="N10" s="115">
        <f>SUMIF(Table2[Course],Table311[[#This Row],[Courses - Planned vs Need (Active Courses)]],Table2[Walk-ins])</f>
        <v>1</v>
      </c>
      <c r="O10" s="76">
        <f>SUMIF(Table2[Course],Table311[[#This Row],[Courses - Planned vs Need (Active Courses)]],Table2[No Shows])</f>
        <v>4</v>
      </c>
      <c r="P10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35</v>
      </c>
      <c r="Q10" s="78">
        <f>ROUNDDOWN(Table311[[#This Row],[To date quotas unused (Open quotas+ no shows)]]/Table311[[#This Row],[Quota per Offering]],0)</f>
        <v>1</v>
      </c>
      <c r="R10" s="76">
        <f t="shared" si="7"/>
        <v>31</v>
      </c>
      <c r="S10" s="78">
        <f>COUNTIFS(Table2[Course],Table311[[#This Row],[Courses - Planned vs Need (Active Courses)]],Table2[Roster Status],"1",Table2[Remaining Courses],"0")</f>
        <v>0</v>
      </c>
      <c r="T10" s="78">
        <f ca="1">COUNTIFS(Table2[Course],Table311[[#This Row],[Courses - Planned vs Need (Active Courses)]],Table2[Remaining Courses],"1")</f>
        <v>0</v>
      </c>
      <c r="U10" s="81">
        <f t="shared" si="8"/>
        <v>6.5292096219931275E-2</v>
      </c>
      <c r="V10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</v>
      </c>
      <c r="W10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0.92</v>
      </c>
      <c r="X10" s="115">
        <v>0</v>
      </c>
      <c r="Y10" s="78">
        <f ca="1">SUM(S10,T10)*F10</f>
        <v>0</v>
      </c>
      <c r="Z10" s="78">
        <f>Table311[[#This Row],[Fleet Quota Need]]-Table311[[#This Row],[Total Grads]]</f>
        <v>272</v>
      </c>
      <c r="AA10" s="61"/>
    </row>
    <row r="11" spans="2:27" ht="15.75" x14ac:dyDescent="0.25">
      <c r="B11" s="90" t="s">
        <v>11</v>
      </c>
      <c r="C11" s="74"/>
      <c r="D11" s="74" t="s">
        <v>50</v>
      </c>
      <c r="E11" s="74">
        <f>COUNTIF(Table2[Course],Table311[[#This Row],[Courses - Planned vs Need (Active Courses)]])</f>
        <v>4</v>
      </c>
      <c r="F11" s="74">
        <v>30</v>
      </c>
      <c r="G11" s="74">
        <f>Table311[[#This Row],[Course Offerings]]*Table311[[#This Row],[Quota per Offering]]</f>
        <v>120</v>
      </c>
      <c r="H11" s="74">
        <v>299</v>
      </c>
      <c r="I11" s="74">
        <f t="shared" si="5"/>
        <v>-179</v>
      </c>
      <c r="J11" s="77">
        <f t="shared" si="6"/>
        <v>0.40133779264214048</v>
      </c>
      <c r="K11" s="75">
        <f>SUMIF(Table2[Course],Table311[[#This Row],[Courses - Planned vs Need (Active Courses)]],Table2[Graduates])</f>
        <v>40</v>
      </c>
      <c r="L11" s="115">
        <f>SUMIF(Table2[Course],Table311[[#This Row],[Courses - Planned vs Need (Active Courses)]],Table2[Registered])</f>
        <v>45</v>
      </c>
      <c r="M11" s="115">
        <f>SUMIF(Table2[Course],Table311[[#This Row],[Courses - Planned vs Need (Active Courses)]],Table2[Waitlisted])</f>
        <v>0</v>
      </c>
      <c r="N11" s="115">
        <f>SUMIF(Table2[Course],Table311[[#This Row],[Courses - Planned vs Need (Active Courses)]],Table2[Walk-ins])</f>
        <v>0</v>
      </c>
      <c r="O11" s="76">
        <f>SUMIF(Table2[Course],Table311[[#This Row],[Courses - Planned vs Need (Active Courses)]],Table2[No Shows])</f>
        <v>2</v>
      </c>
      <c r="P11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52</v>
      </c>
      <c r="Q11" s="78">
        <f>ROUNDDOWN(Table311[[#This Row],[To date quotas unused (Open quotas+ no shows)]]/Table311[[#This Row],[Quota per Offering]],0)</f>
        <v>1</v>
      </c>
      <c r="R11" s="76">
        <f t="shared" si="7"/>
        <v>80</v>
      </c>
      <c r="S11" s="78">
        <f ca="1">COUNTIFS(Table2[Course],Table311[[#This Row],[Courses - Planned vs Need (Active Courses)]],Table2[Roster Status],"1",Table2[Remaining Courses],"0")</f>
        <v>1</v>
      </c>
      <c r="T11" s="78">
        <f ca="1">COUNTIFS(Table2[Course],Table311[[#This Row],[Courses - Planned vs Need (Active Courses)]],Table2[Remaining Courses],"1")</f>
        <v>0</v>
      </c>
      <c r="U11" s="81">
        <f t="shared" si="8"/>
        <v>0.13377926421404682</v>
      </c>
      <c r="V11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0.42222222222222222</v>
      </c>
      <c r="W11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0.97777777777777775</v>
      </c>
      <c r="X11" s="116">
        <v>0</v>
      </c>
      <c r="Y11" s="78">
        <v>58</v>
      </c>
      <c r="Z11" s="78">
        <f>Table311[[#This Row],[Fleet Quota Need]]-Table311[[#This Row],[Total Grads]]</f>
        <v>259</v>
      </c>
      <c r="AA11" s="61"/>
    </row>
    <row r="12" spans="2:27" ht="31.5" x14ac:dyDescent="0.25">
      <c r="B12" s="90" t="s">
        <v>214</v>
      </c>
      <c r="C12" s="74"/>
      <c r="D12" s="74" t="s">
        <v>51</v>
      </c>
      <c r="E12" s="74">
        <f>COUNTIF(Table2[Course],Table311[[#This Row],[Courses - Planned vs Need (Active Courses)]])</f>
        <v>10</v>
      </c>
      <c r="F12" s="74">
        <v>45</v>
      </c>
      <c r="G12" s="74">
        <f>Table311[[#This Row],[Course Offerings]]*Table311[[#This Row],[Quota per Offering]]</f>
        <v>450</v>
      </c>
      <c r="H12" s="74">
        <v>406</v>
      </c>
      <c r="I12" s="74">
        <f t="shared" si="5"/>
        <v>44</v>
      </c>
      <c r="J12" s="77">
        <f t="shared" si="6"/>
        <v>1.1083743842364533</v>
      </c>
      <c r="K12" s="75">
        <f>SUMIF(Table2[Course],Table311[[#This Row],[Courses - Planned vs Need (Active Courses)]],Table2[Graduates])</f>
        <v>237</v>
      </c>
      <c r="L12" s="115">
        <f>SUMIF(Table2[Course],Table311[[#This Row],[Courses - Planned vs Need (Active Courses)]],Table2[Registered])</f>
        <v>314</v>
      </c>
      <c r="M12" s="115">
        <f>SUMIF(Table2[Course],Table311[[#This Row],[Courses - Planned vs Need (Active Courses)]],Table2[Waitlisted])</f>
        <v>2</v>
      </c>
      <c r="N12" s="115">
        <f>SUMIF(Table2[Course],Table311[[#This Row],[Courses - Planned vs Need (Active Courses)]],Table2[Walk-ins])</f>
        <v>5</v>
      </c>
      <c r="O12" s="76">
        <f>SUMIF(Table2[Course],Table311[[#This Row],[Courses - Planned vs Need (Active Courses)]],Table2[No Shows])</f>
        <v>41</v>
      </c>
      <c r="P12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178</v>
      </c>
      <c r="Q12" s="78">
        <f>ROUNDDOWN(Table311[[#This Row],[To date quotas unused (Open quotas+ no shows)]]/Table311[[#This Row],[Quota per Offering]],0)</f>
        <v>3</v>
      </c>
      <c r="R12" s="76">
        <f t="shared" si="7"/>
        <v>213</v>
      </c>
      <c r="S12" s="78">
        <f ca="1">COUNTIFS(Table2[Course],Table311[[#This Row],[Courses - Planned vs Need (Active Courses)]],Table2[Roster Status],"1",Table2[Remaining Courses],"0")</f>
        <v>2</v>
      </c>
      <c r="T12" s="78">
        <f ca="1">COUNTIFS(Table2[Course],Table311[[#This Row],[Courses - Planned vs Need (Active Courses)]],Table2[Remaining Courses],"1")</f>
        <v>0</v>
      </c>
      <c r="U12" s="81">
        <f t="shared" si="8"/>
        <v>0.58374384236453203</v>
      </c>
      <c r="V12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0.50555555555555554</v>
      </c>
      <c r="W12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0.88611111111111107</v>
      </c>
      <c r="X12" s="116">
        <v>0</v>
      </c>
      <c r="Y12" s="78">
        <f t="shared" ref="Y12:Y25" ca="1" si="9">SUM(S12,T12)*F12</f>
        <v>90</v>
      </c>
      <c r="Z12" s="78">
        <f>Table311[[#This Row],[Fleet Quota Need]]-Table311[[#This Row],[Total Grads]]</f>
        <v>169</v>
      </c>
      <c r="AA12" s="61"/>
    </row>
    <row r="13" spans="2:27" ht="31.5" x14ac:dyDescent="0.25">
      <c r="B13" s="102" t="s">
        <v>236</v>
      </c>
      <c r="C13" s="74" t="s">
        <v>53</v>
      </c>
      <c r="D13" s="74" t="s">
        <v>54</v>
      </c>
      <c r="E13" s="74">
        <f>COUNTIF(Table2[Course],Table311[[#This Row],[Courses - Planned vs Need (Active Courses)]])</f>
        <v>32</v>
      </c>
      <c r="F13" s="74">
        <v>25</v>
      </c>
      <c r="G13" s="74">
        <f>Table311[[#This Row],[Course Offerings]]*Table311[[#This Row],[Quota per Offering]]</f>
        <v>800</v>
      </c>
      <c r="H13" s="74">
        <v>2051</v>
      </c>
      <c r="I13" s="74">
        <f t="shared" si="5"/>
        <v>-1251</v>
      </c>
      <c r="J13" s="77">
        <f t="shared" si="6"/>
        <v>0.39005363237445151</v>
      </c>
      <c r="K13" s="75">
        <f>SUMIF(Table2[Course],Table311[[#This Row],[Courses - Planned vs Need (Active Courses)]],Table2[Graduates])</f>
        <v>446</v>
      </c>
      <c r="L13" s="115">
        <f>SUMIF(Table2[Course],Table311[[#This Row],[Courses - Planned vs Need (Active Courses)]],Table2[Registered])</f>
        <v>593</v>
      </c>
      <c r="M13" s="115">
        <f>SUMIF(Table2[Course],Table311[[#This Row],[Courses - Planned vs Need (Active Courses)]],Table2[Waitlisted])</f>
        <v>41</v>
      </c>
      <c r="N13" s="115">
        <f>SUMIF(Table2[Course],Table311[[#This Row],[Courses - Planned vs Need (Active Courses)]],Table2[Walk-ins])</f>
        <v>19</v>
      </c>
      <c r="O13" s="76">
        <f>SUMIF(Table2[Course],Table311[[#This Row],[Courses - Planned vs Need (Active Courses)]],Table2[No Shows])</f>
        <v>135</v>
      </c>
      <c r="P13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289</v>
      </c>
      <c r="Q13" s="78">
        <f>ROUNDDOWN(Table311[[#This Row],[To date quotas unused (Open quotas+ no shows)]]/Table311[[#This Row],[Quota per Offering]],0)</f>
        <v>11</v>
      </c>
      <c r="R13" s="76">
        <f t="shared" si="7"/>
        <v>354</v>
      </c>
      <c r="S13" s="78">
        <f ca="1">COUNTIFS(Table2[Course],Table311[[#This Row],[Courses - Planned vs Need (Active Courses)]],Table2[Roster Status],"1",Table2[Remaining Courses],"0")</f>
        <v>4</v>
      </c>
      <c r="T13" s="78">
        <f ca="1">COUNTIFS(Table2[Course],Table311[[#This Row],[Courses - Planned vs Need (Active Courses)]],Table2[Remaining Courses],"1")</f>
        <v>4</v>
      </c>
      <c r="U13" s="81">
        <f t="shared" si="8"/>
        <v>0.2174549000487567</v>
      </c>
      <c r="V13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0.51833333333333331</v>
      </c>
      <c r="W13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0.77500000000000002</v>
      </c>
      <c r="X13" s="116">
        <v>7</v>
      </c>
      <c r="Y13" s="78">
        <f t="shared" ca="1" si="9"/>
        <v>200</v>
      </c>
      <c r="Z13" s="78">
        <f>Table311[[#This Row],[Fleet Quota Need]]-Table311[[#This Row],[Total Grads]]</f>
        <v>1605</v>
      </c>
      <c r="AA13" s="61"/>
    </row>
    <row r="14" spans="2:27" ht="15.75" x14ac:dyDescent="0.25">
      <c r="B14" s="102" t="s">
        <v>14</v>
      </c>
      <c r="C14" s="74" t="s">
        <v>53</v>
      </c>
      <c r="D14" s="74" t="s">
        <v>50</v>
      </c>
      <c r="E14" s="74">
        <f>COUNTIF(Table2[Course],Table311[[#This Row],[Courses - Planned vs Need (Active Courses)]])</f>
        <v>10</v>
      </c>
      <c r="F14" s="74">
        <v>25</v>
      </c>
      <c r="G14" s="74">
        <f>Table311[[#This Row],[Course Offerings]]*Table311[[#This Row],[Quota per Offering]]</f>
        <v>250</v>
      </c>
      <c r="H14" s="74">
        <v>860</v>
      </c>
      <c r="I14" s="74">
        <f t="shared" si="5"/>
        <v>-610</v>
      </c>
      <c r="J14" s="77">
        <f t="shared" si="6"/>
        <v>0.29069767441860467</v>
      </c>
      <c r="K14" s="75">
        <f>SUMIF(Table2[Course],Table311[[#This Row],[Courses - Planned vs Need (Active Courses)]],Table2[Graduates])</f>
        <v>130</v>
      </c>
      <c r="L14" s="115">
        <f>SUMIF(Table2[Course],Table311[[#This Row],[Courses - Planned vs Need (Active Courses)]],Table2[Registered])</f>
        <v>193</v>
      </c>
      <c r="M14" s="115">
        <f>SUMIF(Table2[Course],Table311[[#This Row],[Courses - Planned vs Need (Active Courses)]],Table2[Waitlisted])</f>
        <v>12</v>
      </c>
      <c r="N14" s="115">
        <f>SUMIF(Table2[Course],Table311[[#This Row],[Courses - Planned vs Need (Active Courses)]],Table2[Walk-ins])</f>
        <v>11</v>
      </c>
      <c r="O14" s="76">
        <f>SUMIF(Table2[Course],Table311[[#This Row],[Courses - Planned vs Need (Active Courses)]],Table2[No Shows])</f>
        <v>58</v>
      </c>
      <c r="P14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142</v>
      </c>
      <c r="Q14" s="78">
        <f>ROUNDDOWN(Table311[[#This Row],[To date quotas unused (Open quotas+ no shows)]]/Table311[[#This Row],[Quota per Offering]],0)</f>
        <v>5</v>
      </c>
      <c r="R14" s="76">
        <f t="shared" si="7"/>
        <v>120</v>
      </c>
      <c r="S14" s="78">
        <f ca="1">COUNTIFS(Table2[Course],Table311[[#This Row],[Courses - Planned vs Need (Active Courses)]],Table2[Roster Status],"1",Table2[Remaining Courses],"0")</f>
        <v>0</v>
      </c>
      <c r="T14" s="78">
        <f ca="1">COUNTIFS(Table2[Course],Table311[[#This Row],[Courses - Planned vs Need (Active Courses)]],Table2[Remaining Courses],"1")</f>
        <v>1</v>
      </c>
      <c r="U14" s="81">
        <f t="shared" si="8"/>
        <v>0.15116279069767441</v>
      </c>
      <c r="V14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0.36888888888888888</v>
      </c>
      <c r="W14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0.74222222222222223</v>
      </c>
      <c r="X14" s="115">
        <v>0</v>
      </c>
      <c r="Y14" s="78">
        <f t="shared" ca="1" si="9"/>
        <v>25</v>
      </c>
      <c r="Z14" s="78">
        <f>Table311[[#This Row],[Fleet Quota Need]]-Table311[[#This Row],[Total Grads]]</f>
        <v>730</v>
      </c>
      <c r="AA14" s="61"/>
    </row>
    <row r="15" spans="2:27" ht="15.75" x14ac:dyDescent="0.25">
      <c r="B15" s="102" t="s">
        <v>15</v>
      </c>
      <c r="C15" s="74" t="s">
        <v>53</v>
      </c>
      <c r="D15" s="74" t="s">
        <v>54</v>
      </c>
      <c r="E15" s="74">
        <f>COUNTIF(Table2[Course],Table311[[#This Row],[Courses - Planned vs Need (Active Courses)]])</f>
        <v>7</v>
      </c>
      <c r="F15" s="74">
        <v>35</v>
      </c>
      <c r="G15" s="74">
        <f>Table311[[#This Row],[Course Offerings]]*Table311[[#This Row],[Quota per Offering]]</f>
        <v>245</v>
      </c>
      <c r="H15" s="74">
        <v>494</v>
      </c>
      <c r="I15" s="74">
        <f t="shared" si="5"/>
        <v>-249</v>
      </c>
      <c r="J15" s="77">
        <f t="shared" si="6"/>
        <v>0.4959514170040486</v>
      </c>
      <c r="K15" s="75">
        <f>SUMIF(Table2[Course],Table311[[#This Row],[Courses - Planned vs Need (Active Courses)]],Table2[Graduates])</f>
        <v>114</v>
      </c>
      <c r="L15" s="115">
        <f>SUMIF(Table2[Course],Table311[[#This Row],[Courses - Planned vs Need (Active Courses)]],Table2[Registered])</f>
        <v>132</v>
      </c>
      <c r="M15" s="115">
        <f>SUMIF(Table2[Course],Table311[[#This Row],[Courses - Planned vs Need (Active Courses)]],Table2[Waitlisted])</f>
        <v>7</v>
      </c>
      <c r="N15" s="115">
        <f>SUMIF(Table2[Course],Table311[[#This Row],[Courses - Planned vs Need (Active Courses)]],Table2[Walk-ins])</f>
        <v>11</v>
      </c>
      <c r="O15" s="76">
        <f>SUMIF(Table2[Course],Table311[[#This Row],[Courses - Planned vs Need (Active Courses)]],Table2[No Shows])</f>
        <v>25</v>
      </c>
      <c r="P15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120</v>
      </c>
      <c r="Q15" s="78">
        <f>ROUNDDOWN(Table311[[#This Row],[To date quotas unused (Open quotas+ no shows)]]/Table311[[#This Row],[Quota per Offering]],0)</f>
        <v>3</v>
      </c>
      <c r="R15" s="76">
        <f t="shared" si="7"/>
        <v>131</v>
      </c>
      <c r="S15" s="78">
        <f ca="1">COUNTIFS(Table2[Course],Table311[[#This Row],[Courses - Planned vs Need (Active Courses)]],Table2[Roster Status],"1",Table2[Remaining Courses],"0")</f>
        <v>0</v>
      </c>
      <c r="T15" s="78">
        <f ca="1">COUNTIFS(Table2[Course],Table311[[#This Row],[Courses - Planned vs Need (Active Courses)]],Table2[Remaining Courses],"1")</f>
        <v>1</v>
      </c>
      <c r="U15" s="81">
        <f t="shared" si="8"/>
        <v>0.23076923076923078</v>
      </c>
      <c r="V15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0.42857142857142855</v>
      </c>
      <c r="W15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0.88095238095238093</v>
      </c>
      <c r="X15" s="115">
        <v>21</v>
      </c>
      <c r="Y15" s="78">
        <f t="shared" ca="1" si="9"/>
        <v>35</v>
      </c>
      <c r="Z15" s="78">
        <f>Table311[[#This Row],[Fleet Quota Need]]-Table311[[#This Row],[Total Grads]]</f>
        <v>380</v>
      </c>
      <c r="AA15" s="61"/>
    </row>
    <row r="16" spans="2:27" ht="15.75" x14ac:dyDescent="0.25">
      <c r="B16" s="90" t="s">
        <v>16</v>
      </c>
      <c r="C16" s="74"/>
      <c r="D16" s="74" t="s">
        <v>50</v>
      </c>
      <c r="E16" s="74">
        <f>COUNTIF(Table2[Course],Table311[[#This Row],[Courses - Planned vs Need (Active Courses)]])</f>
        <v>1</v>
      </c>
      <c r="F16" s="74">
        <v>25</v>
      </c>
      <c r="G16" s="74">
        <f>Table311[[#This Row],[Course Offerings]]*Table311[[#This Row],[Quota per Offering]]</f>
        <v>25</v>
      </c>
      <c r="H16" s="74">
        <v>113</v>
      </c>
      <c r="I16" s="74">
        <f t="shared" si="5"/>
        <v>-88</v>
      </c>
      <c r="J16" s="77">
        <f t="shared" si="6"/>
        <v>0.22123893805309736</v>
      </c>
      <c r="K16" s="75">
        <f>SUMIF(Table2[Course],Table311[[#This Row],[Courses - Planned vs Need (Active Courses)]],Table2[Graduates])</f>
        <v>7</v>
      </c>
      <c r="L16" s="115">
        <f>SUMIF(Table2[Course],Table311[[#This Row],[Courses - Planned vs Need (Active Courses)]],Table2[Registered])</f>
        <v>4</v>
      </c>
      <c r="M16" s="115">
        <f>SUMIF(Table2[Course],Table311[[#This Row],[Courses - Planned vs Need (Active Courses)]],Table2[Waitlisted])</f>
        <v>0</v>
      </c>
      <c r="N16" s="115">
        <f>SUMIF(Table2[Course],Table311[[#This Row],[Courses - Planned vs Need (Active Courses)]],Table2[Walk-ins])</f>
        <v>3</v>
      </c>
      <c r="O16" s="76">
        <f>SUMIF(Table2[Course],Table311[[#This Row],[Courses - Planned vs Need (Active Courses)]],Table2[No Shows])</f>
        <v>0</v>
      </c>
      <c r="P16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18</v>
      </c>
      <c r="Q16" s="78">
        <f>ROUNDDOWN(Table311[[#This Row],[To date quotas unused (Open quotas+ no shows)]]/Table311[[#This Row],[Quota per Offering]],0)</f>
        <v>0</v>
      </c>
      <c r="R16" s="76">
        <f t="shared" si="7"/>
        <v>18</v>
      </c>
      <c r="S16" s="78">
        <f>COUNTIFS(Table2[Course],Table311[[#This Row],[Courses - Planned vs Need (Active Courses)]],Table2[Roster Status],"1",Table2[Remaining Courses],"0")</f>
        <v>0</v>
      </c>
      <c r="T16" s="78">
        <f ca="1">COUNTIFS(Table2[Course],Table311[[#This Row],[Courses - Planned vs Need (Active Courses)]],Table2[Remaining Courses],"1")</f>
        <v>0</v>
      </c>
      <c r="U16" s="81">
        <f t="shared" si="8"/>
        <v>6.1946902654867256E-2</v>
      </c>
      <c r="V16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0.28000000000000003</v>
      </c>
      <c r="W16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16" s="115">
        <v>0</v>
      </c>
      <c r="Y16" s="78">
        <f t="shared" ca="1" si="9"/>
        <v>0</v>
      </c>
      <c r="Z16" s="78">
        <f>Table311[[#This Row],[Fleet Quota Need]]-Table311[[#This Row],[Total Grads]]</f>
        <v>106</v>
      </c>
      <c r="AA16" s="61"/>
    </row>
    <row r="17" spans="2:27" ht="15.75" x14ac:dyDescent="0.25">
      <c r="B17" s="102" t="s">
        <v>17</v>
      </c>
      <c r="C17" s="74" t="s">
        <v>53</v>
      </c>
      <c r="D17" s="74" t="s">
        <v>49</v>
      </c>
      <c r="E17" s="74">
        <f>COUNTIF(Table2[Course],Table311[[#This Row],[Courses - Planned vs Need (Active Courses)]])</f>
        <v>22</v>
      </c>
      <c r="F17" s="74">
        <v>40</v>
      </c>
      <c r="G17" s="74">
        <f>Table311[[#This Row],[Course Offerings]]*Table311[[#This Row],[Quota per Offering]]</f>
        <v>880</v>
      </c>
      <c r="H17" s="74">
        <v>573</v>
      </c>
      <c r="I17" s="74">
        <f t="shared" si="5"/>
        <v>307</v>
      </c>
      <c r="J17" s="77">
        <f t="shared" si="6"/>
        <v>1.5357766143106457</v>
      </c>
      <c r="K17" s="75">
        <f>SUMIF(Table2[Course],Table311[[#This Row],[Courses - Planned vs Need (Active Courses)]],Table2[Graduates])</f>
        <v>462</v>
      </c>
      <c r="L17" s="115">
        <f>SUMIF(Table2[Course],Table311[[#This Row],[Courses - Planned vs Need (Active Courses)]],Table2[Registered])</f>
        <v>478</v>
      </c>
      <c r="M17" s="115">
        <f>SUMIF(Table2[Course],Table311[[#This Row],[Courses - Planned vs Need (Active Courses)]],Table2[Waitlisted])</f>
        <v>5</v>
      </c>
      <c r="N17" s="115">
        <f>SUMIF(Table2[Course],Table311[[#This Row],[Courses - Planned vs Need (Active Courses)]],Table2[Walk-ins])</f>
        <v>117</v>
      </c>
      <c r="O17" s="76">
        <f>SUMIF(Table2[Course],Table311[[#This Row],[Courses - Planned vs Need (Active Courses)]],Table2[No Shows])</f>
        <v>48</v>
      </c>
      <c r="P17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287</v>
      </c>
      <c r="Q17" s="78">
        <f>ROUNDDOWN(Table311[[#This Row],[To date quotas unused (Open quotas+ no shows)]]/Table311[[#This Row],[Quota per Offering]],0)</f>
        <v>7</v>
      </c>
      <c r="R17" s="76">
        <f t="shared" si="7"/>
        <v>418</v>
      </c>
      <c r="S17" s="78">
        <f ca="1">COUNTIFS(Table2[Course],Table311[[#This Row],[Courses - Planned vs Need (Active Courses)]],Table2[Roster Status],"1",Table2[Remaining Courses],"0")</f>
        <v>0</v>
      </c>
      <c r="T17" s="78">
        <f ca="1">COUNTIFS(Table2[Course],Table311[[#This Row],[Courses - Planned vs Need (Active Courses)]],Table2[Remaining Courses],"1")</f>
        <v>3</v>
      </c>
      <c r="U17" s="81">
        <f t="shared" si="8"/>
        <v>0.80628272251308897</v>
      </c>
      <c r="V17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0.62236842105263157</v>
      </c>
      <c r="W17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0.93684210526315792</v>
      </c>
      <c r="X17" s="116">
        <v>53</v>
      </c>
      <c r="Y17" s="78">
        <f t="shared" ca="1" si="9"/>
        <v>120</v>
      </c>
      <c r="Z17" s="78">
        <f>Table311[[#This Row],[Fleet Quota Need]]-Table311[[#This Row],[Total Grads]]</f>
        <v>111</v>
      </c>
      <c r="AA17" s="61"/>
    </row>
    <row r="18" spans="2:27" ht="31.5" x14ac:dyDescent="0.25">
      <c r="B18" s="102" t="s">
        <v>18</v>
      </c>
      <c r="C18" s="74" t="s">
        <v>53</v>
      </c>
      <c r="D18" s="74" t="s">
        <v>49</v>
      </c>
      <c r="E18" s="74">
        <f>COUNTIF(Table2[Course],Table311[[#This Row],[Courses - Planned vs Need (Active Courses)]])</f>
        <v>23</v>
      </c>
      <c r="F18" s="74">
        <v>40</v>
      </c>
      <c r="G18" s="74">
        <f>Table311[[#This Row],[Course Offerings]]*Table311[[#This Row],[Quota per Offering]]</f>
        <v>920</v>
      </c>
      <c r="H18" s="74">
        <v>473</v>
      </c>
      <c r="I18" s="74">
        <f t="shared" si="5"/>
        <v>447</v>
      </c>
      <c r="J18" s="77">
        <f t="shared" si="6"/>
        <v>1.945031712473573</v>
      </c>
      <c r="K18" s="75">
        <f>SUMIF(Table2[Course],Table311[[#This Row],[Courses - Planned vs Need (Active Courses)]],Table2[Graduates])</f>
        <v>322</v>
      </c>
      <c r="L18" s="115">
        <f>SUMIF(Table2[Course],Table311[[#This Row],[Courses - Planned vs Need (Active Courses)]],Table2[Registered])</f>
        <v>337</v>
      </c>
      <c r="M18" s="115">
        <f>SUMIF(Table2[Course],Table311[[#This Row],[Courses - Planned vs Need (Active Courses)]],Table2[Waitlisted])</f>
        <v>5</v>
      </c>
      <c r="N18" s="115">
        <f>SUMIF(Table2[Course],Table311[[#This Row],[Courses - Planned vs Need (Active Courses)]],Table2[Walk-ins])</f>
        <v>102</v>
      </c>
      <c r="O18" s="76">
        <f>SUMIF(Table2[Course],Table311[[#This Row],[Courses - Planned vs Need (Active Courses)]],Table2[No Shows])</f>
        <v>27</v>
      </c>
      <c r="P18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449</v>
      </c>
      <c r="Q18" s="78">
        <f>ROUNDDOWN(Table311[[#This Row],[To date quotas unused (Open quotas+ no shows)]]/Table311[[#This Row],[Quota per Offering]],0)</f>
        <v>11</v>
      </c>
      <c r="R18" s="76">
        <f t="shared" si="7"/>
        <v>598</v>
      </c>
      <c r="S18" s="78">
        <f ca="1">COUNTIFS(Table2[Course],Table311[[#This Row],[Courses - Planned vs Need (Active Courses)]],Table2[Roster Status],"1",Table2[Remaining Courses],"0")</f>
        <v>0</v>
      </c>
      <c r="T18" s="78">
        <f ca="1">COUNTIFS(Table2[Course],Table311[[#This Row],[Courses - Planned vs Need (Active Courses)]],Table2[Remaining Courses],"1")</f>
        <v>4</v>
      </c>
      <c r="U18" s="81">
        <f t="shared" si="8"/>
        <v>0.68076109936575058</v>
      </c>
      <c r="V18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0.40921052631578947</v>
      </c>
      <c r="W18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0.96447368421052626</v>
      </c>
      <c r="X18" s="116">
        <v>104</v>
      </c>
      <c r="Y18" s="78">
        <f t="shared" ca="1" si="9"/>
        <v>160</v>
      </c>
      <c r="Z18" s="78">
        <f>Table311[[#This Row],[Fleet Quota Need]]-Table311[[#This Row],[Total Grads]]</f>
        <v>151</v>
      </c>
      <c r="AA18" s="61"/>
    </row>
    <row r="19" spans="2:27" ht="31.5" x14ac:dyDescent="0.25">
      <c r="B19" s="90" t="s">
        <v>19</v>
      </c>
      <c r="C19" s="74"/>
      <c r="D19" s="74" t="s">
        <v>54</v>
      </c>
      <c r="E19" s="74">
        <f>COUNTIF(Table2[Course],Table311[[#This Row],[Courses - Planned vs Need (Active Courses)]])</f>
        <v>16</v>
      </c>
      <c r="F19" s="74">
        <v>45</v>
      </c>
      <c r="G19" s="74">
        <f>Table311[[#This Row],[Course Offerings]]*Table311[[#This Row],[Quota per Offering]]</f>
        <v>720</v>
      </c>
      <c r="H19" s="74">
        <v>851</v>
      </c>
      <c r="I19" s="74">
        <f t="shared" si="5"/>
        <v>-131</v>
      </c>
      <c r="J19" s="77">
        <f t="shared" si="6"/>
        <v>0.84606345475910694</v>
      </c>
      <c r="K19" s="75">
        <f>SUMIF(Table2[Course],Table311[[#This Row],[Courses - Planned vs Need (Active Courses)]],Table2[Graduates])</f>
        <v>448</v>
      </c>
      <c r="L19" s="115">
        <f>SUMIF(Table2[Course],Table311[[#This Row],[Courses - Planned vs Need (Active Courses)]],Table2[Registered])</f>
        <v>587</v>
      </c>
      <c r="M19" s="115">
        <f>SUMIF(Table2[Course],Table311[[#This Row],[Courses - Planned vs Need (Active Courses)]],Table2[Waitlisted])</f>
        <v>4</v>
      </c>
      <c r="N19" s="115">
        <f>SUMIF(Table2[Course],Table311[[#This Row],[Courses - Planned vs Need (Active Courses)]],Table2[Walk-ins])</f>
        <v>1</v>
      </c>
      <c r="O19" s="76">
        <f>SUMIF(Table2[Course],Table311[[#This Row],[Courses - Planned vs Need (Active Courses)]],Table2[No Shows])</f>
        <v>77</v>
      </c>
      <c r="P19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302</v>
      </c>
      <c r="Q19" s="78">
        <f>ROUNDDOWN(Table311[[#This Row],[To date quotas unused (Open quotas+ no shows)]]/Table311[[#This Row],[Quota per Offering]],0)</f>
        <v>6</v>
      </c>
      <c r="R19" s="76">
        <f t="shared" si="7"/>
        <v>272</v>
      </c>
      <c r="S19" s="78">
        <f ca="1">COUNTIFS(Table2[Course],Table311[[#This Row],[Courses - Planned vs Need (Active Courses)]],Table2[Roster Status],"1",Table2[Remaining Courses],"0")</f>
        <v>1</v>
      </c>
      <c r="T19" s="78">
        <f ca="1">COUNTIFS(Table2[Course],Table311[[#This Row],[Courses - Planned vs Need (Active Courses)]],Table2[Remaining Courses],"1")</f>
        <v>0</v>
      </c>
      <c r="U19" s="81">
        <f t="shared" si="8"/>
        <v>0.52643948296122212</v>
      </c>
      <c r="V19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0.55259259259259264</v>
      </c>
      <c r="W19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0.88592592592592589</v>
      </c>
      <c r="X19" s="116">
        <v>0</v>
      </c>
      <c r="Y19" s="78">
        <f t="shared" ca="1" si="9"/>
        <v>45</v>
      </c>
      <c r="Z19" s="78">
        <f>Table311[[#This Row],[Fleet Quota Need]]-Table311[[#This Row],[Total Grads]]</f>
        <v>403</v>
      </c>
      <c r="AA19" s="61"/>
    </row>
    <row r="20" spans="2:27" ht="15.75" x14ac:dyDescent="0.25">
      <c r="B20" s="102" t="s">
        <v>20</v>
      </c>
      <c r="C20" s="74" t="s">
        <v>53</v>
      </c>
      <c r="D20" s="74" t="s">
        <v>54</v>
      </c>
      <c r="E20" s="74">
        <f>COUNTIF(Table2[Course],Table311[[#This Row],[Courses - Planned vs Need (Active Courses)]])</f>
        <v>9</v>
      </c>
      <c r="F20" s="74">
        <v>30</v>
      </c>
      <c r="G20" s="74">
        <f>Table311[[#This Row],[Course Offerings]]*Table311[[#This Row],[Quota per Offering]]</f>
        <v>270</v>
      </c>
      <c r="H20" s="74">
        <v>939</v>
      </c>
      <c r="I20" s="74">
        <f t="shared" si="5"/>
        <v>-669</v>
      </c>
      <c r="J20" s="77">
        <f t="shared" si="6"/>
        <v>0.28753993610223644</v>
      </c>
      <c r="K20" s="75">
        <f>SUMIF(Table2[Course],Table311[[#This Row],[Courses - Planned vs Need (Active Courses)]],Table2[Graduates])</f>
        <v>83</v>
      </c>
      <c r="L20" s="115">
        <f>SUMIF(Table2[Course],Table311[[#This Row],[Courses - Planned vs Need (Active Courses)]],Table2[Registered])</f>
        <v>119</v>
      </c>
      <c r="M20" s="115">
        <f>SUMIF(Table2[Course],Table311[[#This Row],[Courses - Planned vs Need (Active Courses)]],Table2[Waitlisted])</f>
        <v>0</v>
      </c>
      <c r="N20" s="115">
        <f>SUMIF(Table2[Course],Table311[[#This Row],[Courses - Planned vs Need (Active Courses)]],Table2[Walk-ins])</f>
        <v>2</v>
      </c>
      <c r="O20" s="76">
        <f>SUMIF(Table2[Course],Table311[[#This Row],[Courses - Planned vs Need (Active Courses)]],Table2[No Shows])</f>
        <v>34</v>
      </c>
      <c r="P20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131</v>
      </c>
      <c r="Q20" s="78">
        <f>ROUNDDOWN(Table311[[#This Row],[To date quotas unused (Open quotas+ no shows)]]/Table311[[#This Row],[Quota per Offering]],0)</f>
        <v>4</v>
      </c>
      <c r="R20" s="76">
        <f t="shared" si="7"/>
        <v>187</v>
      </c>
      <c r="S20" s="78">
        <f ca="1">COUNTIFS(Table2[Course],Table311[[#This Row],[Courses - Planned vs Need (Active Courses)]],Table2[Roster Status],"1",Table2[Remaining Courses],"0")</f>
        <v>0</v>
      </c>
      <c r="T20" s="78">
        <f ca="1">COUNTIFS(Table2[Course],Table311[[#This Row],[Courses - Planned vs Need (Active Courses)]],Table2[Remaining Courses],"1")</f>
        <v>2</v>
      </c>
      <c r="U20" s="81">
        <f t="shared" si="8"/>
        <v>8.8391906283280086E-2</v>
      </c>
      <c r="V20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0.37619047619047619</v>
      </c>
      <c r="W20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0.83809523809523812</v>
      </c>
      <c r="X20" s="115">
        <v>27</v>
      </c>
      <c r="Y20" s="78">
        <f t="shared" ca="1" si="9"/>
        <v>60</v>
      </c>
      <c r="Z20" s="78">
        <f>Table311[[#This Row],[Fleet Quota Need]]-Table311[[#This Row],[Total Grads]]</f>
        <v>856</v>
      </c>
      <c r="AA20" s="61"/>
    </row>
    <row r="21" spans="2:27" ht="31.5" x14ac:dyDescent="0.25">
      <c r="B21" s="90" t="s">
        <v>243</v>
      </c>
      <c r="C21" s="74"/>
      <c r="D21" s="74" t="s">
        <v>54</v>
      </c>
      <c r="E21" s="74">
        <f>COUNTIF(Table2[Course],Table311[[#This Row],[Courses - Planned vs Need (Active Courses)]])</f>
        <v>17</v>
      </c>
      <c r="F21" s="74">
        <v>45</v>
      </c>
      <c r="G21" s="74">
        <f>Table311[[#This Row],[Course Offerings]]*Table311[[#This Row],[Quota per Offering]]</f>
        <v>765</v>
      </c>
      <c r="H21" s="74">
        <v>762</v>
      </c>
      <c r="I21" s="74">
        <f t="shared" si="5"/>
        <v>3</v>
      </c>
      <c r="J21" s="77">
        <f t="shared" si="6"/>
        <v>1.0039370078740157</v>
      </c>
      <c r="K21" s="75">
        <f>SUMIF(Table2[Course],Table311[[#This Row],[Courses - Planned vs Need (Active Courses)]],Table2[Graduates])</f>
        <v>360</v>
      </c>
      <c r="L21" s="115">
        <f>SUMIF(Table2[Course],Table311[[#This Row],[Courses - Planned vs Need (Active Courses)]],Table2[Registered])</f>
        <v>436</v>
      </c>
      <c r="M21" s="115">
        <f>SUMIF(Table2[Course],Table311[[#This Row],[Courses - Planned vs Need (Active Courses)]],Table2[Waitlisted])</f>
        <v>0</v>
      </c>
      <c r="N21" s="115">
        <f>SUMIF(Table2[Course],Table311[[#This Row],[Courses - Planned vs Need (Active Courses)]],Table2[Walk-ins])</f>
        <v>3</v>
      </c>
      <c r="O21" s="76">
        <f>SUMIF(Table2[Course],Table311[[#This Row],[Courses - Planned vs Need (Active Courses)]],Table2[No Shows])</f>
        <v>68</v>
      </c>
      <c r="P21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380</v>
      </c>
      <c r="Q21" s="78">
        <f>ROUNDDOWN(Table311[[#This Row],[To date quotas unused (Open quotas+ no shows)]]/Table311[[#This Row],[Quota per Offering]],0)</f>
        <v>8</v>
      </c>
      <c r="R21" s="76">
        <f t="shared" si="7"/>
        <v>405</v>
      </c>
      <c r="S21" s="78">
        <f ca="1">COUNTIFS(Table2[Course],Table311[[#This Row],[Courses - Planned vs Need (Active Courses)]],Table2[Roster Status],"1",Table2[Remaining Courses],"0")</f>
        <v>0</v>
      </c>
      <c r="T21" s="78">
        <f ca="1">COUNTIFS(Table2[Course],Table311[[#This Row],[Courses - Planned vs Need (Active Courses)]],Table2[Remaining Courses],"1")</f>
        <v>2</v>
      </c>
      <c r="U21" s="81">
        <f t="shared" si="8"/>
        <v>0.47244094488188976</v>
      </c>
      <c r="V21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0.43703703703703706</v>
      </c>
      <c r="W21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0.89925925925925931</v>
      </c>
      <c r="X21" s="115">
        <v>30</v>
      </c>
      <c r="Y21" s="78">
        <f t="shared" ca="1" si="9"/>
        <v>90</v>
      </c>
      <c r="Z21" s="78">
        <f>Table311[[#This Row],[Fleet Quota Need]]-Table311[[#This Row],[Total Grads]]</f>
        <v>402</v>
      </c>
      <c r="AA21" s="61"/>
    </row>
    <row r="22" spans="2:27" ht="47.25" x14ac:dyDescent="0.25">
      <c r="B22" s="90" t="s">
        <v>249</v>
      </c>
      <c r="C22" s="74"/>
      <c r="D22" s="74" t="s">
        <v>51</v>
      </c>
      <c r="E22" s="74">
        <f>COUNTIF(Table2[Course],Table311[[#This Row],[Courses - Planned vs Need (Active Courses)]])</f>
        <v>18</v>
      </c>
      <c r="F22" s="74">
        <v>45</v>
      </c>
      <c r="G22" s="74">
        <f>Table311[[#This Row],[Course Offerings]]*Table311[[#This Row],[Quota per Offering]]</f>
        <v>810</v>
      </c>
      <c r="H22" s="74">
        <v>800</v>
      </c>
      <c r="I22" s="74">
        <f t="shared" si="5"/>
        <v>10</v>
      </c>
      <c r="J22" s="77">
        <f t="shared" si="6"/>
        <v>1.0125</v>
      </c>
      <c r="K22" s="75">
        <f>SUMIF(Table2[Course],Table311[[#This Row],[Courses - Planned vs Need (Active Courses)]],Table2[Graduates])</f>
        <v>575</v>
      </c>
      <c r="L22" s="115">
        <f>SUMIF(Table2[Course],Table311[[#This Row],[Courses - Planned vs Need (Active Courses)]],Table2[Registered])</f>
        <v>692</v>
      </c>
      <c r="M22" s="115">
        <f>SUMIF(Table2[Course],Table311[[#This Row],[Courses - Planned vs Need (Active Courses)]],Table2[Waitlisted])</f>
        <v>21</v>
      </c>
      <c r="N22" s="115">
        <f>SUMIF(Table2[Course],Table311[[#This Row],[Courses - Planned vs Need (Active Courses)]],Table2[Walk-ins])</f>
        <v>14</v>
      </c>
      <c r="O22" s="76">
        <f>SUMIF(Table2[Course],Table311[[#This Row],[Courses - Planned vs Need (Active Courses)]],Table2[No Shows])</f>
        <v>101</v>
      </c>
      <c r="P22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188</v>
      </c>
      <c r="Q22" s="78">
        <f>ROUNDDOWN(Table311[[#This Row],[To date quotas unused (Open quotas+ no shows)]]/Table311[[#This Row],[Quota per Offering]],0)</f>
        <v>4</v>
      </c>
      <c r="R22" s="76">
        <f t="shared" si="7"/>
        <v>235</v>
      </c>
      <c r="S22" s="78">
        <f ca="1">COUNTIFS(Table2[Course],Table311[[#This Row],[Courses - Planned vs Need (Active Courses)]],Table2[Roster Status],"1",Table2[Remaining Courses],"0")</f>
        <v>1</v>
      </c>
      <c r="T22" s="78">
        <f ca="1">COUNTIFS(Table2[Course],Table311[[#This Row],[Courses - Planned vs Need (Active Courses)]],Table2[Remaining Courses],"1")</f>
        <v>2</v>
      </c>
      <c r="U22" s="81">
        <f t="shared" si="8"/>
        <v>0.71875</v>
      </c>
      <c r="V22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0.7214814814814815</v>
      </c>
      <c r="W22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0.85037037037037033</v>
      </c>
      <c r="X22" s="116">
        <v>53</v>
      </c>
      <c r="Y22" s="78">
        <f t="shared" ca="1" si="9"/>
        <v>135</v>
      </c>
      <c r="Z22" s="78">
        <f>Table311[[#This Row],[Fleet Quota Need]]-Table311[[#This Row],[Total Grads]]</f>
        <v>225</v>
      </c>
      <c r="AA22" s="61"/>
    </row>
    <row r="23" spans="2:27" ht="31.5" x14ac:dyDescent="0.25">
      <c r="B23" s="102" t="s">
        <v>23</v>
      </c>
      <c r="C23" s="74" t="s">
        <v>53</v>
      </c>
      <c r="D23" s="74" t="s">
        <v>49</v>
      </c>
      <c r="E23" s="74">
        <f>COUNTIF(Table2[Course],Table311[[#This Row],[Courses - Planned vs Need (Active Courses)]])</f>
        <v>9</v>
      </c>
      <c r="F23" s="74">
        <v>25</v>
      </c>
      <c r="G23" s="74">
        <f>Table311[[#This Row],[Course Offerings]]*Table311[[#This Row],[Quota per Offering]]</f>
        <v>225</v>
      </c>
      <c r="H23" s="74">
        <v>1359</v>
      </c>
      <c r="I23" s="74">
        <f t="shared" si="5"/>
        <v>-1134</v>
      </c>
      <c r="J23" s="77">
        <f t="shared" si="6"/>
        <v>0.16556291390728478</v>
      </c>
      <c r="K23" s="75">
        <f>SUMIF(Table2[Course],Table311[[#This Row],[Courses - Planned vs Need (Active Courses)]],Table2[Graduates])</f>
        <v>99</v>
      </c>
      <c r="L23" s="115">
        <f>SUMIF(Table2[Course],Table311[[#This Row],[Courses - Planned vs Need (Active Courses)]],Table2[Registered])</f>
        <v>151</v>
      </c>
      <c r="M23" s="115">
        <f>SUMIF(Table2[Course],Table311[[#This Row],[Courses - Planned vs Need (Active Courses)]],Table2[Waitlisted])</f>
        <v>7</v>
      </c>
      <c r="N23" s="115">
        <f>SUMIF(Table2[Course],Table311[[#This Row],[Courses - Planned vs Need (Active Courses)]],Table2[Walk-ins])</f>
        <v>25</v>
      </c>
      <c r="O23" s="76">
        <f>SUMIF(Table2[Course],Table311[[#This Row],[Courses - Planned vs Need (Active Courses)]],Table2[No Shows])</f>
        <v>40</v>
      </c>
      <c r="P23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115</v>
      </c>
      <c r="Q23" s="78">
        <f>ROUNDDOWN(Table311[[#This Row],[To date quotas unused (Open quotas+ no shows)]]/Table311[[#This Row],[Quota per Offering]],0)</f>
        <v>4</v>
      </c>
      <c r="R23" s="76">
        <f t="shared" si="7"/>
        <v>126</v>
      </c>
      <c r="S23" s="78">
        <f ca="1">COUNTIFS(Table2[Course],Table311[[#This Row],[Courses - Planned vs Need (Active Courses)]],Table2[Roster Status],"1",Table2[Remaining Courses],"0")</f>
        <v>2</v>
      </c>
      <c r="T23" s="78">
        <f ca="1">COUNTIFS(Table2[Course],Table311[[#This Row],[Courses - Planned vs Need (Active Courses)]],Table2[Remaining Courses],"1")</f>
        <v>0</v>
      </c>
      <c r="U23" s="81">
        <f t="shared" si="8"/>
        <v>7.2847682119205295E-2</v>
      </c>
      <c r="V23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0.34285714285714286</v>
      </c>
      <c r="W23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0.77142857142857146</v>
      </c>
      <c r="X23" s="115">
        <v>0</v>
      </c>
      <c r="Y23" s="78">
        <f t="shared" ca="1" si="9"/>
        <v>50</v>
      </c>
      <c r="Z23" s="78">
        <f>Table311[[#This Row],[Fleet Quota Need]]-Table311[[#This Row],[Total Grads]]</f>
        <v>1260</v>
      </c>
      <c r="AA23" s="61"/>
    </row>
    <row r="24" spans="2:27" ht="47.25" x14ac:dyDescent="0.25">
      <c r="B24" s="102" t="s">
        <v>24</v>
      </c>
      <c r="C24" s="74" t="s">
        <v>53</v>
      </c>
      <c r="D24" s="74" t="s">
        <v>49</v>
      </c>
      <c r="E24" s="74">
        <f>COUNTIF(Table2[Course],Table311[[#This Row],[Courses - Planned vs Need (Active Courses)]])</f>
        <v>22</v>
      </c>
      <c r="F24" s="74">
        <v>30</v>
      </c>
      <c r="G24" s="74">
        <f>Table311[[#This Row],[Course Offerings]]*Table311[[#This Row],[Quota per Offering]]</f>
        <v>660</v>
      </c>
      <c r="H24" s="74">
        <v>1595</v>
      </c>
      <c r="I24" s="74">
        <f t="shared" si="5"/>
        <v>-935</v>
      </c>
      <c r="J24" s="77">
        <f t="shared" si="6"/>
        <v>0.41379310344827586</v>
      </c>
      <c r="K24" s="75">
        <f>SUMIF(Table2[Course],Table311[[#This Row],[Courses - Planned vs Need (Active Courses)]],Table2[Graduates])</f>
        <v>345</v>
      </c>
      <c r="L24" s="115">
        <f>SUMIF(Table2[Course],Table311[[#This Row],[Courses - Planned vs Need (Active Courses)]],Table2[Registered])</f>
        <v>428</v>
      </c>
      <c r="M24" s="115">
        <f>SUMIF(Table2[Course],Table311[[#This Row],[Courses - Planned vs Need (Active Courses)]],Table2[Waitlisted])</f>
        <v>29</v>
      </c>
      <c r="N24" s="115">
        <f>SUMIF(Table2[Course],Table311[[#This Row],[Courses - Planned vs Need (Active Courses)]],Table2[Walk-ins])</f>
        <v>27</v>
      </c>
      <c r="O24" s="76">
        <f>SUMIF(Table2[Course],Table311[[#This Row],[Courses - Planned vs Need (Active Courses)]],Table2[No Shows])</f>
        <v>88</v>
      </c>
      <c r="P24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253</v>
      </c>
      <c r="Q24" s="78">
        <f>ROUNDDOWN(Table311[[#This Row],[To date quotas unused (Open quotas+ no shows)]]/Table311[[#This Row],[Quota per Offering]],0)</f>
        <v>8</v>
      </c>
      <c r="R24" s="76">
        <f t="shared" si="7"/>
        <v>315</v>
      </c>
      <c r="S24" s="78">
        <f ca="1">COUNTIFS(Table2[Course],Table311[[#This Row],[Courses - Planned vs Need (Active Courses)]],Table2[Roster Status],"1",Table2[Remaining Courses],"0")</f>
        <v>0</v>
      </c>
      <c r="T24" s="78">
        <f ca="1">COUNTIFS(Table2[Course],Table311[[#This Row],[Courses - Planned vs Need (Active Courses)]],Table2[Remaining Courses],"1")</f>
        <v>5</v>
      </c>
      <c r="U24" s="81">
        <f t="shared" si="8"/>
        <v>0.21630094043887146</v>
      </c>
      <c r="V24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0.50392156862745097</v>
      </c>
      <c r="W24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0.82745098039215681</v>
      </c>
      <c r="X24" s="116">
        <v>81</v>
      </c>
      <c r="Y24" s="78">
        <f t="shared" ca="1" si="9"/>
        <v>150</v>
      </c>
      <c r="Z24" s="78">
        <f>Table311[[#This Row],[Fleet Quota Need]]-Table311[[#This Row],[Total Grads]]</f>
        <v>1250</v>
      </c>
      <c r="AA24" s="61"/>
    </row>
    <row r="25" spans="2:27" ht="31.5" x14ac:dyDescent="0.25">
      <c r="B25" s="102" t="s">
        <v>25</v>
      </c>
      <c r="C25" s="74" t="s">
        <v>53</v>
      </c>
      <c r="D25" s="74" t="s">
        <v>49</v>
      </c>
      <c r="E25" s="74">
        <f>COUNTIF(Table2[Course],Table311[[#This Row],[Courses - Planned vs Need (Active Courses)]])</f>
        <v>6</v>
      </c>
      <c r="F25" s="74">
        <v>30</v>
      </c>
      <c r="G25" s="74">
        <f>Table311[[#This Row],[Course Offerings]]*Table311[[#This Row],[Quota per Offering]]</f>
        <v>180</v>
      </c>
      <c r="H25" s="74">
        <v>958</v>
      </c>
      <c r="I25" s="74">
        <f t="shared" si="5"/>
        <v>-778</v>
      </c>
      <c r="J25" s="77">
        <f t="shared" si="6"/>
        <v>0.18789144050104384</v>
      </c>
      <c r="K25" s="75">
        <f>SUMIF(Table2[Course],Table311[[#This Row],[Courses - Planned vs Need (Active Courses)]],Table2[Graduates])</f>
        <v>123</v>
      </c>
      <c r="L25" s="115">
        <f>SUMIF(Table2[Course],Table311[[#This Row],[Courses - Planned vs Need (Active Courses)]],Table2[Registered])</f>
        <v>126</v>
      </c>
      <c r="M25" s="115">
        <f>SUMIF(Table2[Course],Table311[[#This Row],[Courses - Planned vs Need (Active Courses)]],Table2[Waitlisted])</f>
        <v>1</v>
      </c>
      <c r="N25" s="115">
        <f>SUMIF(Table2[Course],Table311[[#This Row],[Courses - Planned vs Need (Active Courses)]],Table2[Walk-ins])</f>
        <v>36</v>
      </c>
      <c r="O25" s="76">
        <f>SUMIF(Table2[Course],Table311[[#This Row],[Courses - Planned vs Need (Active Courses)]],Table2[No Shows])</f>
        <v>40</v>
      </c>
      <c r="P25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97</v>
      </c>
      <c r="Q25" s="78">
        <f>ROUNDDOWN(Table311[[#This Row],[To date quotas unused (Open quotas+ no shows)]]/Table311[[#This Row],[Quota per Offering]],0)</f>
        <v>3</v>
      </c>
      <c r="R25" s="76">
        <f t="shared" si="7"/>
        <v>57</v>
      </c>
      <c r="S25" s="78">
        <f>COUNTIFS(Table2[Course],Table311[[#This Row],[Courses - Planned vs Need (Active Courses)]],Table2[Roster Status],"1",Table2[Remaining Courses],"0")</f>
        <v>0</v>
      </c>
      <c r="T25" s="78">
        <f ca="1">COUNTIFS(Table2[Course],Table311[[#This Row],[Courses - Planned vs Need (Active Courses)]],Table2[Remaining Courses],"1")</f>
        <v>0</v>
      </c>
      <c r="U25" s="81">
        <f t="shared" si="8"/>
        <v>0.12839248434237996</v>
      </c>
      <c r="V25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0.46111111111111114</v>
      </c>
      <c r="W25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0.77777777777777779</v>
      </c>
      <c r="X25" s="115">
        <v>0</v>
      </c>
      <c r="Y25" s="78">
        <f t="shared" ca="1" si="9"/>
        <v>0</v>
      </c>
      <c r="Z25" s="78">
        <f>Table311[[#This Row],[Fleet Quota Need]]-Table311[[#This Row],[Total Grads]]</f>
        <v>835</v>
      </c>
      <c r="AA25" s="61"/>
    </row>
    <row r="26" spans="2:27" ht="31.5" x14ac:dyDescent="0.25">
      <c r="B26" s="102" t="s">
        <v>26</v>
      </c>
      <c r="C26" s="74" t="s">
        <v>53</v>
      </c>
      <c r="D26" s="74" t="s">
        <v>49</v>
      </c>
      <c r="E26" s="74">
        <f>COUNTIF(Table2[Course],Table311[[#This Row],[Courses - Planned vs Need (Active Courses)]])</f>
        <v>14</v>
      </c>
      <c r="F26" s="74">
        <v>30</v>
      </c>
      <c r="G26" s="74">
        <f>Table311[[#This Row],[Course Offerings]]*Table311[[#This Row],[Quota per Offering]]</f>
        <v>420</v>
      </c>
      <c r="H26" s="74">
        <v>810</v>
      </c>
      <c r="I26" s="74">
        <f t="shared" si="5"/>
        <v>-390</v>
      </c>
      <c r="J26" s="77">
        <f t="shared" si="6"/>
        <v>0.51851851851851849</v>
      </c>
      <c r="K26" s="75">
        <f>SUMIF(Table2[Course],Table311[[#This Row],[Courses - Planned vs Need (Active Courses)]],Table2[Graduates])</f>
        <v>74</v>
      </c>
      <c r="L26" s="115">
        <f>SUMIF(Table2[Course],Table311[[#This Row],[Courses - Planned vs Need (Active Courses)]],Table2[Registered])</f>
        <v>102</v>
      </c>
      <c r="M26" s="115">
        <f>SUMIF(Table2[Course],Table311[[#This Row],[Courses - Planned vs Need (Active Courses)]],Table2[Waitlisted])</f>
        <v>5</v>
      </c>
      <c r="N26" s="115">
        <f>SUMIF(Table2[Course],Table311[[#This Row],[Courses - Planned vs Need (Active Courses)]],Table2[Walk-ins])</f>
        <v>18</v>
      </c>
      <c r="O26" s="76">
        <f>SUMIF(Table2[Course],Table311[[#This Row],[Courses - Planned vs Need (Active Courses)]],Table2[No Shows])</f>
        <v>16</v>
      </c>
      <c r="P26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92</v>
      </c>
      <c r="Q26" s="78">
        <f>ROUNDDOWN(Table311[[#This Row],[To date quotas unused (Open quotas+ no shows)]]/Table311[[#This Row],[Quota per Offering]],0)</f>
        <v>3</v>
      </c>
      <c r="R26" s="76">
        <f t="shared" si="7"/>
        <v>346</v>
      </c>
      <c r="S26" s="78">
        <f ca="1">COUNTIFS(Table2[Course],Table311[[#This Row],[Courses - Planned vs Need (Active Courses)]],Table2[Roster Status],"1",Table2[Remaining Courses],"0")</f>
        <v>2</v>
      </c>
      <c r="T26" s="78">
        <f ca="1">COUNTIFS(Table2[Course],Table311[[#This Row],[Courses - Planned vs Need (Active Courses)]],Table2[Remaining Courses],"1")</f>
        <v>6</v>
      </c>
      <c r="U26" s="81">
        <f t="shared" si="8"/>
        <v>9.1358024691358022E-2</v>
      </c>
      <c r="V26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0.48888888888888887</v>
      </c>
      <c r="W26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0.91111111111111109</v>
      </c>
      <c r="X26" s="115">
        <v>174</v>
      </c>
      <c r="Y26" s="78">
        <v>268</v>
      </c>
      <c r="Z26" s="78">
        <f>Table311[[#This Row],[Fleet Quota Need]]-Table311[[#This Row],[Total Grads]]</f>
        <v>736</v>
      </c>
      <c r="AA26" s="61"/>
    </row>
    <row r="27" spans="2:27" ht="31.5" x14ac:dyDescent="0.25">
      <c r="B27" s="102" t="s">
        <v>27</v>
      </c>
      <c r="C27" s="74" t="s">
        <v>53</v>
      </c>
      <c r="D27" s="74" t="s">
        <v>49</v>
      </c>
      <c r="E27" s="74">
        <f>COUNTIF(Table2[Course],Table311[[#This Row],[Courses - Planned vs Need (Active Courses)]])</f>
        <v>6</v>
      </c>
      <c r="F27" s="74">
        <v>30</v>
      </c>
      <c r="G27" s="74">
        <f>Table311[[#This Row],[Course Offerings]]*Table311[[#This Row],[Quota per Offering]]</f>
        <v>180</v>
      </c>
      <c r="H27" s="74">
        <v>1090</v>
      </c>
      <c r="I27" s="74">
        <f t="shared" si="5"/>
        <v>-910</v>
      </c>
      <c r="J27" s="77">
        <f t="shared" si="6"/>
        <v>0.16513761467889909</v>
      </c>
      <c r="K27" s="75">
        <f>SUMIF(Table2[Course],Table311[[#This Row],[Courses - Planned vs Need (Active Courses)]],Table2[Graduates])</f>
        <v>121</v>
      </c>
      <c r="L27" s="115">
        <f>SUMIF(Table2[Course],Table311[[#This Row],[Courses - Planned vs Need (Active Courses)]],Table2[Registered])</f>
        <v>115</v>
      </c>
      <c r="M27" s="115">
        <f>SUMIF(Table2[Course],Table311[[#This Row],[Courses - Planned vs Need (Active Courses)]],Table2[Waitlisted])</f>
        <v>0</v>
      </c>
      <c r="N27" s="115">
        <f>SUMIF(Table2[Course],Table311[[#This Row],[Courses - Planned vs Need (Active Courses)]],Table2[Walk-ins])</f>
        <v>44</v>
      </c>
      <c r="O27" s="76">
        <f>SUMIF(Table2[Course],Table311[[#This Row],[Courses - Planned vs Need (Active Courses)]],Table2[No Shows])</f>
        <v>31</v>
      </c>
      <c r="P27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60</v>
      </c>
      <c r="Q27" s="78">
        <f>ROUNDDOWN(Table311[[#This Row],[To date quotas unused (Open quotas+ no shows)]]/Table311[[#This Row],[Quota per Offering]],0)</f>
        <v>2</v>
      </c>
      <c r="R27" s="76">
        <f t="shared" si="7"/>
        <v>59</v>
      </c>
      <c r="S27" s="78">
        <f ca="1">COUNTIFS(Table2[Course],Table311[[#This Row],[Courses - Planned vs Need (Active Courses)]],Table2[Roster Status],"1",Table2[Remaining Courses],"0")</f>
        <v>0</v>
      </c>
      <c r="T27" s="78">
        <f ca="1">COUNTIFS(Table2[Course],Table311[[#This Row],[Courses - Planned vs Need (Active Courses)]],Table2[Remaining Courses],"1")</f>
        <v>1</v>
      </c>
      <c r="U27" s="81">
        <f t="shared" si="8"/>
        <v>0.11100917431192661</v>
      </c>
      <c r="V27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</v>
      </c>
      <c r="W27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0.79333333333333333</v>
      </c>
      <c r="X27" s="116">
        <v>21</v>
      </c>
      <c r="Y27" s="78">
        <v>29</v>
      </c>
      <c r="Z27" s="78">
        <f>Table311[[#This Row],[Fleet Quota Need]]-Table311[[#This Row],[Total Grads]]</f>
        <v>969</v>
      </c>
      <c r="AA27" s="61"/>
    </row>
    <row r="28" spans="2:27" ht="15.75" x14ac:dyDescent="0.25">
      <c r="B28" s="90" t="s">
        <v>28</v>
      </c>
      <c r="C28" s="74"/>
      <c r="D28" s="74" t="s">
        <v>50</v>
      </c>
      <c r="E28" s="74">
        <f>COUNTIF(Table2[Course],Table311[[#This Row],[Courses - Planned vs Need (Active Courses)]])</f>
        <v>7</v>
      </c>
      <c r="F28" s="74">
        <v>25</v>
      </c>
      <c r="G28" s="74">
        <f>Table311[[#This Row],[Course Offerings]]*Table311[[#This Row],[Quota per Offering]]</f>
        <v>175</v>
      </c>
      <c r="H28" s="74">
        <v>930</v>
      </c>
      <c r="I28" s="74">
        <f t="shared" si="5"/>
        <v>-755</v>
      </c>
      <c r="J28" s="77">
        <f t="shared" si="6"/>
        <v>0.18817204301075269</v>
      </c>
      <c r="K28" s="75">
        <f>SUMIF(Table2[Course],Table311[[#This Row],[Courses - Planned vs Need (Active Courses)]],Table2[Graduates])</f>
        <v>66</v>
      </c>
      <c r="L28" s="115">
        <f>SUMIF(Table2[Course],Table311[[#This Row],[Courses - Planned vs Need (Active Courses)]],Table2[Registered])</f>
        <v>67</v>
      </c>
      <c r="M28" s="115">
        <f>SUMIF(Table2[Course],Table311[[#This Row],[Courses - Planned vs Need (Active Courses)]],Table2[Waitlisted])</f>
        <v>0</v>
      </c>
      <c r="N28" s="115">
        <f>SUMIF(Table2[Course],Table311[[#This Row],[Courses - Planned vs Need (Active Courses)]],Table2[Walk-ins])</f>
        <v>3</v>
      </c>
      <c r="O28" s="76">
        <f>SUMIF(Table2[Course],Table311[[#This Row],[Courses - Planned vs Need (Active Courses)]],Table2[No Shows])</f>
        <v>8</v>
      </c>
      <c r="P28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92</v>
      </c>
      <c r="Q28" s="78">
        <f>ROUNDDOWN(Table311[[#This Row],[To date quotas unused (Open quotas+ no shows)]]/Table311[[#This Row],[Quota per Offering]],0)</f>
        <v>3</v>
      </c>
      <c r="R28" s="76">
        <f t="shared" si="7"/>
        <v>109</v>
      </c>
      <c r="S28" s="78">
        <f ca="1">COUNTIFS(Table2[Course],Table311[[#This Row],[Courses - Planned vs Need (Active Courses)]],Table2[Roster Status],"1",Table2[Remaining Courses],"0")</f>
        <v>0</v>
      </c>
      <c r="T28" s="78">
        <f ca="1">COUNTIFS(Table2[Course],Table311[[#This Row],[Courses - Planned vs Need (Active Courses)]],Table2[Remaining Courses],"1")</f>
        <v>1</v>
      </c>
      <c r="U28" s="81">
        <f t="shared" si="8"/>
        <v>7.0967741935483872E-2</v>
      </c>
      <c r="V28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0.38666666666666666</v>
      </c>
      <c r="W28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0.94666666666666666</v>
      </c>
      <c r="X28" s="115">
        <v>13</v>
      </c>
      <c r="Y28" s="78">
        <f t="shared" ref="Y28:Y34" ca="1" si="10">SUM(S28,T28)*F28</f>
        <v>25</v>
      </c>
      <c r="Z28" s="78">
        <f>Table311[[#This Row],[Fleet Quota Need]]-Table311[[#This Row],[Total Grads]]</f>
        <v>864</v>
      </c>
      <c r="AA28" s="61"/>
    </row>
    <row r="29" spans="2:27" ht="31.5" x14ac:dyDescent="0.25">
      <c r="B29" s="90" t="s">
        <v>270</v>
      </c>
      <c r="C29" s="74"/>
      <c r="D29" s="74" t="s">
        <v>50</v>
      </c>
      <c r="E29" s="74">
        <f>COUNTIF(Table2[Course],Table311[[#This Row],[Courses - Planned vs Need (Active Courses)]])</f>
        <v>15</v>
      </c>
      <c r="F29" s="74">
        <v>40</v>
      </c>
      <c r="G29" s="74">
        <f>Table311[[#This Row],[Course Offerings]]*Table311[[#This Row],[Quota per Offering]]</f>
        <v>600</v>
      </c>
      <c r="H29" s="74">
        <v>893</v>
      </c>
      <c r="I29" s="74">
        <f t="shared" si="5"/>
        <v>-293</v>
      </c>
      <c r="J29" s="77">
        <f t="shared" si="6"/>
        <v>0.67189249720044797</v>
      </c>
      <c r="K29" s="75">
        <f>SUMIF(Table2[Course],Table311[[#This Row],[Courses - Planned vs Need (Active Courses)]],Table2[Graduates])</f>
        <v>442</v>
      </c>
      <c r="L29" s="115">
        <f>SUMIF(Table2[Course],Table311[[#This Row],[Courses - Planned vs Need (Active Courses)]],Table2[Registered])</f>
        <v>556</v>
      </c>
      <c r="M29" s="115">
        <f>SUMIF(Table2[Course],Table311[[#This Row],[Courses - Planned vs Need (Active Courses)]],Table2[Waitlisted])</f>
        <v>71</v>
      </c>
      <c r="N29" s="115">
        <f>SUMIF(Table2[Course],Table311[[#This Row],[Courses - Planned vs Need (Active Courses)]],Table2[Walk-ins])</f>
        <v>10</v>
      </c>
      <c r="O29" s="76">
        <f>SUMIF(Table2[Course],Table311[[#This Row],[Courses - Planned vs Need (Active Courses)]],Table2[No Shows])</f>
        <v>99</v>
      </c>
      <c r="P29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165</v>
      </c>
      <c r="Q29" s="78">
        <f>ROUNDDOWN(Table311[[#This Row],[To date quotas unused (Open quotas+ no shows)]]/Table311[[#This Row],[Quota per Offering]],0)</f>
        <v>4</v>
      </c>
      <c r="R29" s="76">
        <f t="shared" si="7"/>
        <v>158</v>
      </c>
      <c r="S29" s="78">
        <f ca="1">COUNTIFS(Table2[Course],Table311[[#This Row],[Courses - Planned vs Need (Active Courses)]],Table2[Roster Status],"1",Table2[Remaining Courses],"0")</f>
        <v>1</v>
      </c>
      <c r="T29" s="78">
        <f ca="1">COUNTIFS(Table2[Course],Table311[[#This Row],[Courses - Planned vs Need (Active Courses)]],Table2[Remaining Courses],"1")</f>
        <v>1</v>
      </c>
      <c r="U29" s="81">
        <f t="shared" si="8"/>
        <v>0.49496080627099664</v>
      </c>
      <c r="V29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0.68269230769230771</v>
      </c>
      <c r="W29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0.80961538461538463</v>
      </c>
      <c r="X29" s="116">
        <v>0</v>
      </c>
      <c r="Y29" s="78">
        <f t="shared" ca="1" si="10"/>
        <v>80</v>
      </c>
      <c r="Z29" s="78">
        <f>Table311[[#This Row],[Fleet Quota Need]]-Table311[[#This Row],[Total Grads]]</f>
        <v>451</v>
      </c>
      <c r="AA29" s="61"/>
    </row>
    <row r="30" spans="2:27" ht="31.5" x14ac:dyDescent="0.25">
      <c r="B30" s="90" t="s">
        <v>274</v>
      </c>
      <c r="C30" s="74"/>
      <c r="D30" s="74" t="s">
        <v>50</v>
      </c>
      <c r="E30" s="74">
        <f>COUNTIF(Table2[Course],Table311[[#This Row],[Courses - Planned vs Need (Active Courses)]])</f>
        <v>10</v>
      </c>
      <c r="F30" s="74">
        <v>30</v>
      </c>
      <c r="G30" s="74">
        <f>Table311[[#This Row],[Course Offerings]]*Table311[[#This Row],[Quota per Offering]]</f>
        <v>300</v>
      </c>
      <c r="H30" s="74">
        <v>619</v>
      </c>
      <c r="I30" s="74">
        <f t="shared" si="5"/>
        <v>-319</v>
      </c>
      <c r="J30" s="77">
        <f t="shared" si="6"/>
        <v>0.48465266558966075</v>
      </c>
      <c r="K30" s="75">
        <f>SUMIF(Table2[Course],Table311[[#This Row],[Courses - Planned vs Need (Active Courses)]],Table2[Graduates])</f>
        <v>195</v>
      </c>
      <c r="L30" s="115">
        <f>SUMIF(Table2[Course],Table311[[#This Row],[Courses - Planned vs Need (Active Courses)]],Table2[Registered])</f>
        <v>229</v>
      </c>
      <c r="M30" s="115">
        <f>SUMIF(Table2[Course],Table311[[#This Row],[Courses - Planned vs Need (Active Courses)]],Table2[Waitlisted])</f>
        <v>19</v>
      </c>
      <c r="N30" s="115">
        <f>SUMIF(Table2[Course],Table311[[#This Row],[Courses - Planned vs Need (Active Courses)]],Table2[Walk-ins])</f>
        <v>0</v>
      </c>
      <c r="O30" s="76">
        <f>SUMIF(Table2[Course],Table311[[#This Row],[Courses - Planned vs Need (Active Courses)]],Table2[No Shows])</f>
        <v>32</v>
      </c>
      <c r="P30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68</v>
      </c>
      <c r="Q30" s="78">
        <f>ROUNDDOWN(Table311[[#This Row],[To date quotas unused (Open quotas+ no shows)]]/Table311[[#This Row],[Quota per Offering]],0)</f>
        <v>2</v>
      </c>
      <c r="R30" s="76">
        <f t="shared" si="7"/>
        <v>105</v>
      </c>
      <c r="S30" s="78">
        <f ca="1">COUNTIFS(Table2[Course],Table311[[#This Row],[Courses - Planned vs Need (Active Courses)]],Table2[Roster Status],"1",Table2[Remaining Courses],"0")</f>
        <v>1</v>
      </c>
      <c r="T30" s="78">
        <f ca="1">COUNTIFS(Table2[Course],Table311[[#This Row],[Courses - Planned vs Need (Active Courses)]],Table2[Remaining Courses],"1")</f>
        <v>1</v>
      </c>
      <c r="U30" s="81">
        <f t="shared" si="8"/>
        <v>0.3150242326332795</v>
      </c>
      <c r="V30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0.71666666666666667</v>
      </c>
      <c r="W30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0.8666666666666667</v>
      </c>
      <c r="X30" s="116">
        <v>21</v>
      </c>
      <c r="Y30" s="78">
        <f t="shared" ca="1" si="10"/>
        <v>60</v>
      </c>
      <c r="Z30" s="78">
        <f>Table311[[#This Row],[Fleet Quota Need]]-Table311[[#This Row],[Total Grads]]</f>
        <v>424</v>
      </c>
      <c r="AA30" s="61"/>
    </row>
    <row r="31" spans="2:27" ht="31.5" x14ac:dyDescent="0.25">
      <c r="B31" s="90" t="s">
        <v>281</v>
      </c>
      <c r="C31" s="74"/>
      <c r="D31" s="74" t="s">
        <v>54</v>
      </c>
      <c r="E31" s="74">
        <f>COUNTIF(Table2[Course],Table311[[#This Row],[Courses - Planned vs Need (Active Courses)]])</f>
        <v>21</v>
      </c>
      <c r="F31" s="74">
        <v>45</v>
      </c>
      <c r="G31" s="74">
        <f>Table311[[#This Row],[Course Offerings]]*Table311[[#This Row],[Quota per Offering]]</f>
        <v>945</v>
      </c>
      <c r="H31" s="74">
        <v>990</v>
      </c>
      <c r="I31" s="74">
        <f t="shared" si="5"/>
        <v>-45</v>
      </c>
      <c r="J31" s="77">
        <f t="shared" si="6"/>
        <v>0.95454545454545459</v>
      </c>
      <c r="K31" s="75">
        <f>SUMIF(Table2[Course],Table311[[#This Row],[Courses - Planned vs Need (Active Courses)]],Table2[Graduates])</f>
        <v>599</v>
      </c>
      <c r="L31" s="115">
        <f>SUMIF(Table2[Course],Table311[[#This Row],[Courses - Planned vs Need (Active Courses)]],Table2[Registered])</f>
        <v>835</v>
      </c>
      <c r="M31" s="115">
        <f>SUMIF(Table2[Course],Table311[[#This Row],[Courses - Planned vs Need (Active Courses)]],Table2[Waitlisted])</f>
        <v>28</v>
      </c>
      <c r="N31" s="115">
        <f>SUMIF(Table2[Course],Table311[[#This Row],[Courses - Planned vs Need (Active Courses)]],Table2[Walk-ins])</f>
        <v>16</v>
      </c>
      <c r="O31" s="76">
        <f>SUMIF(Table2[Course],Table311[[#This Row],[Courses - Planned vs Need (Active Courses)]],Table2[No Shows])</f>
        <v>150</v>
      </c>
      <c r="P31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308</v>
      </c>
      <c r="Q31" s="78">
        <f>ROUNDDOWN(Table311[[#This Row],[To date quotas unused (Open quotas+ no shows)]]/Table311[[#This Row],[Quota per Offering]],0)</f>
        <v>6</v>
      </c>
      <c r="R31" s="76">
        <f t="shared" si="7"/>
        <v>346</v>
      </c>
      <c r="S31" s="78">
        <f ca="1">COUNTIFS(Table2[Course],Table311[[#This Row],[Courses - Planned vs Need (Active Courses)]],Table2[Roster Status],"1",Table2[Remaining Courses],"0")</f>
        <v>2</v>
      </c>
      <c r="T31" s="78">
        <f ca="1">COUNTIFS(Table2[Course],Table311[[#This Row],[Courses - Planned vs Need (Active Courses)]],Table2[Remaining Courses],"1")</f>
        <v>2</v>
      </c>
      <c r="U31" s="81">
        <f t="shared" si="8"/>
        <v>0.60505050505050506</v>
      </c>
      <c r="V31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0.59738562091503267</v>
      </c>
      <c r="W31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0.80392156862745101</v>
      </c>
      <c r="X31" s="116">
        <v>0</v>
      </c>
      <c r="Y31" s="78">
        <f t="shared" ca="1" si="10"/>
        <v>180</v>
      </c>
      <c r="Z31" s="78">
        <f>Table311[[#This Row],[Fleet Quota Need]]-Table311[[#This Row],[Total Grads]]</f>
        <v>391</v>
      </c>
      <c r="AA31" s="61"/>
    </row>
    <row r="32" spans="2:27" ht="31.5" x14ac:dyDescent="0.25">
      <c r="B32" s="102" t="s">
        <v>288</v>
      </c>
      <c r="C32" s="74" t="s">
        <v>53</v>
      </c>
      <c r="D32" s="74" t="s">
        <v>54</v>
      </c>
      <c r="E32" s="74">
        <f>COUNTIF(Table2[Course],Table311[[#This Row],[Courses - Planned vs Need (Active Courses)]])</f>
        <v>10</v>
      </c>
      <c r="F32" s="74">
        <v>30</v>
      </c>
      <c r="G32" s="74">
        <f>Table311[[#This Row],[Course Offerings]]*Table311[[#This Row],[Quota per Offering]]</f>
        <v>300</v>
      </c>
      <c r="H32" s="74">
        <v>572</v>
      </c>
      <c r="I32" s="74">
        <f t="shared" si="5"/>
        <v>-272</v>
      </c>
      <c r="J32" s="77">
        <f t="shared" si="6"/>
        <v>0.52447552447552448</v>
      </c>
      <c r="K32" s="75">
        <f>SUMIF(Table2[Course],Table311[[#This Row],[Courses - Planned vs Need (Active Courses)]],Table2[Graduates])</f>
        <v>142</v>
      </c>
      <c r="L32" s="115">
        <f>SUMIF(Table2[Course],Table311[[#This Row],[Courses - Planned vs Need (Active Courses)]],Table2[Registered])</f>
        <v>199</v>
      </c>
      <c r="M32" s="115">
        <f>SUMIF(Table2[Course],Table311[[#This Row],[Courses - Planned vs Need (Active Courses)]],Table2[Waitlisted])</f>
        <v>1</v>
      </c>
      <c r="N32" s="115">
        <f>SUMIF(Table2[Course],Table311[[#This Row],[Courses - Planned vs Need (Active Courses)]],Table2[Walk-ins])</f>
        <v>0</v>
      </c>
      <c r="O32" s="76">
        <f>SUMIF(Table2[Course],Table311[[#This Row],[Courses - Planned vs Need (Active Courses)]],Table2[No Shows])</f>
        <v>39</v>
      </c>
      <c r="P32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137</v>
      </c>
      <c r="Q32" s="78">
        <f>ROUNDDOWN(Table311[[#This Row],[To date quotas unused (Open quotas+ no shows)]]/Table311[[#This Row],[Quota per Offering]],0)</f>
        <v>4</v>
      </c>
      <c r="R32" s="76">
        <f t="shared" si="7"/>
        <v>158</v>
      </c>
      <c r="S32" s="78">
        <f ca="1">COUNTIFS(Table2[Course],Table311[[#This Row],[Courses - Planned vs Need (Active Courses)]],Table2[Roster Status],"1",Table2[Remaining Courses],"0")</f>
        <v>1</v>
      </c>
      <c r="T32" s="78">
        <f ca="1">COUNTIFS(Table2[Course],Table311[[#This Row],[Courses - Planned vs Need (Active Courses)]],Table2[Remaining Courses],"1")</f>
        <v>1</v>
      </c>
      <c r="U32" s="81">
        <f t="shared" si="8"/>
        <v>0.24825174825174826</v>
      </c>
      <c r="V32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0.42916666666666664</v>
      </c>
      <c r="W32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0.83750000000000002</v>
      </c>
      <c r="X32" s="115">
        <v>15</v>
      </c>
      <c r="Y32" s="78">
        <f t="shared" ca="1" si="10"/>
        <v>60</v>
      </c>
      <c r="Z32" s="78">
        <f>Table311[[#This Row],[Fleet Quota Need]]-Table311[[#This Row],[Total Grads]]</f>
        <v>430</v>
      </c>
      <c r="AA32" s="61"/>
    </row>
    <row r="33" spans="2:27" ht="15.75" x14ac:dyDescent="0.25">
      <c r="B33" s="90" t="s">
        <v>292</v>
      </c>
      <c r="C33" s="74"/>
      <c r="D33" s="74" t="s">
        <v>54</v>
      </c>
      <c r="E33" s="74">
        <f>COUNTIF(Table2[Course],Table311[[#This Row],[Courses - Planned vs Need (Active Courses)]])</f>
        <v>23</v>
      </c>
      <c r="F33" s="74">
        <v>45</v>
      </c>
      <c r="G33" s="74">
        <f>Table311[[#This Row],[Course Offerings]]*Table311[[#This Row],[Quota per Offering]]</f>
        <v>1035</v>
      </c>
      <c r="H33" s="74">
        <v>1033</v>
      </c>
      <c r="I33" s="74">
        <f t="shared" si="5"/>
        <v>2</v>
      </c>
      <c r="J33" s="77">
        <f t="shared" si="6"/>
        <v>1.0019361084220717</v>
      </c>
      <c r="K33" s="75">
        <f>SUMIF(Table2[Course],Table311[[#This Row],[Courses - Planned vs Need (Active Courses)]],Table2[Graduates])</f>
        <v>627</v>
      </c>
      <c r="L33" s="115">
        <f>SUMIF(Table2[Course],Table311[[#This Row],[Courses - Planned vs Need (Active Courses)]],Table2[Registered])</f>
        <v>749</v>
      </c>
      <c r="M33" s="115">
        <f>SUMIF(Table2[Course],Table311[[#This Row],[Courses - Planned vs Need (Active Courses)]],Table2[Waitlisted])</f>
        <v>2</v>
      </c>
      <c r="N33" s="115">
        <f>SUMIF(Table2[Course],Table311[[#This Row],[Courses - Planned vs Need (Active Courses)]],Table2[Walk-ins])</f>
        <v>3</v>
      </c>
      <c r="O33" s="76">
        <f>SUMIF(Table2[Course],Table311[[#This Row],[Courses - Planned vs Need (Active Courses)]],Table2[No Shows])</f>
        <v>87</v>
      </c>
      <c r="P33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355</v>
      </c>
      <c r="Q33" s="78">
        <f>ROUNDDOWN(Table311[[#This Row],[To date quotas unused (Open quotas+ no shows)]]/Table311[[#This Row],[Quota per Offering]],0)</f>
        <v>7</v>
      </c>
      <c r="R33" s="76">
        <f t="shared" si="7"/>
        <v>408</v>
      </c>
      <c r="S33" s="78">
        <f ca="1">COUNTIFS(Table2[Course],Table311[[#This Row],[Courses - Planned vs Need (Active Courses)]],Table2[Roster Status],"1",Table2[Remaining Courses],"0")</f>
        <v>1</v>
      </c>
      <c r="T33" s="78">
        <f ca="1">COUNTIFS(Table2[Course],Table311[[#This Row],[Courses - Planned vs Need (Active Courses)]],Table2[Remaining Courses],"1")</f>
        <v>2</v>
      </c>
      <c r="U33" s="81">
        <f t="shared" si="8"/>
        <v>0.60696999031945786</v>
      </c>
      <c r="V33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0.60555555555555551</v>
      </c>
      <c r="W33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0.90333333333333332</v>
      </c>
      <c r="X33" s="115">
        <v>38</v>
      </c>
      <c r="Y33" s="78">
        <f t="shared" ca="1" si="10"/>
        <v>135</v>
      </c>
      <c r="Z33" s="78">
        <f>Table311[[#This Row],[Fleet Quota Need]]-Table311[[#This Row],[Total Grads]]</f>
        <v>406</v>
      </c>
      <c r="AA33" s="61"/>
    </row>
    <row r="34" spans="2:27" ht="31.5" x14ac:dyDescent="0.25">
      <c r="B34" s="90" t="s">
        <v>34</v>
      </c>
      <c r="C34" s="74"/>
      <c r="D34" s="74" t="s">
        <v>50</v>
      </c>
      <c r="E34" s="74">
        <f>COUNTIF(Table2[Course],Table311[[#This Row],[Courses - Planned vs Need (Active Courses)]])</f>
        <v>10</v>
      </c>
      <c r="F34" s="74">
        <v>30</v>
      </c>
      <c r="G34" s="74">
        <f>Table311[[#This Row],[Course Offerings]]*Table311[[#This Row],[Quota per Offering]]</f>
        <v>300</v>
      </c>
      <c r="H34" s="74">
        <v>605</v>
      </c>
      <c r="I34" s="74">
        <f t="shared" si="5"/>
        <v>-305</v>
      </c>
      <c r="J34" s="77">
        <f t="shared" si="6"/>
        <v>0.49586776859504134</v>
      </c>
      <c r="K34" s="75">
        <f>SUMIF(Table2[Course],Table311[[#This Row],[Courses - Planned vs Need (Active Courses)]],Table2[Graduates])</f>
        <v>248</v>
      </c>
      <c r="L34" s="115">
        <f>SUMIF(Table2[Course],Table311[[#This Row],[Courses - Planned vs Need (Active Courses)]],Table2[Registered])</f>
        <v>297</v>
      </c>
      <c r="M34" s="115">
        <f>SUMIF(Table2[Course],Table311[[#This Row],[Courses - Planned vs Need (Active Courses)]],Table2[Waitlisted])</f>
        <v>16</v>
      </c>
      <c r="N34" s="115">
        <f>SUMIF(Table2[Course],Table311[[#This Row],[Courses - Planned vs Need (Active Courses)]],Table2[Walk-ins])</f>
        <v>0</v>
      </c>
      <c r="O34" s="76">
        <f>SUMIF(Table2[Course],Table311[[#This Row],[Courses - Planned vs Need (Active Courses)]],Table2[No Shows])</f>
        <v>46</v>
      </c>
      <c r="P34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87</v>
      </c>
      <c r="Q34" s="78">
        <f>ROUNDDOWN(Table311[[#This Row],[To date quotas unused (Open quotas+ no shows)]]/Table311[[#This Row],[Quota per Offering]],0)</f>
        <v>2</v>
      </c>
      <c r="R34" s="76">
        <f t="shared" si="7"/>
        <v>52</v>
      </c>
      <c r="S34" s="78">
        <f>COUNTIFS(Table2[Course],Table311[[#This Row],[Courses - Planned vs Need (Active Courses)]],Table2[Roster Status],"1",Table2[Remaining Courses],"0")</f>
        <v>0</v>
      </c>
      <c r="T34" s="78">
        <f ca="1">COUNTIFS(Table2[Course],Table311[[#This Row],[Courses - Planned vs Need (Active Courses)]],Table2[Remaining Courses],"1")</f>
        <v>0</v>
      </c>
      <c r="U34" s="81">
        <f t="shared" si="8"/>
        <v>0.40991735537190083</v>
      </c>
      <c r="V34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0.71</v>
      </c>
      <c r="W34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0.84666666666666668</v>
      </c>
      <c r="X34" s="115">
        <v>0</v>
      </c>
      <c r="Y34" s="78">
        <f t="shared" ca="1" si="10"/>
        <v>0</v>
      </c>
      <c r="Z34" s="78">
        <f>Table311[[#This Row],[Fleet Quota Need]]-Table311[[#This Row],[Total Grads]]</f>
        <v>357</v>
      </c>
      <c r="AA34" s="61"/>
    </row>
    <row r="35" spans="2:27" ht="31.5" x14ac:dyDescent="0.25">
      <c r="B35" s="102" t="s">
        <v>35</v>
      </c>
      <c r="C35" s="74" t="s">
        <v>53</v>
      </c>
      <c r="D35" s="74" t="s">
        <v>49</v>
      </c>
      <c r="E35" s="74">
        <f>COUNTIF(Table2[Course],Table311[[#This Row],[Courses - Planned vs Need (Active Courses)]])</f>
        <v>22</v>
      </c>
      <c r="F35" s="74">
        <v>25</v>
      </c>
      <c r="G35" s="74">
        <f>Table311[[#This Row],[Course Offerings]]*Table311[[#This Row],[Quota per Offering]]</f>
        <v>550</v>
      </c>
      <c r="H35" s="74">
        <v>1440</v>
      </c>
      <c r="I35" s="74">
        <f t="shared" si="5"/>
        <v>-890</v>
      </c>
      <c r="J35" s="77">
        <f t="shared" si="6"/>
        <v>0.38194444444444442</v>
      </c>
      <c r="K35" s="75">
        <f>SUMIF(Table2[Course],Table311[[#This Row],[Courses - Planned vs Need (Active Courses)]],Table2[Graduates])</f>
        <v>183</v>
      </c>
      <c r="L35" s="115">
        <f>SUMIF(Table2[Course],Table311[[#This Row],[Courses - Planned vs Need (Active Courses)]],Table2[Registered])</f>
        <v>181</v>
      </c>
      <c r="M35" s="115">
        <f>SUMIF(Table2[Course],Table311[[#This Row],[Courses - Planned vs Need (Active Courses)]],Table2[Waitlisted])</f>
        <v>10</v>
      </c>
      <c r="N35" s="115">
        <f>SUMIF(Table2[Course],Table311[[#This Row],[Courses - Planned vs Need (Active Courses)]],Table2[Walk-ins])</f>
        <v>79</v>
      </c>
      <c r="O35" s="76">
        <f>SUMIF(Table2[Course],Table311[[#This Row],[Courses - Planned vs Need (Active Courses)]],Table2[No Shows])</f>
        <v>44</v>
      </c>
      <c r="P35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101</v>
      </c>
      <c r="Q35" s="78">
        <f>ROUNDDOWN(Table311[[#This Row],[To date quotas unused (Open quotas+ no shows)]]/Table311[[#This Row],[Quota per Offering]],0)</f>
        <v>4</v>
      </c>
      <c r="R35" s="76">
        <f t="shared" si="7"/>
        <v>367</v>
      </c>
      <c r="S35" s="78">
        <f ca="1">COUNTIFS(Table2[Course],Table311[[#This Row],[Courses - Planned vs Need (Active Courses)]],Table2[Roster Status],"1",Table2[Remaining Courses],"0")</f>
        <v>1</v>
      </c>
      <c r="T35" s="78">
        <f ca="1">COUNTIFS(Table2[Course],Table311[[#This Row],[Courses - Planned vs Need (Active Courses)]],Table2[Remaining Courses],"1")</f>
        <v>13</v>
      </c>
      <c r="U35" s="81">
        <f t="shared" si="8"/>
        <v>0.12708333333333333</v>
      </c>
      <c r="V35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0.495</v>
      </c>
      <c r="W35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0.78</v>
      </c>
      <c r="X35" s="115">
        <v>278</v>
      </c>
      <c r="Y35" s="78">
        <v>392</v>
      </c>
      <c r="Z35" s="78">
        <f>Table311[[#This Row],[Fleet Quota Need]]-Table311[[#This Row],[Total Grads]]</f>
        <v>1257</v>
      </c>
      <c r="AA35" s="61"/>
    </row>
    <row r="36" spans="2:27" ht="47.25" x14ac:dyDescent="0.25">
      <c r="B36" s="90" t="s">
        <v>303</v>
      </c>
      <c r="C36" s="74"/>
      <c r="D36" s="74" t="s">
        <v>51</v>
      </c>
      <c r="E36" s="74">
        <f>COUNTIF(Table2[Course],Table311[[#This Row],[Courses - Planned vs Need (Active Courses)]])</f>
        <v>15</v>
      </c>
      <c r="F36" s="74">
        <v>30</v>
      </c>
      <c r="G36" s="74">
        <f>Table311[[#This Row],[Course Offerings]]*Table311[[#This Row],[Quota per Offering]]</f>
        <v>450</v>
      </c>
      <c r="H36" s="74">
        <v>595</v>
      </c>
      <c r="I36" s="74">
        <f t="shared" si="5"/>
        <v>-145</v>
      </c>
      <c r="J36" s="77">
        <f t="shared" si="6"/>
        <v>0.75630252100840334</v>
      </c>
      <c r="K36" s="75">
        <f>SUMIF(Table2[Course],Table311[[#This Row],[Courses - Planned vs Need (Active Courses)]],Table2[Graduates])</f>
        <v>277</v>
      </c>
      <c r="L36" s="115">
        <f>SUMIF(Table2[Course],Table311[[#This Row],[Courses - Planned vs Need (Active Courses)]],Table2[Registered])</f>
        <v>370</v>
      </c>
      <c r="M36" s="115">
        <f>SUMIF(Table2[Course],Table311[[#This Row],[Courses - Planned vs Need (Active Courses)]],Table2[Waitlisted])</f>
        <v>17</v>
      </c>
      <c r="N36" s="115">
        <f>SUMIF(Table2[Course],Table311[[#This Row],[Courses - Planned vs Need (Active Courses)]],Table2[Walk-ins])</f>
        <v>12</v>
      </c>
      <c r="O36" s="76">
        <f>SUMIF(Table2[Course],Table311[[#This Row],[Courses - Planned vs Need (Active Courses)]],Table2[No Shows])</f>
        <v>79</v>
      </c>
      <c r="P36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169</v>
      </c>
      <c r="Q36" s="78">
        <f>ROUNDDOWN(Table311[[#This Row],[To date quotas unused (Open quotas+ no shows)]]/Table311[[#This Row],[Quota per Offering]],0)</f>
        <v>5</v>
      </c>
      <c r="R36" s="76">
        <f t="shared" si="7"/>
        <v>173</v>
      </c>
      <c r="S36" s="78">
        <f ca="1">COUNTIFS(Table2[Course],Table311[[#This Row],[Courses - Planned vs Need (Active Courses)]],Table2[Roster Status],"1",Table2[Remaining Courses],"0")</f>
        <v>0</v>
      </c>
      <c r="T36" s="78">
        <f ca="1">COUNTIFS(Table2[Course],Table311[[#This Row],[Courses - Planned vs Need (Active Courses)]],Table2[Remaining Courses],"1")</f>
        <v>2</v>
      </c>
      <c r="U36" s="81">
        <f t="shared" si="8"/>
        <v>0.46554621848739497</v>
      </c>
      <c r="V36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0.56666666666666665</v>
      </c>
      <c r="W36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0.79743589743589749</v>
      </c>
      <c r="X36" s="116">
        <v>48</v>
      </c>
      <c r="Y36" s="78">
        <f ca="1">SUM(S36,T36)*F36</f>
        <v>60</v>
      </c>
      <c r="Z36" s="78">
        <f>Table311[[#This Row],[Fleet Quota Need]]-Table311[[#This Row],[Total Grads]]</f>
        <v>318</v>
      </c>
      <c r="AA36" s="61"/>
    </row>
    <row r="37" spans="2:27" ht="31.5" x14ac:dyDescent="0.25">
      <c r="B37" s="90" t="s">
        <v>38</v>
      </c>
      <c r="C37" s="74"/>
      <c r="D37" s="74" t="s">
        <v>50</v>
      </c>
      <c r="E37" s="74">
        <f>COUNTIF(Table2[Course],Table311[[#This Row],[Courses - Planned vs Need (Active Courses)]])</f>
        <v>26</v>
      </c>
      <c r="F37" s="74">
        <v>30</v>
      </c>
      <c r="G37" s="74">
        <f>Table311[[#This Row],[Course Offerings]]*Table311[[#This Row],[Quota per Offering]]</f>
        <v>780</v>
      </c>
      <c r="H37" s="74">
        <v>1181</v>
      </c>
      <c r="I37" s="74">
        <f t="shared" si="5"/>
        <v>-401</v>
      </c>
      <c r="J37" s="77">
        <f t="shared" si="6"/>
        <v>0.66045723962743441</v>
      </c>
      <c r="K37" s="75">
        <f>SUMIF(Table2[Course],Table311[[#This Row],[Courses - Planned vs Need (Active Courses)]],Table2[Graduates])</f>
        <v>467</v>
      </c>
      <c r="L37" s="115">
        <f>SUMIF(Table2[Course],Table311[[#This Row],[Courses - Planned vs Need (Active Courses)]],Table2[Registered])</f>
        <v>516</v>
      </c>
      <c r="M37" s="115">
        <f>SUMIF(Table2[Course],Table311[[#This Row],[Courses - Planned vs Need (Active Courses)]],Table2[Waitlisted])</f>
        <v>24</v>
      </c>
      <c r="N37" s="115">
        <f>SUMIF(Table2[Course],Table311[[#This Row],[Courses - Planned vs Need (Active Courses)]],Table2[Walk-ins])</f>
        <v>28</v>
      </c>
      <c r="O37" s="76">
        <f>SUMIF(Table2[Course],Table311[[#This Row],[Courses - Planned vs Need (Active Courses)]],Table2[No Shows])</f>
        <v>76</v>
      </c>
      <c r="P37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208</v>
      </c>
      <c r="Q37" s="78">
        <f>ROUNDDOWN(Table311[[#This Row],[To date quotas unused (Open quotas+ no shows)]]/Table311[[#This Row],[Quota per Offering]],0)</f>
        <v>6</v>
      </c>
      <c r="R37" s="76">
        <f t="shared" si="7"/>
        <v>313</v>
      </c>
      <c r="S37" s="78">
        <f ca="1">COUNTIFS(Table2[Course],Table311[[#This Row],[Courses - Planned vs Need (Active Courses)]],Table2[Roster Status],"1",Table2[Remaining Courses],"0")</f>
        <v>1</v>
      </c>
      <c r="T37" s="78">
        <f ca="1">COUNTIFS(Table2[Course],Table311[[#This Row],[Courses - Planned vs Need (Active Courses)]],Table2[Remaining Courses],"1")</f>
        <v>5</v>
      </c>
      <c r="U37" s="81">
        <f t="shared" si="8"/>
        <v>0.39542760372565622</v>
      </c>
      <c r="V37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0.65333333333333332</v>
      </c>
      <c r="W37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0.87333333333333329</v>
      </c>
      <c r="X37" s="116">
        <v>18</v>
      </c>
      <c r="Y37" s="78">
        <f ca="1">SUM(S37,T37)*F37</f>
        <v>180</v>
      </c>
      <c r="Z37" s="78">
        <f>Table311[[#This Row],[Fleet Quota Need]]-Table311[[#This Row],[Total Grads]]</f>
        <v>714</v>
      </c>
      <c r="AA37" s="61"/>
    </row>
    <row r="38" spans="2:27" ht="31.5" x14ac:dyDescent="0.25">
      <c r="B38" s="90" t="s">
        <v>317</v>
      </c>
      <c r="C38" s="74"/>
      <c r="D38" s="74" t="s">
        <v>51</v>
      </c>
      <c r="E38" s="74">
        <f>COUNTIF(Table2[Course],Table311[[#This Row],[Courses - Planned vs Need (Active Courses)]])</f>
        <v>16</v>
      </c>
      <c r="F38" s="74">
        <v>100</v>
      </c>
      <c r="G38" s="79">
        <f>Table311[[#This Row],[Course Offerings]]*Table311[[#This Row],[Quota per Offering]]</f>
        <v>1600</v>
      </c>
      <c r="H38" s="74">
        <v>1499</v>
      </c>
      <c r="I38" s="74">
        <f t="shared" si="5"/>
        <v>101</v>
      </c>
      <c r="J38" s="77">
        <f t="shared" si="6"/>
        <v>1.0673782521681121</v>
      </c>
      <c r="K38" s="75">
        <f>SUMIF(Table2[Course],Table311[[#This Row],[Courses - Planned vs Need (Active Courses)]],Table2[Graduates])</f>
        <v>1071</v>
      </c>
      <c r="L38" s="115">
        <f>SUMIF(Table2[Course],Table311[[#This Row],[Courses - Planned vs Need (Active Courses)]],Table2[Registered])</f>
        <v>1283</v>
      </c>
      <c r="M38" s="115">
        <f>SUMIF(Table2[Course],Table311[[#This Row],[Courses - Planned vs Need (Active Courses)]],Table2[Waitlisted])</f>
        <v>48</v>
      </c>
      <c r="N38" s="115">
        <f>SUMIF(Table2[Course],Table311[[#This Row],[Courses - Planned vs Need (Active Courses)]],Table2[Walk-ins])</f>
        <v>21</v>
      </c>
      <c r="O38" s="76">
        <f>SUMIF(Table2[Course],Table311[[#This Row],[Courses - Planned vs Need (Active Courses)]],Table2[No Shows])</f>
        <v>239</v>
      </c>
      <c r="P38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433</v>
      </c>
      <c r="Q38" s="78">
        <f>ROUNDDOWN(Table311[[#This Row],[To date quotas unused (Open quotas+ no shows)]]/Table311[[#This Row],[Quota per Offering]],0)</f>
        <v>4</v>
      </c>
      <c r="R38" s="76">
        <f t="shared" si="7"/>
        <v>529</v>
      </c>
      <c r="S38" s="78">
        <f ca="1">COUNTIFS(Table2[Course],Table311[[#This Row],[Courses - Planned vs Need (Active Courses)]],Table2[Roster Status],"1",Table2[Remaining Courses],"0")</f>
        <v>1</v>
      </c>
      <c r="T38" s="78">
        <f ca="1">COUNTIFS(Table2[Course],Table311[[#This Row],[Courses - Planned vs Need (Active Courses)]],Table2[Remaining Courses],"1")</f>
        <v>2</v>
      </c>
      <c r="U38" s="81">
        <f t="shared" si="8"/>
        <v>0.71447631754503005</v>
      </c>
      <c r="V38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0.66692307692307695</v>
      </c>
      <c r="W38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0.81615384615384612</v>
      </c>
      <c r="X38" s="111">
        <v>34</v>
      </c>
      <c r="Y38" s="78">
        <f ca="1">SUM(S38,T38)*F38</f>
        <v>300</v>
      </c>
      <c r="Z38" s="78">
        <f>Table311[[#This Row],[Fleet Quota Need]]-Table311[[#This Row],[Total Grads]]</f>
        <v>428</v>
      </c>
      <c r="AA38" s="60"/>
    </row>
    <row r="39" spans="2:27" ht="31.5" x14ac:dyDescent="0.25">
      <c r="B39" s="90" t="s">
        <v>327</v>
      </c>
      <c r="C39" s="74"/>
      <c r="D39" s="74" t="s">
        <v>57</v>
      </c>
      <c r="E39" s="74">
        <f>COUNTIF(Table2[Course],Table311[[#This Row],[Courses - Planned vs Need (Active Courses)]])</f>
        <v>4</v>
      </c>
      <c r="F39" s="74">
        <v>25</v>
      </c>
      <c r="G39" s="79">
        <f>Table311[[#This Row],[Course Offerings]]*Table311[[#This Row],[Quota per Offering]]</f>
        <v>100</v>
      </c>
      <c r="H39" s="74">
        <v>58</v>
      </c>
      <c r="I39" s="74">
        <f t="shared" si="5"/>
        <v>42</v>
      </c>
      <c r="J39" s="77">
        <f t="shared" si="6"/>
        <v>1.7241379310344827</v>
      </c>
      <c r="K39" s="75">
        <f>SUMIF(Table2[Course],Table311[[#This Row],[Courses - Planned vs Need (Active Courses)]],Table2[Graduates])</f>
        <v>22</v>
      </c>
      <c r="L39" s="115">
        <f>SUMIF(Table2[Course],Table311[[#This Row],[Courses - Planned vs Need (Active Courses)]],Table2[Registered])</f>
        <v>120</v>
      </c>
      <c r="M39" s="115">
        <f>SUMIF(Table2[Course],Table311[[#This Row],[Courses - Planned vs Need (Active Courses)]],Table2[Waitlisted])</f>
        <v>2</v>
      </c>
      <c r="N39" s="115">
        <f>SUMIF(Table2[Course],Table311[[#This Row],[Courses - Planned vs Need (Active Courses)]],Table2[Walk-ins])</f>
        <v>1</v>
      </c>
      <c r="O39" s="76">
        <f>SUMIF(Table2[Course],Table311[[#This Row],[Courses - Planned vs Need (Active Courses)]],Table2[No Shows])</f>
        <v>6</v>
      </c>
      <c r="P39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59</v>
      </c>
      <c r="Q39" s="78">
        <f>ROUNDDOWN(Table311[[#This Row],[To date quotas unused (Open quotas+ no shows)]]/Table311[[#This Row],[Quota per Offering]],0)</f>
        <v>2</v>
      </c>
      <c r="R39" s="76">
        <f t="shared" si="7"/>
        <v>78</v>
      </c>
      <c r="S39" s="78">
        <f ca="1">COUNTIFS(Table2[Course],Table311[[#This Row],[Courses - Planned vs Need (Active Courses)]],Table2[Roster Status],"1",Table2[Remaining Courses],"0")</f>
        <v>1</v>
      </c>
      <c r="T39" s="78">
        <f ca="1">COUNTIFS(Table2[Course],Table311[[#This Row],[Courses - Planned vs Need (Active Courses)]],Table2[Remaining Courses],"1")</f>
        <v>0</v>
      </c>
      <c r="U39" s="81">
        <f t="shared" si="8"/>
        <v>0.37931034482758619</v>
      </c>
      <c r="V39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0.21333333333333335</v>
      </c>
      <c r="W39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0.92</v>
      </c>
      <c r="X39" s="111">
        <v>0</v>
      </c>
      <c r="Y39" s="78">
        <f ca="1">SUM(S39,T39)*F39</f>
        <v>25</v>
      </c>
      <c r="Z39" s="78">
        <f>Table311[[#This Row],[Fleet Quota Need]]-Table311[[#This Row],[Total Grads]]</f>
        <v>36</v>
      </c>
      <c r="AA39" s="60"/>
    </row>
    <row r="40" spans="2:27" ht="16.5" thickBot="1" x14ac:dyDescent="0.3">
      <c r="B40" s="102" t="s">
        <v>40</v>
      </c>
      <c r="C40" s="74" t="s">
        <v>53</v>
      </c>
      <c r="D40" s="74" t="s">
        <v>49</v>
      </c>
      <c r="E40" s="74">
        <f>COUNTIF(Table2[Course],Table311[[#This Row],[Courses - Planned vs Need (Active Courses)]])</f>
        <v>4</v>
      </c>
      <c r="F40" s="74">
        <v>25</v>
      </c>
      <c r="G40" s="74">
        <f>Table311[[#This Row],[Course Offerings]]*Table311[[#This Row],[Quota per Offering]]</f>
        <v>100</v>
      </c>
      <c r="H40" s="74">
        <v>126</v>
      </c>
      <c r="I40" s="74">
        <f t="shared" si="0"/>
        <v>-26</v>
      </c>
      <c r="J40" s="77">
        <f t="shared" si="1"/>
        <v>0.79365079365079361</v>
      </c>
      <c r="K40" s="75">
        <f>SUMIF(Table2[Course],Table311[[#This Row],[Courses - Planned vs Need (Active Courses)]],Table2[Graduates])</f>
        <v>60</v>
      </c>
      <c r="L40" s="115">
        <f>SUMIF(Table2[Course],Table311[[#This Row],[Courses - Planned vs Need (Active Courses)]],Table2[Registered])</f>
        <v>62</v>
      </c>
      <c r="M40" s="115">
        <f>SUMIF(Table2[Course],Table311[[#This Row],[Courses - Planned vs Need (Active Courses)]],Table2[Waitlisted])</f>
        <v>5</v>
      </c>
      <c r="N40" s="115">
        <f>SUMIF(Table2[Course],Table311[[#This Row],[Courses - Planned vs Need (Active Courses)]],Table2[Walk-ins])</f>
        <v>9</v>
      </c>
      <c r="O40" s="76">
        <f>SUMIF(Table2[Course],Table311[[#This Row],[Courses - Planned vs Need (Active Courses)]],Table2[No Shows])</f>
        <v>12</v>
      </c>
      <c r="P40" s="76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27</v>
      </c>
      <c r="Q40" s="78">
        <f>ROUNDDOWN(Table311[[#This Row],[To date quotas unused (Open quotas+ no shows)]]/Table311[[#This Row],[Quota per Offering]],0)</f>
        <v>1</v>
      </c>
      <c r="R40" s="76">
        <f t="shared" si="2"/>
        <v>40</v>
      </c>
      <c r="S40" s="78">
        <f ca="1">COUNTIFS(Table2[Course],Table311[[#This Row],[Courses - Planned vs Need (Active Courses)]],Table2[Roster Status],"1",Table2[Remaining Courses],"0")</f>
        <v>1</v>
      </c>
      <c r="T40" s="78">
        <f ca="1">COUNTIFS(Table2[Course],Table311[[#This Row],[Courses - Planned vs Need (Active Courses)]],Table2[Remaining Courses],"1")</f>
        <v>0</v>
      </c>
      <c r="U40" s="81">
        <f t="shared" si="3"/>
        <v>0.47619047619047616</v>
      </c>
      <c r="V40" s="81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0.64</v>
      </c>
      <c r="W40" s="8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0.84</v>
      </c>
      <c r="X40" s="117">
        <v>0</v>
      </c>
      <c r="Y40" s="80">
        <f t="shared" ref="Y40" ca="1" si="11">SUM(S40,T40)*F40</f>
        <v>25</v>
      </c>
      <c r="Z40" s="78">
        <f>Table311[[#This Row],[Fleet Quota Need]]-Table311[[#This Row],[Total Grads]]</f>
        <v>66</v>
      </c>
      <c r="AA40" s="67"/>
    </row>
    <row r="41" spans="2:27" ht="16.5" thickBot="1" x14ac:dyDescent="0.3">
      <c r="B41" s="92" t="s">
        <v>58</v>
      </c>
      <c r="C41" s="93"/>
      <c r="D41" s="93"/>
      <c r="E41" s="93">
        <f>SUM(Table311[Course Offerings])</f>
        <v>433</v>
      </c>
      <c r="F41" s="94">
        <f>SUM(Table311[Quota per Offering])</f>
        <v>1235</v>
      </c>
      <c r="G41" s="94">
        <f>SUM(Table311[Planned Quotas])</f>
        <v>15995</v>
      </c>
      <c r="H41" s="94">
        <f>SUM(Table311[Fleet Quota Need])</f>
        <v>26845</v>
      </c>
      <c r="I41" s="93">
        <f>SUM(Table311[Difference])</f>
        <v>-10850</v>
      </c>
      <c r="J41" s="96">
        <f>G41/H41</f>
        <v>0.5958279009126467</v>
      </c>
      <c r="K41" s="94">
        <f>SUM(Table311[Total Grads])</f>
        <v>8721</v>
      </c>
      <c r="L41" s="94"/>
      <c r="M41" s="94"/>
      <c r="N41" s="94"/>
      <c r="O41" s="94">
        <f>SUM(Table311[No Shows])</f>
        <v>1787</v>
      </c>
      <c r="P41" s="94">
        <f>SUM(Table311[To date quotas unused (Open quotas+ no shows)])</f>
        <v>5752</v>
      </c>
      <c r="Q41" s="94">
        <f>SUM(Table311[Sunk Courses due to unused quotas todate])</f>
        <v>141</v>
      </c>
      <c r="R41" s="94">
        <f>SUM(Table311[Grads needed this FY towards planned quotas])</f>
        <v>7274</v>
      </c>
      <c r="S41" s="94">
        <f ca="1">SUM(Table311['# of course completion reports to be processed])</f>
        <v>27</v>
      </c>
      <c r="T41" s="94">
        <f ca="1">SUM(Table311['# of courses remaining])</f>
        <v>62</v>
      </c>
      <c r="U41" s="97">
        <f>K41/H41</f>
        <v>0.32486496554293165</v>
      </c>
      <c r="V41" s="97">
        <f>'%'!F7</f>
        <v>0.69213973799126638</v>
      </c>
      <c r="W41" s="97">
        <f>'%'!F8</f>
        <v>0.82934497816593888</v>
      </c>
      <c r="X41" s="95">
        <v>3</v>
      </c>
      <c r="Y41" s="95">
        <f ca="1">SUM(Table311['# of additional grads if all quotas are filled of course results remaining to be processed])</f>
        <v>3187</v>
      </c>
      <c r="Z41" s="95">
        <f>SUM(Table311[Difference between completed and fleet need of completed, potentially remaining quotas, and processed courses])</f>
        <v>18124</v>
      </c>
      <c r="AA41" s="95"/>
    </row>
  </sheetData>
  <mergeCells count="3">
    <mergeCell ref="B3:J3"/>
    <mergeCell ref="K3:U3"/>
    <mergeCell ref="X3:AA3"/>
  </mergeCells>
  <conditionalFormatting sqref="C5:I40 K5:O40 R5:U40 Y5:Z40">
    <cfRule type="cellIs" dxfId="356" priority="6" operator="lessThan">
      <formula>0</formula>
    </cfRule>
  </conditionalFormatting>
  <conditionalFormatting sqref="J5:J40 U5:U40">
    <cfRule type="cellIs" dxfId="355" priority="5" operator="lessThan">
      <formula>1</formula>
    </cfRule>
  </conditionalFormatting>
  <conditionalFormatting sqref="X5:X40">
    <cfRule type="cellIs" dxfId="354" priority="1" operator="greaterThan">
      <formula>0</formula>
    </cfRule>
  </conditionalFormatting>
  <dataValidations disablePrompts="1" count="1">
    <dataValidation type="list" allowBlank="1" showInputMessage="1" showErrorMessage="1" sqref="B5:B40" xr:uid="{00000000-0002-0000-0000-000000000000}">
      <formula1>Class</formula1>
    </dataValidation>
  </dataValidations>
  <pageMargins left="0.25" right="0.25" top="0.75" bottom="0.75" header="0.3" footer="0.3"/>
  <pageSetup paperSize="5" scale="47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B536E-7846-496E-8D29-E7EC2053A0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EA42A-F4BC-44DF-88AB-7821D40A314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AB45"/>
  <sheetViews>
    <sheetView topLeftCell="G1" zoomScale="90" zoomScaleNormal="90" workbookViewId="0">
      <selection activeCell="P7" sqref="P7:AB9"/>
    </sheetView>
  </sheetViews>
  <sheetFormatPr defaultRowHeight="15" x14ac:dyDescent="0.25"/>
  <cols>
    <col min="2" max="2" width="73.42578125" bestFit="1" customWidth="1"/>
    <col min="20" max="20" width="10.85546875" customWidth="1"/>
    <col min="26" max="26" width="7.140625" customWidth="1"/>
  </cols>
  <sheetData>
    <row r="2" spans="2:28" x14ac:dyDescent="0.25">
      <c r="B2" s="3" t="s">
        <v>365</v>
      </c>
      <c r="C2" s="51"/>
      <c r="D2" s="51"/>
      <c r="E2" s="51"/>
      <c r="F2" s="51"/>
      <c r="G2" s="3"/>
      <c r="H2" s="3"/>
      <c r="I2" s="3"/>
      <c r="J2" s="3"/>
      <c r="K2" s="51"/>
      <c r="L2" s="51"/>
      <c r="M2" s="51"/>
      <c r="N2" s="51"/>
    </row>
    <row r="3" spans="2:28" ht="15.75" thickBot="1" x14ac:dyDescent="0.3">
      <c r="B3" s="134" t="e">
        <f ca="1">ModDate()</f>
        <v>#NAME?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2:28" ht="15.75" x14ac:dyDescent="0.25">
      <c r="B4" s="426" t="s">
        <v>389</v>
      </c>
      <c r="C4" s="427"/>
      <c r="D4" s="427"/>
      <c r="E4" s="427"/>
      <c r="F4" s="427"/>
      <c r="G4" s="427"/>
      <c r="H4" s="424"/>
      <c r="I4" s="424"/>
      <c r="J4" s="424"/>
      <c r="K4" s="428"/>
      <c r="L4" s="429"/>
      <c r="M4" s="430"/>
      <c r="N4" s="430"/>
    </row>
    <row r="5" spans="2:28" ht="60" x14ac:dyDescent="0.25">
      <c r="B5" s="135" t="s">
        <v>43</v>
      </c>
      <c r="C5" s="57" t="s">
        <v>369</v>
      </c>
      <c r="D5" s="57" t="s">
        <v>370</v>
      </c>
      <c r="E5" s="57" t="s">
        <v>390</v>
      </c>
      <c r="F5" s="57" t="s">
        <v>391</v>
      </c>
      <c r="G5" s="57" t="s">
        <v>188</v>
      </c>
      <c r="H5" s="120" t="s">
        <v>392</v>
      </c>
      <c r="I5" s="120" t="s">
        <v>393</v>
      </c>
      <c r="J5" s="120" t="s">
        <v>394</v>
      </c>
      <c r="K5" s="121" t="s">
        <v>372</v>
      </c>
      <c r="L5" s="122" t="s">
        <v>395</v>
      </c>
      <c r="M5" s="123" t="s">
        <v>376</v>
      </c>
      <c r="N5" s="123" t="s">
        <v>396</v>
      </c>
    </row>
    <row r="6" spans="2:28" ht="15.75" x14ac:dyDescent="0.25">
      <c r="B6" s="136" t="s">
        <v>184</v>
      </c>
      <c r="C6" s="76"/>
      <c r="D6" s="76" t="s">
        <v>397</v>
      </c>
      <c r="E6" s="76">
        <f ca="1">COUNTIFS(Table2[Course],Table3112[[#This Row],[Courses - Planned vs Need (Active Courses)]],Table2[Remaining Courses],"0")</f>
        <v>9</v>
      </c>
      <c r="F6" s="124">
        <f ca="1">COUNTIFS(Table2[Course],Table3112[[#This Row],[Courses - Planned vs Need (Active Courses)]],Table2[Location],"Global Online",Table2[Remaining Courses],"0")</f>
        <v>9</v>
      </c>
      <c r="G6" s="76">
        <f ca="1">Table3112[[#This Row],[Course Offerings Todate]]-Table3112[[#This Row],[Online]]</f>
        <v>0</v>
      </c>
      <c r="H6" s="91">
        <v>45</v>
      </c>
      <c r="I6" s="76">
        <f ca="1">Table3112[[#This Row],[Course Offerings Todate]]*Table3112[[#This Row],[Quotas Per Convening]]</f>
        <v>405</v>
      </c>
      <c r="J6" s="76">
        <f>SUM(Table3112[[#This Row],[Total Grads]]+Table3112[[#This Row],[Fails]]+Table3112[[#This Row],[No Shows]])</f>
        <v>197</v>
      </c>
      <c r="K6" s="76">
        <f>SUMIF(Table2[Course],Table3112[[#This Row],[Courses - Planned vs Need (Active Courses)]],Table2[Graduates])</f>
        <v>165</v>
      </c>
      <c r="L6" s="76">
        <f>SUMIF(Table2[Course],Table3112[[#This Row],[Courses - Planned vs Need (Active Courses)]],Table2[Fail])</f>
        <v>2</v>
      </c>
      <c r="M6" s="76">
        <f>SUMIF(Table2[Course],Table3112[[#This Row],[Courses - Planned vs Need (Active Courses)]],Table2[No Shows])</f>
        <v>30</v>
      </c>
      <c r="N6" s="76">
        <f>SUMIF(Table2[Course],Table3112[[#This Row],[Courses - Planned vs Need (Active Courses)]],Table2[Walk-ins])</f>
        <v>3</v>
      </c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</row>
    <row r="7" spans="2:28" ht="57" customHeight="1" x14ac:dyDescent="0.25">
      <c r="B7" s="137" t="s">
        <v>17</v>
      </c>
      <c r="C7" s="76" t="s">
        <v>53</v>
      </c>
      <c r="D7" s="76" t="s">
        <v>397</v>
      </c>
      <c r="E7" s="76">
        <f ca="1">COUNTIFS(Table2[Course],Table3112[[#This Row],[Courses - Planned vs Need (Active Courses)]],Table2[Remaining Courses],"0")</f>
        <v>18</v>
      </c>
      <c r="F7" s="124">
        <f>COUNTIFS(Table2[Course],Table3112[[#This Row],[Courses - Planned vs Need (Active Courses)]],Table2[Location],"Global Online",Table2[Remaining Courses],"0")</f>
        <v>0</v>
      </c>
      <c r="G7" s="76">
        <f ca="1">Table3112[[#This Row],[Course Offerings Todate]]-Table3112[[#This Row],[Online]]</f>
        <v>18</v>
      </c>
      <c r="H7" s="74">
        <v>40</v>
      </c>
      <c r="I7" s="76">
        <f ca="1">Table3112[[#This Row],[Course Offerings Todate]]*Table3112[[#This Row],[Quotas Per Convening]]</f>
        <v>720</v>
      </c>
      <c r="J7" s="76">
        <f>SUM(Table3112[[#This Row],[Total Grads]]+Table3112[[#This Row],[Fails]]+Table3112[[#This Row],[No Shows]])</f>
        <v>529</v>
      </c>
      <c r="K7" s="76">
        <f>SUMIF(Table2[Course],Table3112[[#This Row],[Courses - Planned vs Need (Active Courses)]],Table2[Graduates])</f>
        <v>462</v>
      </c>
      <c r="L7" s="76">
        <f>SUMIF(Table2[Course],Table3112[[#This Row],[Courses - Planned vs Need (Active Courses)]],Table2[Fail])</f>
        <v>19</v>
      </c>
      <c r="M7" s="76">
        <f>SUMIF(Table2[Course],Table3112[[#This Row],[Courses - Planned vs Need (Active Courses)]],Table2[No Shows])</f>
        <v>48</v>
      </c>
      <c r="N7" s="76">
        <f>SUMIF(Table2[Course],Table3112[[#This Row],[Courses - Planned vs Need (Active Courses)]],Table2[Walk-ins])</f>
        <v>117</v>
      </c>
      <c r="O7" s="125"/>
      <c r="P7" s="140" t="s">
        <v>398</v>
      </c>
      <c r="Q7" s="140" t="s">
        <v>391</v>
      </c>
      <c r="R7" s="140" t="s">
        <v>188</v>
      </c>
      <c r="S7" s="140" t="s">
        <v>393</v>
      </c>
      <c r="T7" s="141" t="s">
        <v>399</v>
      </c>
      <c r="U7" s="140" t="s">
        <v>400</v>
      </c>
      <c r="V7" s="140" t="s">
        <v>401</v>
      </c>
      <c r="W7" s="140" t="s">
        <v>395</v>
      </c>
      <c r="X7" s="140" t="s">
        <v>402</v>
      </c>
      <c r="Y7" s="140" t="s">
        <v>403</v>
      </c>
      <c r="Z7" s="140" t="s">
        <v>404</v>
      </c>
      <c r="AA7" s="140" t="s">
        <v>405</v>
      </c>
      <c r="AB7" s="140" t="s">
        <v>406</v>
      </c>
    </row>
    <row r="8" spans="2:28" ht="15.75" x14ac:dyDescent="0.25">
      <c r="B8" s="137" t="s">
        <v>18</v>
      </c>
      <c r="C8" s="76" t="s">
        <v>53</v>
      </c>
      <c r="D8" s="76" t="s">
        <v>397</v>
      </c>
      <c r="E8" s="76">
        <f ca="1">COUNTIFS(Table2[Course],Table3112[[#This Row],[Courses - Planned vs Need (Active Courses)]],Table2[Remaining Courses],"0")</f>
        <v>19</v>
      </c>
      <c r="F8" s="124">
        <f>COUNTIFS(Table2[Course],Table3112[[#This Row],[Courses - Planned vs Need (Active Courses)]],Table2[Location],"Global Online",Table2[Remaining Courses],"0")</f>
        <v>0</v>
      </c>
      <c r="G8" s="76">
        <f ca="1">Table3112[[#This Row],[Course Offerings Todate]]-Table3112[[#This Row],[Online]]</f>
        <v>19</v>
      </c>
      <c r="H8" s="74">
        <v>40</v>
      </c>
      <c r="I8" s="76">
        <f ca="1">Table3112[[#This Row],[Course Offerings Todate]]*Table3112[[#This Row],[Quotas Per Convening]]</f>
        <v>760</v>
      </c>
      <c r="J8" s="76">
        <f>SUM(Table3112[[#This Row],[Total Grads]]+Table3112[[#This Row],[Fails]]+Table3112[[#This Row],[No Shows]])</f>
        <v>365</v>
      </c>
      <c r="K8" s="76">
        <f>SUMIF(Table2[Course],Table3112[[#This Row],[Courses - Planned vs Need (Active Courses)]],Table2[Graduates])</f>
        <v>322</v>
      </c>
      <c r="L8" s="76">
        <f>SUMIF(Table2[Course],Table3112[[#This Row],[Courses - Planned vs Need (Active Courses)]],Table2[Fail])</f>
        <v>16</v>
      </c>
      <c r="M8" s="76">
        <f>SUMIF(Table2[Course],Table3112[[#This Row],[Courses - Planned vs Need (Active Courses)]],Table2[No Shows])</f>
        <v>27</v>
      </c>
      <c r="N8" s="76">
        <f>SUMIF(Table2[Course],Table3112[[#This Row],[Courses - Planned vs Need (Active Courses)]],Table2[Walk-ins])</f>
        <v>102</v>
      </c>
      <c r="O8" s="125"/>
      <c r="P8" s="126" t="s">
        <v>397</v>
      </c>
      <c r="Q8" s="127">
        <f ca="1">SUM(F6:F15)</f>
        <v>21</v>
      </c>
      <c r="R8" s="127">
        <f ca="1">SUM(G6:G15)</f>
        <v>82</v>
      </c>
      <c r="S8" s="127">
        <f ca="1">SUM(I6:I15)</f>
        <v>3485</v>
      </c>
      <c r="T8" s="127">
        <f>SUM(J6:J15)</f>
        <v>2368</v>
      </c>
      <c r="U8" s="127">
        <f>SUM(K6:K15)</f>
        <v>1954</v>
      </c>
      <c r="V8" s="132">
        <f>U8/T8</f>
        <v>0.82516891891891897</v>
      </c>
      <c r="W8" s="127">
        <f t="shared" ref="W8" si="0">SUM(L6:L15)</f>
        <v>38</v>
      </c>
      <c r="X8" s="132">
        <f>W8/T8</f>
        <v>1.6047297297297296E-2</v>
      </c>
      <c r="Y8" s="127">
        <f>SUM(M6:M15)</f>
        <v>376</v>
      </c>
      <c r="Z8" s="132">
        <f>Y8/T8</f>
        <v>0.15878378378378377</v>
      </c>
      <c r="AA8" s="127">
        <f>SUM(N6:N15)</f>
        <v>460</v>
      </c>
      <c r="AB8" s="133">
        <f>AA8/T8</f>
        <v>0.19425675675675674</v>
      </c>
    </row>
    <row r="9" spans="2:28" ht="15.75" x14ac:dyDescent="0.25">
      <c r="B9" s="137" t="s">
        <v>23</v>
      </c>
      <c r="C9" s="76" t="s">
        <v>53</v>
      </c>
      <c r="D9" s="76" t="s">
        <v>397</v>
      </c>
      <c r="E9" s="76">
        <f ca="1">COUNTIFS(Table2[Course],Table3112[[#This Row],[Courses - Planned vs Need (Active Courses)]],Table2[Remaining Courses],"0")</f>
        <v>9</v>
      </c>
      <c r="F9" s="124">
        <f>COUNTIFS(Table2[Course],Table3112[[#This Row],[Courses - Planned vs Need (Active Courses)]],Table2[Location],"Global Online",Table2[Remaining Courses],"0")</f>
        <v>0</v>
      </c>
      <c r="G9" s="76">
        <f ca="1">Table3112[[#This Row],[Course Offerings Todate]]-Table3112[[#This Row],[Online]]</f>
        <v>9</v>
      </c>
      <c r="H9" s="74">
        <v>25</v>
      </c>
      <c r="I9" s="76">
        <f ca="1">Table3112[[#This Row],[Course Offerings Todate]]*Table3112[[#This Row],[Quotas Per Convening]]</f>
        <v>225</v>
      </c>
      <c r="J9" s="76">
        <f>SUM(Table3112[[#This Row],[Total Grads]]+Table3112[[#This Row],[Fails]]+Table3112[[#This Row],[No Shows]])</f>
        <v>140</v>
      </c>
      <c r="K9" s="76">
        <f>SUMIF(Table2[Course],Table3112[[#This Row],[Courses - Planned vs Need (Active Courses)]],Table2[Graduates])</f>
        <v>99</v>
      </c>
      <c r="L9" s="76">
        <f>SUMIF(Table2[Course],Table3112[[#This Row],[Courses - Planned vs Need (Active Courses)]],Table2[Fail])</f>
        <v>1</v>
      </c>
      <c r="M9" s="76">
        <f>SUMIF(Table2[Course],Table3112[[#This Row],[Courses - Planned vs Need (Active Courses)]],Table2[No Shows])</f>
        <v>40</v>
      </c>
      <c r="N9" s="76">
        <f>SUMIF(Table2[Course],Table3112[[#This Row],[Courses - Planned vs Need (Active Courses)]],Table2[Walk-ins])</f>
        <v>25</v>
      </c>
      <c r="O9" s="125"/>
      <c r="P9" s="126" t="s">
        <v>407</v>
      </c>
      <c r="Q9" s="127">
        <f ca="1">SUM(F18:F44)</f>
        <v>178</v>
      </c>
      <c r="R9" s="127">
        <f ca="1">SUM(G18:G44)</f>
        <v>87</v>
      </c>
      <c r="S9" s="127">
        <f ca="1">SUM(I18:I44)</f>
        <v>10270</v>
      </c>
      <c r="T9" s="127">
        <f>SUM(J18:J44)</f>
        <v>8066</v>
      </c>
      <c r="U9" s="127">
        <f>SUM(K18:K44)</f>
        <v>6552</v>
      </c>
      <c r="V9" s="132">
        <f>U9/T9</f>
        <v>0.81229853706917932</v>
      </c>
      <c r="W9" s="127">
        <f t="shared" ref="W9" si="1">SUM(L18:L44)</f>
        <v>136</v>
      </c>
      <c r="X9" s="132">
        <f>W9/T9</f>
        <v>1.686089759484255E-2</v>
      </c>
      <c r="Y9" s="127">
        <f>SUM(M18:M44)</f>
        <v>1378</v>
      </c>
      <c r="Z9" s="132">
        <f>Y9/T9</f>
        <v>0.17084056533597819</v>
      </c>
      <c r="AA9" s="127">
        <f>SUM(N18:N44)</f>
        <v>159</v>
      </c>
      <c r="AB9" s="142">
        <f>AA9/T9</f>
        <v>1.9712372923382099E-2</v>
      </c>
    </row>
    <row r="10" spans="2:28" ht="15.75" x14ac:dyDescent="0.25">
      <c r="B10" s="137" t="s">
        <v>24</v>
      </c>
      <c r="C10" s="76" t="s">
        <v>53</v>
      </c>
      <c r="D10" s="76" t="s">
        <v>397</v>
      </c>
      <c r="E10" s="76">
        <f ca="1">COUNTIFS(Table2[Course],Table3112[[#This Row],[Courses - Planned vs Need (Active Courses)]],Table2[Remaining Courses],"0")</f>
        <v>17</v>
      </c>
      <c r="F10" s="124">
        <f ca="1">COUNTIFS(Table2[Course],Table3112[[#This Row],[Courses - Planned vs Need (Active Courses)]],Table2[Location],"Global Online",Table2[Remaining Courses],"0")</f>
        <v>10</v>
      </c>
      <c r="G10" s="76">
        <f ca="1">Table3112[[#This Row],[Course Offerings Todate]]-Table3112[[#This Row],[Online]]</f>
        <v>7</v>
      </c>
      <c r="H10" s="74">
        <v>30</v>
      </c>
      <c r="I10" s="76">
        <f ca="1">Table3112[[#This Row],[Course Offerings Todate]]*Table3112[[#This Row],[Quotas Per Convening]]</f>
        <v>510</v>
      </c>
      <c r="J10" s="76">
        <f>SUM(Table3112[[#This Row],[Total Grads]]+Table3112[[#This Row],[Fails]]+Table3112[[#This Row],[No Shows]])</f>
        <v>433</v>
      </c>
      <c r="K10" s="76">
        <f>SUMIF(Table2[Course],Table3112[[#This Row],[Courses - Planned vs Need (Active Courses)]],Table2[Graduates])</f>
        <v>345</v>
      </c>
      <c r="L10" s="76">
        <f>SUMIF(Table2[Course],Table3112[[#This Row],[Courses - Planned vs Need (Active Courses)]],Table2[Fail])</f>
        <v>0</v>
      </c>
      <c r="M10" s="76">
        <f>SUMIF(Table2[Course],Table3112[[#This Row],[Courses - Planned vs Need (Active Courses)]],Table2[No Shows])</f>
        <v>88</v>
      </c>
      <c r="N10" s="76">
        <f>SUMIF(Table2[Course],Table3112[[#This Row],[Courses - Planned vs Need (Active Courses)]],Table2[Walk-ins])</f>
        <v>27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</row>
    <row r="11" spans="2:28" ht="15.75" x14ac:dyDescent="0.25">
      <c r="B11" s="137" t="s">
        <v>25</v>
      </c>
      <c r="C11" s="76" t="s">
        <v>53</v>
      </c>
      <c r="D11" s="76" t="s">
        <v>397</v>
      </c>
      <c r="E11" s="76">
        <f ca="1">COUNTIFS(Table2[Course],Table3112[[#This Row],[Courses - Planned vs Need (Active Courses)]],Table2[Remaining Courses],"0")</f>
        <v>6</v>
      </c>
      <c r="F11" s="124">
        <f ca="1">COUNTIFS(Table2[Course],Table3112[[#This Row],[Courses - Planned vs Need (Active Courses)]],Table2[Location],"Global Online",Table2[Remaining Courses],"0")</f>
        <v>1</v>
      </c>
      <c r="G11" s="76">
        <f ca="1">Table3112[[#This Row],[Course Offerings Todate]]-Table3112[[#This Row],[Online]]</f>
        <v>5</v>
      </c>
      <c r="H11" s="74">
        <v>30</v>
      </c>
      <c r="I11" s="76">
        <f ca="1">Table3112[[#This Row],[Course Offerings Todate]]*Table3112[[#This Row],[Quotas Per Convening]]</f>
        <v>180</v>
      </c>
      <c r="J11" s="76">
        <f>SUM(Table3112[[#This Row],[Total Grads]]+Table3112[[#This Row],[Fails]]+Table3112[[#This Row],[No Shows]])</f>
        <v>163</v>
      </c>
      <c r="K11" s="76">
        <f>SUMIF(Table2[Course],Table3112[[#This Row],[Courses - Planned vs Need (Active Courses)]],Table2[Graduates])</f>
        <v>123</v>
      </c>
      <c r="L11" s="76">
        <f>SUMIF(Table2[Course],Table3112[[#This Row],[Courses - Planned vs Need (Active Courses)]],Table2[Fail])</f>
        <v>0</v>
      </c>
      <c r="M11" s="76">
        <f>SUMIF(Table2[Course],Table3112[[#This Row],[Courses - Planned vs Need (Active Courses)]],Table2[No Shows])</f>
        <v>40</v>
      </c>
      <c r="N11" s="76">
        <f>SUMIF(Table2[Course],Table3112[[#This Row],[Courses - Planned vs Need (Active Courses)]],Table2[Walk-ins])</f>
        <v>36</v>
      </c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</row>
    <row r="12" spans="2:28" ht="15.75" x14ac:dyDescent="0.25">
      <c r="B12" s="137" t="s">
        <v>26</v>
      </c>
      <c r="C12" s="76" t="s">
        <v>53</v>
      </c>
      <c r="D12" s="76" t="s">
        <v>397</v>
      </c>
      <c r="E12" s="76">
        <f ca="1">COUNTIFS(Table2[Course],Table3112[[#This Row],[Courses - Planned vs Need (Active Courses)]],Table2[Remaining Courses],"0")</f>
        <v>7</v>
      </c>
      <c r="F12" s="124">
        <f>COUNTIFS(Table2[Course],Table3112[[#This Row],[Courses - Planned vs Need (Active Courses)]],Table2[Location],"Global Online",Table2[Remaining Courses],"0")</f>
        <v>0</v>
      </c>
      <c r="G12" s="76">
        <f ca="1">Table3112[[#This Row],[Course Offerings Todate]]-Table3112[[#This Row],[Online]]</f>
        <v>7</v>
      </c>
      <c r="H12" s="74">
        <v>30</v>
      </c>
      <c r="I12" s="76">
        <f ca="1">Table3112[[#This Row],[Course Offerings Todate]]*Table3112[[#This Row],[Quotas Per Convening]]</f>
        <v>210</v>
      </c>
      <c r="J12" s="76">
        <f>SUM(Table3112[[#This Row],[Total Grads]]+Table3112[[#This Row],[Fails]]+Table3112[[#This Row],[No Shows]])</f>
        <v>90</v>
      </c>
      <c r="K12" s="76">
        <f>SUMIF(Table2[Course],Table3112[[#This Row],[Courses - Planned vs Need (Active Courses)]],Table2[Graduates])</f>
        <v>74</v>
      </c>
      <c r="L12" s="76">
        <f>SUMIF(Table2[Course],Table3112[[#This Row],[Courses - Planned vs Need (Active Courses)]],Table2[Fail])</f>
        <v>0</v>
      </c>
      <c r="M12" s="76">
        <f>SUMIF(Table2[Course],Table3112[[#This Row],[Courses - Planned vs Need (Active Courses)]],Table2[No Shows])</f>
        <v>16</v>
      </c>
      <c r="N12" s="76">
        <f>SUMIF(Table2[Course],Table3112[[#This Row],[Courses - Planned vs Need (Active Courses)]],Table2[Walk-ins])</f>
        <v>18</v>
      </c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</row>
    <row r="13" spans="2:28" ht="15.75" x14ac:dyDescent="0.25">
      <c r="B13" s="137" t="s">
        <v>27</v>
      </c>
      <c r="C13" s="76" t="s">
        <v>53</v>
      </c>
      <c r="D13" s="76" t="s">
        <v>397</v>
      </c>
      <c r="E13" s="76">
        <f ca="1">COUNTIFS(Table2[Course],Table3112[[#This Row],[Courses - Planned vs Need (Active Courses)]],Table2[Remaining Courses],"0")</f>
        <v>5</v>
      </c>
      <c r="F13" s="124">
        <f ca="1">COUNTIFS(Table2[Course],Table3112[[#This Row],[Courses - Planned vs Need (Active Courses)]],Table2[Location],"Global Online",Table2[Remaining Courses],"0")</f>
        <v>1</v>
      </c>
      <c r="G13" s="76">
        <f ca="1">Table3112[[#This Row],[Course Offerings Todate]]-Table3112[[#This Row],[Online]]</f>
        <v>4</v>
      </c>
      <c r="H13" s="74">
        <v>30</v>
      </c>
      <c r="I13" s="76">
        <f ca="1">Table3112[[#This Row],[Course Offerings Todate]]*Table3112[[#This Row],[Quotas Per Convening]]</f>
        <v>150</v>
      </c>
      <c r="J13" s="76">
        <f>SUM(Table3112[[#This Row],[Total Grads]]+Table3112[[#This Row],[Fails]]+Table3112[[#This Row],[No Shows]])</f>
        <v>152</v>
      </c>
      <c r="K13" s="76">
        <f>SUMIF(Table2[Course],Table3112[[#This Row],[Courses - Planned vs Need (Active Courses)]],Table2[Graduates])</f>
        <v>121</v>
      </c>
      <c r="L13" s="76">
        <f>SUMIF(Table2[Course],Table3112[[#This Row],[Courses - Planned vs Need (Active Courses)]],Table2[Fail])</f>
        <v>0</v>
      </c>
      <c r="M13" s="76">
        <f>SUMIF(Table2[Course],Table3112[[#This Row],[Courses - Planned vs Need (Active Courses)]],Table2[No Shows])</f>
        <v>31</v>
      </c>
      <c r="N13" s="76">
        <f>SUMIF(Table2[Course],Table3112[[#This Row],[Courses - Planned vs Need (Active Courses)]],Table2[Walk-ins])</f>
        <v>44</v>
      </c>
    </row>
    <row r="14" spans="2:28" ht="15.75" x14ac:dyDescent="0.25">
      <c r="B14" s="137" t="s">
        <v>35</v>
      </c>
      <c r="C14" s="76" t="s">
        <v>53</v>
      </c>
      <c r="D14" s="76" t="s">
        <v>397</v>
      </c>
      <c r="E14" s="76">
        <f ca="1">COUNTIFS(Table2[Course],Table3112[[#This Row],[Courses - Planned vs Need (Active Courses)]],Table2[Remaining Courses],"0")</f>
        <v>9</v>
      </c>
      <c r="F14" s="124">
        <f>COUNTIFS(Table2[Course],Table3112[[#This Row],[Courses - Planned vs Need (Active Courses)]],Table2[Location],"Global Online",Table2[Remaining Courses],"0")</f>
        <v>0</v>
      </c>
      <c r="G14" s="76">
        <f ca="1">Table3112[[#This Row],[Course Offerings Todate]]-Table3112[[#This Row],[Online]]</f>
        <v>9</v>
      </c>
      <c r="H14" s="74">
        <v>25</v>
      </c>
      <c r="I14" s="76">
        <f ca="1">Table3112[[#This Row],[Course Offerings Todate]]*Table3112[[#This Row],[Quotas Per Convening]]</f>
        <v>225</v>
      </c>
      <c r="J14" s="76">
        <f>SUM(Table3112[[#This Row],[Total Grads]]+Table3112[[#This Row],[Fails]]+Table3112[[#This Row],[No Shows]])</f>
        <v>227</v>
      </c>
      <c r="K14" s="76">
        <f>SUMIF(Table2[Course],Table3112[[#This Row],[Courses - Planned vs Need (Active Courses)]],Table2[Graduates])</f>
        <v>183</v>
      </c>
      <c r="L14" s="76">
        <f>SUMIF(Table2[Course],Table3112[[#This Row],[Courses - Planned vs Need (Active Courses)]],Table2[Fail])</f>
        <v>0</v>
      </c>
      <c r="M14" s="76">
        <f>SUMIF(Table2[Course],Table3112[[#This Row],[Courses - Planned vs Need (Active Courses)]],Table2[No Shows])</f>
        <v>44</v>
      </c>
      <c r="N14" s="76">
        <f>SUMIF(Table2[Course],Table3112[[#This Row],[Courses - Planned vs Need (Active Courses)]],Table2[Walk-ins])</f>
        <v>79</v>
      </c>
    </row>
    <row r="15" spans="2:28" ht="15.75" x14ac:dyDescent="0.25">
      <c r="B15" s="137" t="s">
        <v>40</v>
      </c>
      <c r="C15" s="76" t="s">
        <v>53</v>
      </c>
      <c r="D15" s="76" t="s">
        <v>397</v>
      </c>
      <c r="E15" s="76">
        <f ca="1">COUNTIFS(Table2[Course],Table3112[[#This Row],[Courses - Planned vs Need (Active Courses)]],Table2[Remaining Courses],"0")</f>
        <v>4</v>
      </c>
      <c r="F15" s="124">
        <f>COUNTIFS(Table2[Course],Table3112[[#This Row],[Courses - Planned vs Need (Active Courses)]],Table2[Location],"Global Online",Table2[Remaining Courses],"0")</f>
        <v>0</v>
      </c>
      <c r="G15" s="76">
        <f ca="1">Table3112[[#This Row],[Course Offerings Todate]]-Table3112[[#This Row],[Online]]</f>
        <v>4</v>
      </c>
      <c r="H15" s="74">
        <v>25</v>
      </c>
      <c r="I15" s="76">
        <f ca="1">Table3112[[#This Row],[Course Offerings Todate]]*Table3112[[#This Row],[Quotas Per Convening]]</f>
        <v>100</v>
      </c>
      <c r="J15" s="76">
        <f>SUM(Table3112[[#This Row],[Total Grads]]+Table3112[[#This Row],[Fails]]+Table3112[[#This Row],[No Shows]])</f>
        <v>72</v>
      </c>
      <c r="K15" s="76">
        <f>SUMIF(Table2[Course],Table3112[[#This Row],[Courses - Planned vs Need (Active Courses)]],Table2[Graduates])</f>
        <v>60</v>
      </c>
      <c r="L15" s="76">
        <f>SUMIF(Table2[Course],Table3112[[#This Row],[Courses - Planned vs Need (Active Courses)]],Table2[Fail])</f>
        <v>0</v>
      </c>
      <c r="M15" s="76">
        <f>SUMIF(Table2[Course],Table3112[[#This Row],[Courses - Planned vs Need (Active Courses)]],Table2[No Shows])</f>
        <v>12</v>
      </c>
      <c r="N15" s="76">
        <f>SUMIF(Table2[Course],Table3112[[#This Row],[Courses - Planned vs Need (Active Courses)]],Table2[Walk-ins])</f>
        <v>9</v>
      </c>
      <c r="Y15">
        <f>SUM(Y8:Y9)</f>
        <v>1754</v>
      </c>
    </row>
    <row r="16" spans="2:28" ht="15.75" x14ac:dyDescent="0.25">
      <c r="B16" s="128"/>
      <c r="C16" s="128"/>
      <c r="D16" s="128"/>
      <c r="E16" s="76">
        <f>COUNTIFS(Table2[Course],Table3112[[#This Row],[Courses - Planned vs Need (Active Courses)]],Table2[Remaining Courses],"0")</f>
        <v>0</v>
      </c>
      <c r="F16" s="124">
        <f>COUNTIFS(Table2[Course],Table3112[[#This Row],[Courses - Planned vs Need (Active Courses)]],Table2[Location],"Global Online",Table2[Remaining Courses],"0")</f>
        <v>0</v>
      </c>
      <c r="G16" s="128"/>
      <c r="H16" s="128"/>
      <c r="I16" s="128"/>
      <c r="J16" s="129"/>
      <c r="K16" s="76">
        <f>SUMIF(Table2[Course],Table3112[[#This Row],[Courses - Planned vs Need (Active Courses)]],Table2[Graduates])</f>
        <v>0</v>
      </c>
      <c r="L16" s="76">
        <f>SUMIF(Table2[Course],Table3112[[#This Row],[Courses - Planned vs Need (Active Courses)]],Table2[Fail])</f>
        <v>0</v>
      </c>
      <c r="M16" s="76">
        <f>SUMIF(Table2[Course],Table3112[[#This Row],[Courses - Planned vs Need (Active Courses)]],Table2[No Shows])</f>
        <v>0</v>
      </c>
      <c r="N16" s="76">
        <f>SUMIF(Table2[Course],Table3112[[#This Row],[Courses - Planned vs Need (Active Courses)]],Table2[Walk-ins])</f>
        <v>0</v>
      </c>
    </row>
    <row r="17" spans="2:14" ht="15.75" x14ac:dyDescent="0.25">
      <c r="B17" s="138" t="s">
        <v>407</v>
      </c>
      <c r="C17" s="128"/>
      <c r="D17" s="128"/>
      <c r="E17" s="76">
        <f>COUNTIFS(Table2[Course],Table3112[[#This Row],[Courses - Planned vs Need (Active Courses)]],Table2[Remaining Courses],"0")</f>
        <v>0</v>
      </c>
      <c r="F17" s="124">
        <f>COUNTIFS(Table2[Course],Table3112[[#This Row],[Courses - Planned vs Need (Active Courses)]],Table2[Location],"Global Online",Table2[Remaining Courses],"0")</f>
        <v>0</v>
      </c>
      <c r="G17" s="128"/>
      <c r="H17" s="128"/>
      <c r="I17" s="128"/>
      <c r="J17" s="129"/>
      <c r="K17" s="76">
        <f>SUMIF(Table2[Course],Table3112[[#This Row],[Courses - Planned vs Need (Active Courses)]],Table2[Graduates])</f>
        <v>0</v>
      </c>
      <c r="L17" s="76">
        <f>SUMIF(Table2[Course],Table3112[[#This Row],[Courses - Planned vs Need (Active Courses)]],Table2[Fail])</f>
        <v>0</v>
      </c>
      <c r="M17" s="76">
        <f>SUMIF(Table2[Course],Table3112[[#This Row],[Courses - Planned vs Need (Active Courses)]],Table2[No Shows])</f>
        <v>0</v>
      </c>
      <c r="N17" s="76">
        <f>SUMIF(Table2[Course],Table3112[[#This Row],[Courses - Planned vs Need (Active Courses)]],Table2[Walk-ins])</f>
        <v>0</v>
      </c>
    </row>
    <row r="18" spans="2:14" ht="15.75" x14ac:dyDescent="0.25">
      <c r="B18" s="136" t="s">
        <v>214</v>
      </c>
      <c r="C18" s="76"/>
      <c r="D18" s="76" t="s">
        <v>407</v>
      </c>
      <c r="E18" s="76">
        <f ca="1">COUNTIFS(Table2[Course],Table3112[[#This Row],[Courses - Planned vs Need (Active Courses)]],Table2[Remaining Courses],"0")</f>
        <v>10</v>
      </c>
      <c r="F18" s="124">
        <f ca="1">COUNTIFS(Table2[Course],Table3112[[#This Row],[Courses - Planned vs Need (Active Courses)]],Table2[Location],"Global Online",Table2[Remaining Courses],"0")</f>
        <v>10</v>
      </c>
      <c r="G18" s="76">
        <f ca="1">Table3112[[#This Row],[Course Offerings Todate]]-Table3112[[#This Row],[Online]]</f>
        <v>0</v>
      </c>
      <c r="H18" s="74">
        <v>45</v>
      </c>
      <c r="I18" s="76">
        <f ca="1">Table3112[[#This Row],[Course Offerings Todate]]*Table3112[[#This Row],[Quotas Per Convening]]</f>
        <v>450</v>
      </c>
      <c r="J18" s="76">
        <f>SUM(Table3112[[#This Row],[Total Grads]]+Table3112[[#This Row],[Fails]]+Table3112[[#This Row],[No Shows]])</f>
        <v>289</v>
      </c>
      <c r="K18" s="76">
        <f>SUMIF(Table2[Course],Table3112[[#This Row],[Courses - Planned vs Need (Active Courses)]],Table2[Graduates])</f>
        <v>237</v>
      </c>
      <c r="L18" s="76">
        <f>SUMIF(Table2[Course],Table3112[[#This Row],[Courses - Planned vs Need (Active Courses)]],Table2[Fail])</f>
        <v>11</v>
      </c>
      <c r="M18" s="76">
        <f>SUMIF(Table2[Course],Table3112[[#This Row],[Courses - Planned vs Need (Active Courses)]],Table2[No Shows])</f>
        <v>41</v>
      </c>
      <c r="N18" s="76">
        <f>SUMIF(Table2[Course],Table3112[[#This Row],[Courses - Planned vs Need (Active Courses)]],Table2[Walk-ins])</f>
        <v>5</v>
      </c>
    </row>
    <row r="19" spans="2:14" ht="15.75" x14ac:dyDescent="0.25">
      <c r="B19" s="136" t="s">
        <v>243</v>
      </c>
      <c r="C19" s="76"/>
      <c r="D19" s="76" t="s">
        <v>407</v>
      </c>
      <c r="E19" s="76">
        <f ca="1">COUNTIFS(Table2[Course],Table3112[[#This Row],[Courses - Planned vs Need (Active Courses)]],Table2[Remaining Courses],"0")</f>
        <v>15</v>
      </c>
      <c r="F19" s="124">
        <f ca="1">COUNTIFS(Table2[Course],Table3112[[#This Row],[Courses - Planned vs Need (Active Courses)]],Table2[Location],"Global Online",Table2[Remaining Courses],"0")</f>
        <v>15</v>
      </c>
      <c r="G19" s="76">
        <f ca="1">Table3112[[#This Row],[Course Offerings Todate]]-Table3112[[#This Row],[Online]]</f>
        <v>0</v>
      </c>
      <c r="H19" s="74">
        <v>45</v>
      </c>
      <c r="I19" s="76">
        <f ca="1">Table3112[[#This Row],[Course Offerings Todate]]*Table3112[[#This Row],[Quotas Per Convening]]</f>
        <v>675</v>
      </c>
      <c r="J19" s="76">
        <f>SUM(Table3112[[#This Row],[Total Grads]]+Table3112[[#This Row],[Fails]]+Table3112[[#This Row],[No Shows]])</f>
        <v>431</v>
      </c>
      <c r="K19" s="76">
        <f>SUMIF(Table2[Course],Table3112[[#This Row],[Courses - Planned vs Need (Active Courses)]],Table2[Graduates])</f>
        <v>360</v>
      </c>
      <c r="L19" s="76">
        <f>SUMIF(Table2[Course],Table3112[[#This Row],[Courses - Planned vs Need (Active Courses)]],Table2[Fail])</f>
        <v>3</v>
      </c>
      <c r="M19" s="76">
        <f>SUMIF(Table2[Course],Table3112[[#This Row],[Courses - Planned vs Need (Active Courses)]],Table2[No Shows])</f>
        <v>68</v>
      </c>
      <c r="N19" s="76">
        <f>SUMIF(Table2[Course],Table3112[[#This Row],[Courses - Planned vs Need (Active Courses)]],Table2[Walk-ins])</f>
        <v>3</v>
      </c>
    </row>
    <row r="20" spans="2:14" ht="15.75" x14ac:dyDescent="0.25">
      <c r="B20" s="136" t="s">
        <v>303</v>
      </c>
      <c r="C20" s="76"/>
      <c r="D20" s="76" t="s">
        <v>407</v>
      </c>
      <c r="E20" s="76">
        <f ca="1">COUNTIFS(Table2[Course],Table3112[[#This Row],[Courses - Planned vs Need (Active Courses)]],Table2[Remaining Courses],"0")</f>
        <v>13</v>
      </c>
      <c r="F20" s="124">
        <f ca="1">COUNTIFS(Table2[Course],Table3112[[#This Row],[Courses - Planned vs Need (Active Courses)]],Table2[Location],"Global Online",Table2[Remaining Courses],"0")</f>
        <v>13</v>
      </c>
      <c r="G20" s="76">
        <f ca="1">Table3112[[#This Row],[Course Offerings Todate]]-Table3112[[#This Row],[Online]]</f>
        <v>0</v>
      </c>
      <c r="H20" s="74">
        <v>30</v>
      </c>
      <c r="I20" s="76">
        <f ca="1">Table3112[[#This Row],[Course Offerings Todate]]*Table3112[[#This Row],[Quotas Per Convening]]</f>
        <v>390</v>
      </c>
      <c r="J20" s="76">
        <f>SUM(Table3112[[#This Row],[Total Grads]]+Table3112[[#This Row],[Fails]]+Table3112[[#This Row],[No Shows]])</f>
        <v>379</v>
      </c>
      <c r="K20" s="76">
        <f>SUMIF(Table2[Course],Table3112[[#This Row],[Courses - Planned vs Need (Active Courses)]],Table2[Graduates])</f>
        <v>277</v>
      </c>
      <c r="L20" s="76">
        <f>SUMIF(Table2[Course],Table3112[[#This Row],[Courses - Planned vs Need (Active Courses)]],Table2[Fail])</f>
        <v>23</v>
      </c>
      <c r="M20" s="76">
        <f>SUMIF(Table2[Course],Table3112[[#This Row],[Courses - Planned vs Need (Active Courses)]],Table2[No Shows])</f>
        <v>79</v>
      </c>
      <c r="N20" s="76">
        <f>SUMIF(Table2[Course],Table3112[[#This Row],[Courses - Planned vs Need (Active Courses)]],Table2[Walk-ins])</f>
        <v>12</v>
      </c>
    </row>
    <row r="21" spans="2:14" ht="15.75" x14ac:dyDescent="0.25">
      <c r="B21" s="136" t="s">
        <v>317</v>
      </c>
      <c r="C21" s="76"/>
      <c r="D21" s="76" t="s">
        <v>407</v>
      </c>
      <c r="E21" s="76">
        <f ca="1">COUNTIFS(Table2[Course],Table3112[[#This Row],[Courses - Planned vs Need (Active Courses)]],Table2[Remaining Courses],"0")</f>
        <v>14</v>
      </c>
      <c r="F21" s="124">
        <f ca="1">COUNTIFS(Table2[Course],Table3112[[#This Row],[Courses - Planned vs Need (Active Courses)]],Table2[Location],"Global Online",Table2[Remaining Courses],"0")</f>
        <v>14</v>
      </c>
      <c r="G21" s="76">
        <f ca="1">Table3112[[#This Row],[Course Offerings Todate]]-Table3112[[#This Row],[Online]]</f>
        <v>0</v>
      </c>
      <c r="H21" s="74">
        <v>100</v>
      </c>
      <c r="I21" s="76">
        <f ca="1">Table3112[[#This Row],[Course Offerings Todate]]*Table3112[[#This Row],[Quotas Per Convening]]</f>
        <v>1400</v>
      </c>
      <c r="J21" s="76">
        <f>SUM(Table3112[[#This Row],[Total Grads]]+Table3112[[#This Row],[Fails]]+Table3112[[#This Row],[No Shows]])</f>
        <v>1345</v>
      </c>
      <c r="K21" s="76">
        <f>SUMIF(Table2[Course],Table3112[[#This Row],[Courses - Planned vs Need (Active Courses)]],Table2[Graduates])</f>
        <v>1071</v>
      </c>
      <c r="L21" s="76">
        <f>SUMIF(Table2[Course],Table3112[[#This Row],[Courses - Planned vs Need (Active Courses)]],Table2[Fail])</f>
        <v>35</v>
      </c>
      <c r="M21" s="76">
        <f>SUMIF(Table2[Course],Table3112[[#This Row],[Courses - Planned vs Need (Active Courses)]],Table2[No Shows])</f>
        <v>239</v>
      </c>
      <c r="N21" s="76">
        <f>SUMIF(Table2[Course],Table3112[[#This Row],[Courses - Planned vs Need (Active Courses)]],Table2[Walk-ins])</f>
        <v>21</v>
      </c>
    </row>
    <row r="22" spans="2:14" ht="15.75" x14ac:dyDescent="0.25">
      <c r="B22" s="136" t="s">
        <v>6</v>
      </c>
      <c r="C22" s="76"/>
      <c r="D22" s="76" t="s">
        <v>407</v>
      </c>
      <c r="E22" s="76">
        <f ca="1">COUNTIFS(Table2[Course],Table3112[[#This Row],[Courses - Planned vs Need (Active Courses)]],Table2[Remaining Courses],"0")</f>
        <v>2</v>
      </c>
      <c r="F22" s="124">
        <f>COUNTIFS(Table2[Course],Table3112[[#This Row],[Courses - Planned vs Need (Active Courses)]],Table2[Location],"Global Online",Table2[Remaining Courses],"0")</f>
        <v>0</v>
      </c>
      <c r="G22" s="76">
        <f ca="1">Table3112[[#This Row],[Course Offerings Todate]]-Table3112[[#This Row],[Online]]</f>
        <v>2</v>
      </c>
      <c r="H22" s="74">
        <v>25</v>
      </c>
      <c r="I22" s="76">
        <f ca="1">Table3112[[#This Row],[Course Offerings Todate]]*Table3112[[#This Row],[Quotas Per Convening]]</f>
        <v>50</v>
      </c>
      <c r="J22" s="76">
        <f>SUM(Table3112[[#This Row],[Total Grads]]+Table3112[[#This Row],[Fails]]+Table3112[[#This Row],[No Shows]])</f>
        <v>33</v>
      </c>
      <c r="K22" s="76">
        <f>SUMIF(Table2[Course],Table3112[[#This Row],[Courses - Planned vs Need (Active Courses)]],Table2[Graduates])</f>
        <v>31</v>
      </c>
      <c r="L22" s="76">
        <f>SUMIF(Table2[Course],Table3112[[#This Row],[Courses - Planned vs Need (Active Courses)]],Table2[Fail])</f>
        <v>1</v>
      </c>
      <c r="M22" s="76">
        <f>SUMIF(Table2[Course],Table3112[[#This Row],[Courses - Planned vs Need (Active Courses)]],Table2[No Shows])</f>
        <v>1</v>
      </c>
      <c r="N22" s="76">
        <f>SUMIF(Table2[Course],Table3112[[#This Row],[Courses - Planned vs Need (Active Courses)]],Table2[Walk-ins])</f>
        <v>3</v>
      </c>
    </row>
    <row r="23" spans="2:14" ht="15.75" x14ac:dyDescent="0.25">
      <c r="B23" s="136" t="s">
        <v>7</v>
      </c>
      <c r="C23" s="76"/>
      <c r="D23" s="76" t="s">
        <v>407</v>
      </c>
      <c r="E23" s="76">
        <f ca="1">COUNTIFS(Table2[Course],Table3112[[#This Row],[Courses - Planned vs Need (Active Courses)]],Table2[Remaining Courses],"0")</f>
        <v>4</v>
      </c>
      <c r="F23" s="124">
        <f ca="1">COUNTIFS(Table2[Course],Table3112[[#This Row],[Courses - Planned vs Need (Active Courses)]],Table2[Location],"Global Online",Table2[Remaining Courses],"0")</f>
        <v>2</v>
      </c>
      <c r="G23" s="76">
        <f ca="1">Table3112[[#This Row],[Course Offerings Todate]]-Table3112[[#This Row],[Online]]</f>
        <v>2</v>
      </c>
      <c r="H23" s="74">
        <v>30</v>
      </c>
      <c r="I23" s="76">
        <f ca="1">Table3112[[#This Row],[Course Offerings Todate]]*Table3112[[#This Row],[Quotas Per Convening]]</f>
        <v>120</v>
      </c>
      <c r="J23" s="76">
        <f>SUM(Table3112[[#This Row],[Total Grads]]+Table3112[[#This Row],[Fails]]+Table3112[[#This Row],[No Shows]])</f>
        <v>63</v>
      </c>
      <c r="K23" s="76">
        <f>SUMIF(Table2[Course],Table3112[[#This Row],[Courses - Planned vs Need (Active Courses)]],Table2[Graduates])</f>
        <v>61</v>
      </c>
      <c r="L23" s="76">
        <f>SUMIF(Table2[Course],Table3112[[#This Row],[Courses - Planned vs Need (Active Courses)]],Table2[Fail])</f>
        <v>0</v>
      </c>
      <c r="M23" s="76">
        <f>SUMIF(Table2[Course],Table3112[[#This Row],[Courses - Planned vs Need (Active Courses)]],Table2[No Shows])</f>
        <v>2</v>
      </c>
      <c r="N23" s="76">
        <f>SUMIF(Table2[Course],Table3112[[#This Row],[Courses - Planned vs Need (Active Courses)]],Table2[Walk-ins])</f>
        <v>0</v>
      </c>
    </row>
    <row r="24" spans="2:14" ht="15.75" x14ac:dyDescent="0.25">
      <c r="B24" s="136" t="s">
        <v>8</v>
      </c>
      <c r="C24" s="76"/>
      <c r="D24" s="76" t="s">
        <v>407</v>
      </c>
      <c r="E24" s="76">
        <f ca="1">COUNTIFS(Table2[Course],Table3112[[#This Row],[Courses - Planned vs Need (Active Courses)]],Table2[Remaining Courses],"0")</f>
        <v>2</v>
      </c>
      <c r="F24" s="124">
        <f>COUNTIFS(Table2[Course],Table3112[[#This Row],[Courses - Planned vs Need (Active Courses)]],Table2[Location],"Global Online",Table2[Remaining Courses],"0")</f>
        <v>0</v>
      </c>
      <c r="G24" s="76">
        <f ca="1">Table3112[[#This Row],[Course Offerings Todate]]-Table3112[[#This Row],[Online]]</f>
        <v>2</v>
      </c>
      <c r="H24" s="74">
        <v>25</v>
      </c>
      <c r="I24" s="76">
        <f ca="1">Table3112[[#This Row],[Course Offerings Todate]]*Table3112[[#This Row],[Quotas Per Convening]]</f>
        <v>50</v>
      </c>
      <c r="J24" s="76">
        <f>SUM(Table3112[[#This Row],[Total Grads]]+Table3112[[#This Row],[Fails]]+Table3112[[#This Row],[No Shows]])</f>
        <v>25</v>
      </c>
      <c r="K24" s="76">
        <f>SUMIF(Table2[Course],Table3112[[#This Row],[Courses - Planned vs Need (Active Courses)]],Table2[Graduates])</f>
        <v>24</v>
      </c>
      <c r="L24" s="76">
        <f>SUMIF(Table2[Course],Table3112[[#This Row],[Courses - Planned vs Need (Active Courses)]],Table2[Fail])</f>
        <v>0</v>
      </c>
      <c r="M24" s="76">
        <f>SUMIF(Table2[Course],Table3112[[#This Row],[Courses - Planned vs Need (Active Courses)]],Table2[No Shows])</f>
        <v>1</v>
      </c>
      <c r="N24" s="76">
        <f>SUMIF(Table2[Course],Table3112[[#This Row],[Courses - Planned vs Need (Active Courses)]],Table2[Walk-ins])</f>
        <v>3</v>
      </c>
    </row>
    <row r="25" spans="2:14" ht="15.75" x14ac:dyDescent="0.25">
      <c r="B25" s="136" t="s">
        <v>9</v>
      </c>
      <c r="C25" s="76"/>
      <c r="D25" s="76" t="s">
        <v>407</v>
      </c>
      <c r="E25" s="76">
        <f ca="1">COUNTIFS(Table2[Course],Table3112[[#This Row],[Courses - Planned vs Need (Active Courses)]],Table2[Remaining Courses],"0")</f>
        <v>4</v>
      </c>
      <c r="F25" s="124">
        <f ca="1">COUNTIFS(Table2[Course],Table3112[[#This Row],[Courses - Planned vs Need (Active Courses)]],Table2[Location],"Global Online",Table2[Remaining Courses],"0")</f>
        <v>2</v>
      </c>
      <c r="G25" s="76">
        <f ca="1">Table3112[[#This Row],[Course Offerings Todate]]-Table3112[[#This Row],[Online]]</f>
        <v>2</v>
      </c>
      <c r="H25" s="74">
        <v>30</v>
      </c>
      <c r="I25" s="76">
        <f ca="1">Table3112[[#This Row],[Course Offerings Todate]]*Table3112[[#This Row],[Quotas Per Convening]]</f>
        <v>120</v>
      </c>
      <c r="J25" s="76">
        <f>SUM(Table3112[[#This Row],[Total Grads]]+Table3112[[#This Row],[Fails]]+Table3112[[#This Row],[No Shows]])</f>
        <v>37</v>
      </c>
      <c r="K25" s="76">
        <f>SUMIF(Table2[Course],Table3112[[#This Row],[Courses - Planned vs Need (Active Courses)]],Table2[Graduates])</f>
        <v>36</v>
      </c>
      <c r="L25" s="76">
        <f>SUMIF(Table2[Course],Table3112[[#This Row],[Courses - Planned vs Need (Active Courses)]],Table2[Fail])</f>
        <v>0</v>
      </c>
      <c r="M25" s="76">
        <f>SUMIF(Table2[Course],Table3112[[#This Row],[Courses - Planned vs Need (Active Courses)]],Table2[No Shows])</f>
        <v>1</v>
      </c>
      <c r="N25" s="76">
        <f>SUMIF(Table2[Course],Table3112[[#This Row],[Courses - Planned vs Need (Active Courses)]],Table2[Walk-ins])</f>
        <v>0</v>
      </c>
    </row>
    <row r="26" spans="2:14" ht="15.75" x14ac:dyDescent="0.25">
      <c r="B26" s="136" t="s">
        <v>10</v>
      </c>
      <c r="C26" s="76"/>
      <c r="D26" s="76" t="s">
        <v>407</v>
      </c>
      <c r="E26" s="76">
        <f ca="1">COUNTIFS(Table2[Course],Table3112[[#This Row],[Courses - Planned vs Need (Active Courses)]],Table2[Remaining Courses],"0")</f>
        <v>2</v>
      </c>
      <c r="F26" s="124">
        <f>COUNTIFS(Table2[Course],Table3112[[#This Row],[Courses - Planned vs Need (Active Courses)]],Table2[Location],"Global Online",Table2[Remaining Courses],"0")</f>
        <v>0</v>
      </c>
      <c r="G26" s="76">
        <f ca="1">Table3112[[#This Row],[Course Offerings Todate]]-Table3112[[#This Row],[Online]]</f>
        <v>2</v>
      </c>
      <c r="H26" s="74">
        <v>25</v>
      </c>
      <c r="I26" s="76">
        <f ca="1">Table3112[[#This Row],[Course Offerings Todate]]*Table3112[[#This Row],[Quotas Per Convening]]</f>
        <v>50</v>
      </c>
      <c r="J26" s="76">
        <f>SUM(Table3112[[#This Row],[Total Grads]]+Table3112[[#This Row],[Fails]]+Table3112[[#This Row],[No Shows]])</f>
        <v>23</v>
      </c>
      <c r="K26" s="76">
        <f>SUMIF(Table2[Course],Table3112[[#This Row],[Courses - Planned vs Need (Active Courses)]],Table2[Graduates])</f>
        <v>19</v>
      </c>
      <c r="L26" s="76">
        <f>SUMIF(Table2[Course],Table3112[[#This Row],[Courses - Planned vs Need (Active Courses)]],Table2[Fail])</f>
        <v>0</v>
      </c>
      <c r="M26" s="76">
        <f>SUMIF(Table2[Course],Table3112[[#This Row],[Courses - Planned vs Need (Active Courses)]],Table2[No Shows])</f>
        <v>4</v>
      </c>
      <c r="N26" s="76">
        <f>SUMIF(Table2[Course],Table3112[[#This Row],[Courses - Planned vs Need (Active Courses)]],Table2[Walk-ins])</f>
        <v>1</v>
      </c>
    </row>
    <row r="27" spans="2:14" ht="15.75" x14ac:dyDescent="0.25">
      <c r="B27" s="136" t="s">
        <v>11</v>
      </c>
      <c r="C27" s="76"/>
      <c r="D27" s="76" t="s">
        <v>407</v>
      </c>
      <c r="E27" s="76">
        <f ca="1">COUNTIFS(Table2[Course],Table3112[[#This Row],[Courses - Planned vs Need (Active Courses)]],Table2[Remaining Courses],"0")</f>
        <v>4</v>
      </c>
      <c r="F27" s="124">
        <f ca="1">COUNTIFS(Table2[Course],Table3112[[#This Row],[Courses - Planned vs Need (Active Courses)]],Table2[Location],"Global Online",Table2[Remaining Courses],"0")</f>
        <v>2</v>
      </c>
      <c r="G27" s="76">
        <f ca="1">Table3112[[#This Row],[Course Offerings Todate]]-Table3112[[#This Row],[Online]]</f>
        <v>2</v>
      </c>
      <c r="H27" s="74">
        <v>30</v>
      </c>
      <c r="I27" s="76">
        <f ca="1">Table3112[[#This Row],[Course Offerings Todate]]*Table3112[[#This Row],[Quotas Per Convening]]</f>
        <v>120</v>
      </c>
      <c r="J27" s="76">
        <f>SUM(Table3112[[#This Row],[Total Grads]]+Table3112[[#This Row],[Fails]]+Table3112[[#This Row],[No Shows]])</f>
        <v>42</v>
      </c>
      <c r="K27" s="76">
        <f>SUMIF(Table2[Course],Table3112[[#This Row],[Courses - Planned vs Need (Active Courses)]],Table2[Graduates])</f>
        <v>40</v>
      </c>
      <c r="L27" s="76">
        <f>SUMIF(Table2[Course],Table3112[[#This Row],[Courses - Planned vs Need (Active Courses)]],Table2[Fail])</f>
        <v>0</v>
      </c>
      <c r="M27" s="76">
        <f>SUMIF(Table2[Course],Table3112[[#This Row],[Courses - Planned vs Need (Active Courses)]],Table2[No Shows])</f>
        <v>2</v>
      </c>
      <c r="N27" s="76">
        <f>SUMIF(Table2[Course],Table3112[[#This Row],[Courses - Planned vs Need (Active Courses)]],Table2[Walk-ins])</f>
        <v>0</v>
      </c>
    </row>
    <row r="28" spans="2:14" ht="15.75" x14ac:dyDescent="0.25">
      <c r="B28" s="137" t="s">
        <v>14</v>
      </c>
      <c r="C28" s="76" t="s">
        <v>53</v>
      </c>
      <c r="D28" s="76" t="s">
        <v>407</v>
      </c>
      <c r="E28" s="76">
        <f ca="1">COUNTIFS(Table2[Course],Table3112[[#This Row],[Courses - Planned vs Need (Active Courses)]],Table2[Remaining Courses],"0")</f>
        <v>9</v>
      </c>
      <c r="F28" s="124">
        <f ca="1">COUNTIFS(Table2[Course],Table3112[[#This Row],[Courses - Planned vs Need (Active Courses)]],Table2[Location],"Global Online",Table2[Remaining Courses],"0")</f>
        <v>3</v>
      </c>
      <c r="G28" s="76">
        <f ca="1">Table3112[[#This Row],[Course Offerings Todate]]-Table3112[[#This Row],[Online]]</f>
        <v>6</v>
      </c>
      <c r="H28" s="74">
        <v>25</v>
      </c>
      <c r="I28" s="76">
        <f ca="1">Table3112[[#This Row],[Course Offerings Todate]]*Table3112[[#This Row],[Quotas Per Convening]]</f>
        <v>225</v>
      </c>
      <c r="J28" s="76">
        <f>SUM(Table3112[[#This Row],[Total Grads]]+Table3112[[#This Row],[Fails]]+Table3112[[#This Row],[No Shows]])</f>
        <v>199</v>
      </c>
      <c r="K28" s="76">
        <f>SUMIF(Table2[Course],Table3112[[#This Row],[Courses - Planned vs Need (Active Courses)]],Table2[Graduates])</f>
        <v>130</v>
      </c>
      <c r="L28" s="76">
        <f>SUMIF(Table2[Course],Table3112[[#This Row],[Courses - Planned vs Need (Active Courses)]],Table2[Fail])</f>
        <v>11</v>
      </c>
      <c r="M28" s="76">
        <f>SUMIF(Table2[Course],Table3112[[#This Row],[Courses - Planned vs Need (Active Courses)]],Table2[No Shows])</f>
        <v>58</v>
      </c>
      <c r="N28" s="76">
        <f>SUMIF(Table2[Course],Table3112[[#This Row],[Courses - Planned vs Need (Active Courses)]],Table2[Walk-ins])</f>
        <v>11</v>
      </c>
    </row>
    <row r="29" spans="2:14" ht="15.75" x14ac:dyDescent="0.25">
      <c r="B29" s="136" t="s">
        <v>16</v>
      </c>
      <c r="C29" s="76"/>
      <c r="D29" s="76" t="s">
        <v>407</v>
      </c>
      <c r="E29" s="76">
        <f ca="1">COUNTIFS(Table2[Course],Table3112[[#This Row],[Courses - Planned vs Need (Active Courses)]],Table2[Remaining Courses],"0")</f>
        <v>1</v>
      </c>
      <c r="F29" s="124">
        <f>COUNTIFS(Table2[Course],Table3112[[#This Row],[Courses - Planned vs Need (Active Courses)]],Table2[Location],"Global Online",Table2[Remaining Courses],"0")</f>
        <v>0</v>
      </c>
      <c r="G29" s="76">
        <f ca="1">Table3112[[#This Row],[Course Offerings Todate]]-Table3112[[#This Row],[Online]]</f>
        <v>1</v>
      </c>
      <c r="H29" s="74">
        <v>25</v>
      </c>
      <c r="I29" s="76">
        <f ca="1">Table3112[[#This Row],[Course Offerings Todate]]*Table3112[[#This Row],[Quotas Per Convening]]</f>
        <v>25</v>
      </c>
      <c r="J29" s="76">
        <f>SUM(Table3112[[#This Row],[Total Grads]]+Table3112[[#This Row],[Fails]]+Table3112[[#This Row],[No Shows]])</f>
        <v>7</v>
      </c>
      <c r="K29" s="76">
        <f>SUMIF(Table2[Course],Table3112[[#This Row],[Courses - Planned vs Need (Active Courses)]],Table2[Graduates])</f>
        <v>7</v>
      </c>
      <c r="L29" s="76">
        <f>SUMIF(Table2[Course],Table3112[[#This Row],[Courses - Planned vs Need (Active Courses)]],Table2[Fail])</f>
        <v>0</v>
      </c>
      <c r="M29" s="76">
        <f>SUMIF(Table2[Course],Table3112[[#This Row],[Courses - Planned vs Need (Active Courses)]],Table2[No Shows])</f>
        <v>0</v>
      </c>
      <c r="N29" s="76">
        <f>SUMIF(Table2[Course],Table3112[[#This Row],[Courses - Planned vs Need (Active Courses)]],Table2[Walk-ins])</f>
        <v>3</v>
      </c>
    </row>
    <row r="30" spans="2:14" ht="15.75" x14ac:dyDescent="0.25">
      <c r="B30" s="136" t="s">
        <v>28</v>
      </c>
      <c r="C30" s="76"/>
      <c r="D30" s="76" t="s">
        <v>407</v>
      </c>
      <c r="E30" s="76">
        <f ca="1">COUNTIFS(Table2[Course],Table3112[[#This Row],[Courses - Planned vs Need (Active Courses)]],Table2[Remaining Courses],"0")</f>
        <v>6</v>
      </c>
      <c r="F30" s="124">
        <f>COUNTIFS(Table2[Course],Table3112[[#This Row],[Courses - Planned vs Need (Active Courses)]],Table2[Location],"Global Online",Table2[Remaining Courses],"0")</f>
        <v>0</v>
      </c>
      <c r="G30" s="76">
        <f ca="1">Table3112[[#This Row],[Course Offerings Todate]]-Table3112[[#This Row],[Online]]</f>
        <v>6</v>
      </c>
      <c r="H30" s="74">
        <v>25</v>
      </c>
      <c r="I30" s="76">
        <f ca="1">Table3112[[#This Row],[Course Offerings Todate]]*Table3112[[#This Row],[Quotas Per Convening]]</f>
        <v>150</v>
      </c>
      <c r="J30" s="76">
        <f>SUM(Table3112[[#This Row],[Total Grads]]+Table3112[[#This Row],[Fails]]+Table3112[[#This Row],[No Shows]])</f>
        <v>74</v>
      </c>
      <c r="K30" s="76">
        <f>SUMIF(Table2[Course],Table3112[[#This Row],[Courses - Planned vs Need (Active Courses)]],Table2[Graduates])</f>
        <v>66</v>
      </c>
      <c r="L30" s="76">
        <f>SUMIF(Table2[Course],Table3112[[#This Row],[Courses - Planned vs Need (Active Courses)]],Table2[Fail])</f>
        <v>0</v>
      </c>
      <c r="M30" s="76">
        <f>SUMIF(Table2[Course],Table3112[[#This Row],[Courses - Planned vs Need (Active Courses)]],Table2[No Shows])</f>
        <v>8</v>
      </c>
      <c r="N30" s="76">
        <f>SUMIF(Table2[Course],Table3112[[#This Row],[Courses - Planned vs Need (Active Courses)]],Table2[Walk-ins])</f>
        <v>3</v>
      </c>
    </row>
    <row r="31" spans="2:14" ht="15.75" x14ac:dyDescent="0.25">
      <c r="B31" s="136" t="s">
        <v>270</v>
      </c>
      <c r="C31" s="76"/>
      <c r="D31" s="76" t="s">
        <v>407</v>
      </c>
      <c r="E31" s="76">
        <f ca="1">COUNTIFS(Table2[Course],Table3112[[#This Row],[Courses - Planned vs Need (Active Courses)]],Table2[Remaining Courses],"0")</f>
        <v>14</v>
      </c>
      <c r="F31" s="124">
        <f ca="1">COUNTIFS(Table2[Course],Table3112[[#This Row],[Courses - Planned vs Need (Active Courses)]],Table2[Location],"Global Online",Table2[Remaining Courses],"0")</f>
        <v>14</v>
      </c>
      <c r="G31" s="76">
        <f ca="1">Table3112[[#This Row],[Course Offerings Todate]]-Table3112[[#This Row],[Online]]</f>
        <v>0</v>
      </c>
      <c r="H31" s="74">
        <v>40</v>
      </c>
      <c r="I31" s="76">
        <f ca="1">Table3112[[#This Row],[Course Offerings Todate]]*Table3112[[#This Row],[Quotas Per Convening]]</f>
        <v>560</v>
      </c>
      <c r="J31" s="76">
        <f>SUM(Table3112[[#This Row],[Total Grads]]+Table3112[[#This Row],[Fails]]+Table3112[[#This Row],[No Shows]])</f>
        <v>553</v>
      </c>
      <c r="K31" s="76">
        <f>SUMIF(Table2[Course],Table3112[[#This Row],[Courses - Planned vs Need (Active Courses)]],Table2[Graduates])</f>
        <v>442</v>
      </c>
      <c r="L31" s="76">
        <f>SUMIF(Table2[Course],Table3112[[#This Row],[Courses - Planned vs Need (Active Courses)]],Table2[Fail])</f>
        <v>12</v>
      </c>
      <c r="M31" s="76">
        <f>SUMIF(Table2[Course],Table3112[[#This Row],[Courses - Planned vs Need (Active Courses)]],Table2[No Shows])</f>
        <v>99</v>
      </c>
      <c r="N31" s="76">
        <f>SUMIF(Table2[Course],Table3112[[#This Row],[Courses - Planned vs Need (Active Courses)]],Table2[Walk-ins])</f>
        <v>10</v>
      </c>
    </row>
    <row r="32" spans="2:14" ht="15.75" x14ac:dyDescent="0.25">
      <c r="B32" s="136" t="s">
        <v>274</v>
      </c>
      <c r="C32" s="76"/>
      <c r="D32" s="76" t="s">
        <v>407</v>
      </c>
      <c r="E32" s="76">
        <f ca="1">COUNTIFS(Table2[Course],Table3112[[#This Row],[Courses - Planned vs Need (Active Courses)]],Table2[Remaining Courses],"0")</f>
        <v>9</v>
      </c>
      <c r="F32" s="124">
        <f ca="1">COUNTIFS(Table2[Course],Table3112[[#This Row],[Courses - Planned vs Need (Active Courses)]],Table2[Location],"Global Online",Table2[Remaining Courses],"0")</f>
        <v>9</v>
      </c>
      <c r="G32" s="76">
        <f ca="1">Table3112[[#This Row],[Course Offerings Todate]]-Table3112[[#This Row],[Online]]</f>
        <v>0</v>
      </c>
      <c r="H32" s="74">
        <v>30</v>
      </c>
      <c r="I32" s="76">
        <f ca="1">Table3112[[#This Row],[Course Offerings Todate]]*Table3112[[#This Row],[Quotas Per Convening]]</f>
        <v>270</v>
      </c>
      <c r="J32" s="76">
        <f>SUM(Table3112[[#This Row],[Total Grads]]+Table3112[[#This Row],[Fails]]+Table3112[[#This Row],[No Shows]])</f>
        <v>236</v>
      </c>
      <c r="K32" s="76">
        <f>SUMIF(Table2[Course],Table3112[[#This Row],[Courses - Planned vs Need (Active Courses)]],Table2[Graduates])</f>
        <v>195</v>
      </c>
      <c r="L32" s="76">
        <f>SUMIF(Table2[Course],Table3112[[#This Row],[Courses - Planned vs Need (Active Courses)]],Table2[Fail])</f>
        <v>9</v>
      </c>
      <c r="M32" s="76">
        <f>SUMIF(Table2[Course],Table3112[[#This Row],[Courses - Planned vs Need (Active Courses)]],Table2[No Shows])</f>
        <v>32</v>
      </c>
      <c r="N32" s="76">
        <f>SUMIF(Table2[Course],Table3112[[#This Row],[Courses - Planned vs Need (Active Courses)]],Table2[Walk-ins])</f>
        <v>0</v>
      </c>
    </row>
    <row r="33" spans="2:14" ht="15.75" x14ac:dyDescent="0.25">
      <c r="B33" s="136" t="s">
        <v>34</v>
      </c>
      <c r="C33" s="76"/>
      <c r="D33" s="76" t="s">
        <v>407</v>
      </c>
      <c r="E33" s="76">
        <f ca="1">COUNTIFS(Table2[Course],Table3112[[#This Row],[Courses - Planned vs Need (Active Courses)]],Table2[Remaining Courses],"0")</f>
        <v>10</v>
      </c>
      <c r="F33" s="124">
        <f ca="1">COUNTIFS(Table2[Course],Table3112[[#This Row],[Courses - Planned vs Need (Active Courses)]],Table2[Location],"Global Online",Table2[Remaining Courses],"0")</f>
        <v>10</v>
      </c>
      <c r="G33" s="76">
        <f ca="1">Table3112[[#This Row],[Course Offerings Todate]]-Table3112[[#This Row],[Online]]</f>
        <v>0</v>
      </c>
      <c r="H33" s="74">
        <v>30</v>
      </c>
      <c r="I33" s="76">
        <f ca="1">Table3112[[#This Row],[Course Offerings Todate]]*Table3112[[#This Row],[Quotas Per Convening]]</f>
        <v>300</v>
      </c>
      <c r="J33" s="76">
        <f>SUM(Table3112[[#This Row],[Total Grads]]+Table3112[[#This Row],[Fails]]+Table3112[[#This Row],[No Shows]])</f>
        <v>305</v>
      </c>
      <c r="K33" s="76">
        <f>SUMIF(Table2[Course],Table3112[[#This Row],[Courses - Planned vs Need (Active Courses)]],Table2[Graduates])</f>
        <v>248</v>
      </c>
      <c r="L33" s="76">
        <f>SUMIF(Table2[Course],Table3112[[#This Row],[Courses - Planned vs Need (Active Courses)]],Table2[Fail])</f>
        <v>11</v>
      </c>
      <c r="M33" s="76">
        <f>SUMIF(Table2[Course],Table3112[[#This Row],[Courses - Planned vs Need (Active Courses)]],Table2[No Shows])</f>
        <v>46</v>
      </c>
      <c r="N33" s="76">
        <f>SUMIF(Table2[Course],Table3112[[#This Row],[Courses - Planned vs Need (Active Courses)]],Table2[Walk-ins])</f>
        <v>0</v>
      </c>
    </row>
    <row r="34" spans="2:14" ht="15.75" x14ac:dyDescent="0.25">
      <c r="B34" s="136" t="s">
        <v>38</v>
      </c>
      <c r="C34" s="76"/>
      <c r="D34" s="76" t="s">
        <v>407</v>
      </c>
      <c r="E34" s="76">
        <f ca="1">COUNTIFS(Table2[Course],Table3112[[#This Row],[Courses - Planned vs Need (Active Courses)]],Table2[Remaining Courses],"0")</f>
        <v>21</v>
      </c>
      <c r="F34" s="124">
        <f>COUNTIFS(Table2[Course],Table3112[[#This Row],[Courses - Planned vs Need (Active Courses)]],Table2[Location],"Global Online",Table2[Remaining Courses],"0")</f>
        <v>0</v>
      </c>
      <c r="G34" s="76">
        <f ca="1">Table3112[[#This Row],[Course Offerings Todate]]-Table3112[[#This Row],[Online]]</f>
        <v>21</v>
      </c>
      <c r="H34" s="74">
        <v>30</v>
      </c>
      <c r="I34" s="76">
        <f ca="1">Table3112[[#This Row],[Course Offerings Todate]]*Table3112[[#This Row],[Quotas Per Convening]]</f>
        <v>630</v>
      </c>
      <c r="J34" s="76">
        <f>SUM(Table3112[[#This Row],[Total Grads]]+Table3112[[#This Row],[Fails]]+Table3112[[#This Row],[No Shows]])</f>
        <v>544</v>
      </c>
      <c r="K34" s="76">
        <f>SUMIF(Table2[Course],Table3112[[#This Row],[Courses - Planned vs Need (Active Courses)]],Table2[Graduates])</f>
        <v>467</v>
      </c>
      <c r="L34" s="76">
        <f>SUMIF(Table2[Course],Table3112[[#This Row],[Courses - Planned vs Need (Active Courses)]],Table2[Fail])</f>
        <v>1</v>
      </c>
      <c r="M34" s="76">
        <f>SUMIF(Table2[Course],Table3112[[#This Row],[Courses - Planned vs Need (Active Courses)]],Table2[No Shows])</f>
        <v>76</v>
      </c>
      <c r="N34" s="76">
        <f>SUMIF(Table2[Course],Table3112[[#This Row],[Courses - Planned vs Need (Active Courses)]],Table2[Walk-ins])</f>
        <v>28</v>
      </c>
    </row>
    <row r="35" spans="2:14" ht="15.75" x14ac:dyDescent="0.25">
      <c r="B35" s="136" t="s">
        <v>327</v>
      </c>
      <c r="C35" s="76"/>
      <c r="D35" s="76" t="s">
        <v>407</v>
      </c>
      <c r="E35" s="76">
        <f ca="1">COUNTIFS(Table2[Course],Table3112[[#This Row],[Courses - Planned vs Need (Active Courses)]],Table2[Remaining Courses],"0")</f>
        <v>4</v>
      </c>
      <c r="F35" s="124">
        <f ca="1">COUNTIFS(Table2[Course],Table3112[[#This Row],[Courses - Planned vs Need (Active Courses)]],Table2[Location],"Global Online",Table2[Remaining Courses],"0")</f>
        <v>4</v>
      </c>
      <c r="G35" s="76">
        <f ca="1">Table3112[[#This Row],[Course Offerings Todate]]-Table3112[[#This Row],[Online]]</f>
        <v>0</v>
      </c>
      <c r="H35" s="74">
        <v>25</v>
      </c>
      <c r="I35" s="76">
        <f ca="1">Table3112[[#This Row],[Course Offerings Todate]]*Table3112[[#This Row],[Quotas Per Convening]]</f>
        <v>100</v>
      </c>
      <c r="J35" s="76">
        <f>SUM(Table3112[[#This Row],[Total Grads]]+Table3112[[#This Row],[Fails]]+Table3112[[#This Row],[No Shows]])</f>
        <v>28</v>
      </c>
      <c r="K35" s="76">
        <f>SUMIF(Table2[Course],Table3112[[#This Row],[Courses - Planned vs Need (Active Courses)]],Table2[Graduates])</f>
        <v>22</v>
      </c>
      <c r="L35" s="76">
        <f>SUMIF(Table2[Course],Table3112[[#This Row],[Courses - Planned vs Need (Active Courses)]],Table2[Fail])</f>
        <v>0</v>
      </c>
      <c r="M35" s="76">
        <f>SUMIF(Table2[Course],Table3112[[#This Row],[Courses - Planned vs Need (Active Courses)]],Table2[No Shows])</f>
        <v>6</v>
      </c>
      <c r="N35" s="76">
        <f>SUMIF(Table2[Course],Table3112[[#This Row],[Courses - Planned vs Need (Active Courses)]],Table2[Walk-ins])</f>
        <v>1</v>
      </c>
    </row>
    <row r="36" spans="2:14" ht="15.75" x14ac:dyDescent="0.25">
      <c r="B36" s="137" t="s">
        <v>236</v>
      </c>
      <c r="C36" s="76" t="s">
        <v>53</v>
      </c>
      <c r="D36" s="76" t="s">
        <v>407</v>
      </c>
      <c r="E36" s="76">
        <f ca="1">COUNTIFS(Table2[Course],Table3112[[#This Row],[Courses - Planned vs Need (Active Courses)]],Table2[Remaining Courses],"0")</f>
        <v>28</v>
      </c>
      <c r="F36" s="124">
        <f>COUNTIFS(Table2[Course],Table3112[[#This Row],[Courses - Planned vs Need (Active Courses)]],Table2[Location],"Global Online",Table2[Remaining Courses],"0")</f>
        <v>0</v>
      </c>
      <c r="G36" s="76">
        <f ca="1">Table3112[[#This Row],[Course Offerings Todate]]-Table3112[[#This Row],[Online]]</f>
        <v>28</v>
      </c>
      <c r="H36" s="74">
        <v>25</v>
      </c>
      <c r="I36" s="76">
        <f ca="1">Table3112[[#This Row],[Course Offerings Todate]]*Table3112[[#This Row],[Quotas Per Convening]]</f>
        <v>700</v>
      </c>
      <c r="J36" s="76">
        <f>SUM(Table3112[[#This Row],[Total Grads]]+Table3112[[#This Row],[Fails]]+Table3112[[#This Row],[No Shows]])</f>
        <v>581</v>
      </c>
      <c r="K36" s="76">
        <f>SUMIF(Table2[Course],Table3112[[#This Row],[Courses - Planned vs Need (Active Courses)]],Table2[Graduates])</f>
        <v>446</v>
      </c>
      <c r="L36" s="76">
        <f>SUMIF(Table2[Course],Table3112[[#This Row],[Courses - Planned vs Need (Active Courses)]],Table2[Fail])</f>
        <v>0</v>
      </c>
      <c r="M36" s="76">
        <f>SUMIF(Table2[Course],Table3112[[#This Row],[Courses - Planned vs Need (Active Courses)]],Table2[No Shows])</f>
        <v>135</v>
      </c>
      <c r="N36" s="76">
        <f>SUMIF(Table2[Course],Table3112[[#This Row],[Courses - Planned vs Need (Active Courses)]],Table2[Walk-ins])</f>
        <v>19</v>
      </c>
    </row>
    <row r="37" spans="2:14" ht="15.75" x14ac:dyDescent="0.25">
      <c r="B37" s="137" t="s">
        <v>15</v>
      </c>
      <c r="C37" s="76" t="s">
        <v>53</v>
      </c>
      <c r="D37" s="76" t="s">
        <v>407</v>
      </c>
      <c r="E37" s="76">
        <f ca="1">COUNTIFS(Table2[Course],Table3112[[#This Row],[Courses - Planned vs Need (Active Courses)]],Table2[Remaining Courses],"0")</f>
        <v>6</v>
      </c>
      <c r="F37" s="124">
        <f>COUNTIFS(Table2[Course],Table3112[[#This Row],[Courses - Planned vs Need (Active Courses)]],Table2[Location],"Global Online",Table2[Remaining Courses],"0")</f>
        <v>0</v>
      </c>
      <c r="G37" s="76">
        <f ca="1">Table3112[[#This Row],[Course Offerings Todate]]-Table3112[[#This Row],[Online]]</f>
        <v>6</v>
      </c>
      <c r="H37" s="74">
        <v>35</v>
      </c>
      <c r="I37" s="76">
        <f ca="1">Table3112[[#This Row],[Course Offerings Todate]]*Table3112[[#This Row],[Quotas Per Convening]]</f>
        <v>210</v>
      </c>
      <c r="J37" s="76">
        <f>SUM(Table3112[[#This Row],[Total Grads]]+Table3112[[#This Row],[Fails]]+Table3112[[#This Row],[No Shows]])</f>
        <v>140</v>
      </c>
      <c r="K37" s="76">
        <f>SUMIF(Table2[Course],Table3112[[#This Row],[Courses - Planned vs Need (Active Courses)]],Table2[Graduates])</f>
        <v>114</v>
      </c>
      <c r="L37" s="76">
        <f>SUMIF(Table2[Course],Table3112[[#This Row],[Courses - Planned vs Need (Active Courses)]],Table2[Fail])</f>
        <v>1</v>
      </c>
      <c r="M37" s="76">
        <f>SUMIF(Table2[Course],Table3112[[#This Row],[Courses - Planned vs Need (Active Courses)]],Table2[No Shows])</f>
        <v>25</v>
      </c>
      <c r="N37" s="76">
        <f>SUMIF(Table2[Course],Table3112[[#This Row],[Courses - Planned vs Need (Active Courses)]],Table2[Walk-ins])</f>
        <v>11</v>
      </c>
    </row>
    <row r="38" spans="2:14" ht="15.75" x14ac:dyDescent="0.25">
      <c r="B38" s="136" t="s">
        <v>19</v>
      </c>
      <c r="C38" s="76"/>
      <c r="D38" s="76" t="s">
        <v>407</v>
      </c>
      <c r="E38" s="76">
        <f ca="1">COUNTIFS(Table2[Course],Table3112[[#This Row],[Courses - Planned vs Need (Active Courses)]],Table2[Remaining Courses],"0")</f>
        <v>16</v>
      </c>
      <c r="F38" s="124">
        <f ca="1">COUNTIFS(Table2[Course],Table3112[[#This Row],[Courses - Planned vs Need (Active Courses)]],Table2[Location],"Global Online",Table2[Remaining Courses],"0")</f>
        <v>16</v>
      </c>
      <c r="G38" s="76">
        <f ca="1">Table3112[[#This Row],[Course Offerings Todate]]-Table3112[[#This Row],[Online]]</f>
        <v>0</v>
      </c>
      <c r="H38" s="74">
        <v>45</v>
      </c>
      <c r="I38" s="76">
        <f ca="1">Table3112[[#This Row],[Course Offerings Todate]]*Table3112[[#This Row],[Quotas Per Convening]]</f>
        <v>720</v>
      </c>
      <c r="J38" s="76">
        <f>SUM(Table3112[[#This Row],[Total Grads]]+Table3112[[#This Row],[Fails]]+Table3112[[#This Row],[No Shows]])</f>
        <v>527</v>
      </c>
      <c r="K38" s="76">
        <f>SUMIF(Table2[Course],Table3112[[#This Row],[Courses - Planned vs Need (Active Courses)]],Table2[Graduates])</f>
        <v>448</v>
      </c>
      <c r="L38" s="76">
        <f>SUMIF(Table2[Course],Table3112[[#This Row],[Courses - Planned vs Need (Active Courses)]],Table2[Fail])</f>
        <v>2</v>
      </c>
      <c r="M38" s="76">
        <f>SUMIF(Table2[Course],Table3112[[#This Row],[Courses - Planned vs Need (Active Courses)]],Table2[No Shows])</f>
        <v>77</v>
      </c>
      <c r="N38" s="76">
        <f>SUMIF(Table2[Course],Table3112[[#This Row],[Courses - Planned vs Need (Active Courses)]],Table2[Walk-ins])</f>
        <v>1</v>
      </c>
    </row>
    <row r="39" spans="2:14" ht="15.75" x14ac:dyDescent="0.25">
      <c r="B39" s="137" t="s">
        <v>20</v>
      </c>
      <c r="C39" s="76" t="s">
        <v>53</v>
      </c>
      <c r="D39" s="76" t="s">
        <v>407</v>
      </c>
      <c r="E39" s="76">
        <f ca="1">COUNTIFS(Table2[Course],Table3112[[#This Row],[Courses - Planned vs Need (Active Courses)]],Table2[Remaining Courses],"0")</f>
        <v>7</v>
      </c>
      <c r="F39" s="124">
        <f>COUNTIFS(Table2[Course],Table3112[[#This Row],[Courses - Planned vs Need (Active Courses)]],Table2[Location],"Global Online",Table2[Remaining Courses],"0")</f>
        <v>0</v>
      </c>
      <c r="G39" s="76">
        <f ca="1">Table3112[[#This Row],[Course Offerings Todate]]-Table3112[[#This Row],[Online]]</f>
        <v>7</v>
      </c>
      <c r="H39" s="74">
        <v>30</v>
      </c>
      <c r="I39" s="76">
        <f ca="1">Table3112[[#This Row],[Course Offerings Todate]]*Table3112[[#This Row],[Quotas Per Convening]]</f>
        <v>210</v>
      </c>
      <c r="J39" s="76">
        <f>SUM(Table3112[[#This Row],[Total Grads]]+Table3112[[#This Row],[Fails]]+Table3112[[#This Row],[No Shows]])</f>
        <v>117</v>
      </c>
      <c r="K39" s="76">
        <f>SUMIF(Table2[Course],Table3112[[#This Row],[Courses - Planned vs Need (Active Courses)]],Table2[Graduates])</f>
        <v>83</v>
      </c>
      <c r="L39" s="76">
        <f>SUMIF(Table2[Course],Table3112[[#This Row],[Courses - Planned vs Need (Active Courses)]],Table2[Fail])</f>
        <v>0</v>
      </c>
      <c r="M39" s="76">
        <f>SUMIF(Table2[Course],Table3112[[#This Row],[Courses - Planned vs Need (Active Courses)]],Table2[No Shows])</f>
        <v>34</v>
      </c>
      <c r="N39" s="76">
        <f>SUMIF(Table2[Course],Table3112[[#This Row],[Courses - Planned vs Need (Active Courses)]],Table2[Walk-ins])</f>
        <v>2</v>
      </c>
    </row>
    <row r="40" spans="2:14" ht="15.75" x14ac:dyDescent="0.25">
      <c r="B40" s="136" t="s">
        <v>243</v>
      </c>
      <c r="C40" s="76"/>
      <c r="D40" s="76" t="s">
        <v>407</v>
      </c>
      <c r="E40" s="76">
        <f ca="1">COUNTIFS(Table2[Course],Table3112[[#This Row],[Courses - Planned vs Need (Active Courses)]],Table2[Remaining Courses],"0")</f>
        <v>15</v>
      </c>
      <c r="F40" s="124">
        <f ca="1">COUNTIFS(Table2[Course],Table3112[[#This Row],[Courses - Planned vs Need (Active Courses)]],Table2[Location],"Global Online",Table2[Remaining Courses],"0")</f>
        <v>15</v>
      </c>
      <c r="G40" s="76">
        <f ca="1">Table3112[[#This Row],[Course Offerings Todate]]-Table3112[[#This Row],[Online]]</f>
        <v>0</v>
      </c>
      <c r="H40" s="74">
        <v>45</v>
      </c>
      <c r="I40" s="76">
        <f ca="1">Table3112[[#This Row],[Course Offerings Todate]]*Table3112[[#This Row],[Quotas Per Convening]]</f>
        <v>675</v>
      </c>
      <c r="J40" s="76">
        <f>SUM(Table3112[[#This Row],[Total Grads]]+Table3112[[#This Row],[Fails]]+Table3112[[#This Row],[No Shows]])</f>
        <v>431</v>
      </c>
      <c r="K40" s="76">
        <f>SUMIF(Table2[Course],Table3112[[#This Row],[Courses - Planned vs Need (Active Courses)]],Table2[Graduates])</f>
        <v>360</v>
      </c>
      <c r="L40" s="76">
        <f>SUMIF(Table2[Course],Table3112[[#This Row],[Courses - Planned vs Need (Active Courses)]],Table2[Fail])</f>
        <v>3</v>
      </c>
      <c r="M40" s="76">
        <f>SUMIF(Table2[Course],Table3112[[#This Row],[Courses - Planned vs Need (Active Courses)]],Table2[No Shows])</f>
        <v>68</v>
      </c>
      <c r="N40" s="76">
        <f>SUMIF(Table2[Course],Table3112[[#This Row],[Courses - Planned vs Need (Active Courses)]],Table2[Walk-ins])</f>
        <v>3</v>
      </c>
    </row>
    <row r="41" spans="2:14" ht="15.75" x14ac:dyDescent="0.25">
      <c r="B41" s="136" t="s">
        <v>281</v>
      </c>
      <c r="C41" s="76"/>
      <c r="D41" s="76" t="s">
        <v>407</v>
      </c>
      <c r="E41" s="76">
        <f ca="1">COUNTIFS(Table2[Course],Table3112[[#This Row],[Courses - Planned vs Need (Active Courses)]],Table2[Remaining Courses],"0")</f>
        <v>19</v>
      </c>
      <c r="F41" s="124">
        <f ca="1">COUNTIFS(Table2[Course],Table3112[[#This Row],[Courses - Planned vs Need (Active Courses)]],Table2[Location],"Global Online",Table2[Remaining Courses],"0")</f>
        <v>19</v>
      </c>
      <c r="G41" s="76">
        <f ca="1">Table3112[[#This Row],[Course Offerings Todate]]-Table3112[[#This Row],[Online]]</f>
        <v>0</v>
      </c>
      <c r="H41" s="74">
        <v>45</v>
      </c>
      <c r="I41" s="76">
        <f ca="1">Table3112[[#This Row],[Course Offerings Todate]]*Table3112[[#This Row],[Quotas Per Convening]]</f>
        <v>855</v>
      </c>
      <c r="J41" s="76">
        <f>SUM(Table3112[[#This Row],[Total Grads]]+Table3112[[#This Row],[Fails]]+Table3112[[#This Row],[No Shows]])</f>
        <v>757</v>
      </c>
      <c r="K41" s="76">
        <f>SUMIF(Table2[Course],Table3112[[#This Row],[Courses - Planned vs Need (Active Courses)]],Table2[Graduates])</f>
        <v>599</v>
      </c>
      <c r="L41" s="76">
        <f>SUMIF(Table2[Course],Table3112[[#This Row],[Courses - Planned vs Need (Active Courses)]],Table2[Fail])</f>
        <v>8</v>
      </c>
      <c r="M41" s="76">
        <f>SUMIF(Table2[Course],Table3112[[#This Row],[Courses - Planned vs Need (Active Courses)]],Table2[No Shows])</f>
        <v>150</v>
      </c>
      <c r="N41" s="76">
        <f>SUMIF(Table2[Course],Table3112[[#This Row],[Courses - Planned vs Need (Active Courses)]],Table2[Walk-ins])</f>
        <v>16</v>
      </c>
    </row>
    <row r="42" spans="2:14" ht="15.75" x14ac:dyDescent="0.25">
      <c r="B42" s="137" t="s">
        <v>288</v>
      </c>
      <c r="C42" s="76" t="s">
        <v>53</v>
      </c>
      <c r="D42" s="76" t="s">
        <v>407</v>
      </c>
      <c r="E42" s="76">
        <f ca="1">COUNTIFS(Table2[Course],Table3112[[#This Row],[Courses - Planned vs Need (Active Courses)]],Table2[Remaining Courses],"0")</f>
        <v>9</v>
      </c>
      <c r="F42" s="124">
        <f ca="1">COUNTIFS(Table2[Course],Table3112[[#This Row],[Courses - Planned vs Need (Active Courses)]],Table2[Location],"Global Online",Table2[Remaining Courses],"0")</f>
        <v>9</v>
      </c>
      <c r="G42" s="76">
        <f ca="1">Table3112[[#This Row],[Course Offerings Todate]]-Table3112[[#This Row],[Online]]</f>
        <v>0</v>
      </c>
      <c r="H42" s="74">
        <v>30</v>
      </c>
      <c r="I42" s="76">
        <f ca="1">Table3112[[#This Row],[Course Offerings Todate]]*Table3112[[#This Row],[Quotas Per Convening]]</f>
        <v>270</v>
      </c>
      <c r="J42" s="76">
        <f>SUM(Table3112[[#This Row],[Total Grads]]+Table3112[[#This Row],[Fails]]+Table3112[[#This Row],[No Shows]])</f>
        <v>181</v>
      </c>
      <c r="K42" s="76">
        <f>SUMIF(Table2[Course],Table3112[[#This Row],[Courses - Planned vs Need (Active Courses)]],Table2[Graduates])</f>
        <v>142</v>
      </c>
      <c r="L42" s="76">
        <f>SUMIF(Table2[Course],Table3112[[#This Row],[Courses - Planned vs Need (Active Courses)]],Table2[Fail])</f>
        <v>0</v>
      </c>
      <c r="M42" s="76">
        <f>SUMIF(Table2[Course],Table3112[[#This Row],[Courses - Planned vs Need (Active Courses)]],Table2[No Shows])</f>
        <v>39</v>
      </c>
      <c r="N42" s="76">
        <f>SUMIF(Table2[Course],Table3112[[#This Row],[Courses - Planned vs Need (Active Courses)]],Table2[Walk-ins])</f>
        <v>0</v>
      </c>
    </row>
    <row r="43" spans="2:14" ht="15.75" x14ac:dyDescent="0.25">
      <c r="B43" s="235"/>
      <c r="C43" s="236"/>
      <c r="D43" s="236"/>
      <c r="E43" s="237">
        <f>COUNTIFS(Table2[Course],Table3112[[#This Row],[Courses - Planned vs Need (Active Courses)]],Table2[Remaining Courses],"0")</f>
        <v>0</v>
      </c>
      <c r="F43" s="238">
        <f>COUNTIFS(Table2[Course],Table3112[[#This Row],[Courses - Planned vs Need (Active Courses)]],Table2[Location],"Global Online",Table2[Remaining Courses],"0")</f>
        <v>0</v>
      </c>
      <c r="G43" s="239">
        <f>Table3112[[#This Row],[Course Offerings Todate]]-Table3112[[#This Row],[Online]]</f>
        <v>0</v>
      </c>
      <c r="H43" s="236"/>
      <c r="I43" s="236">
        <f>Table3112[[#This Row],[Course Offerings Todate]]*Table3112[[#This Row],[Quotas Per Convening]]</f>
        <v>0</v>
      </c>
      <c r="J43" s="236">
        <f>SUM(Table3112[[#This Row],[Total Grads]]+Table3112[[#This Row],[Fails]]+Table3112[[#This Row],[No Shows]])</f>
        <v>0</v>
      </c>
      <c r="K43" s="236">
        <f>SUMIF(Table2[Course],Table3112[[#This Row],[Courses - Planned vs Need (Active Courses)]],Table2[Graduates])</f>
        <v>0</v>
      </c>
      <c r="L43" s="236">
        <f>SUMIF(Table2[Course],Table3112[[#This Row],[Courses - Planned vs Need (Active Courses)]],Table2[Fail])</f>
        <v>0</v>
      </c>
      <c r="M43" s="236">
        <f>SUMIF(Table2[Course],Table3112[[#This Row],[Courses - Planned vs Need (Active Courses)]],Table2[No Shows])</f>
        <v>0</v>
      </c>
      <c r="N43" s="236">
        <f>SUMIF(Table2[Course],Table3112[[#This Row],[Courses - Planned vs Need (Active Courses)]],Table2[Walk-ins])</f>
        <v>0</v>
      </c>
    </row>
    <row r="44" spans="2:14" ht="15.75" x14ac:dyDescent="0.25">
      <c r="B44" s="136" t="s">
        <v>292</v>
      </c>
      <c r="C44" s="76"/>
      <c r="D44" s="76" t="s">
        <v>407</v>
      </c>
      <c r="E44" s="76">
        <f ca="1">COUNTIFS(Table2[Course],Table3112[[#This Row],[Courses - Planned vs Need (Active Courses)]],Table2[Remaining Courses],"0")</f>
        <v>21</v>
      </c>
      <c r="F44" s="124">
        <f ca="1">COUNTIFS(Table2[Course],Table3112[[#This Row],[Courses - Planned vs Need (Active Courses)]],Table2[Location],"Global Online",Table2[Remaining Courses],"0")</f>
        <v>21</v>
      </c>
      <c r="G44" s="76">
        <f ca="1">Table3112[[#This Row],[Course Offerings Todate]]-Table3112[[#This Row],[Online]]</f>
        <v>0</v>
      </c>
      <c r="H44" s="74">
        <v>45</v>
      </c>
      <c r="I44" s="76">
        <f ca="1">Table3112[[#This Row],[Course Offerings Todate]]*Table3112[[#This Row],[Quotas Per Convening]]</f>
        <v>945</v>
      </c>
      <c r="J44" s="76">
        <f>SUM(Table3112[[#This Row],[Total Grads]]+Table3112[[#This Row],[Fails]]+Table3112[[#This Row],[No Shows]])</f>
        <v>719</v>
      </c>
      <c r="K44" s="76">
        <f>SUMIF(Table2[Course],Table3112[[#This Row],[Courses - Planned vs Need (Active Courses)]],Table2[Graduates])</f>
        <v>627</v>
      </c>
      <c r="L44" s="76">
        <f>SUMIF(Table2[Course],Table3112[[#This Row],[Courses - Planned vs Need (Active Courses)]],Table2[Fail])</f>
        <v>5</v>
      </c>
      <c r="M44" s="76">
        <f>SUMIF(Table2[Course],Table3112[[#This Row],[Courses - Planned vs Need (Active Courses)]],Table2[No Shows])</f>
        <v>87</v>
      </c>
      <c r="N44" s="76">
        <f>SUMIF(Table2[Course],Table3112[[#This Row],[Courses - Planned vs Need (Active Courses)]],Table2[Walk-ins])</f>
        <v>3</v>
      </c>
    </row>
    <row r="45" spans="2:14" ht="15.75" x14ac:dyDescent="0.25">
      <c r="B45" s="139" t="s">
        <v>58</v>
      </c>
      <c r="C45" s="130"/>
      <c r="D45" s="130"/>
      <c r="E45" s="130">
        <f ca="1">SUM(Table3112[Course Offerings Todate])</f>
        <v>368</v>
      </c>
      <c r="F45" s="131">
        <f ca="1">SUM(Table3112[Online])</f>
        <v>199</v>
      </c>
      <c r="G45" s="131">
        <f ca="1">SUM(Table3112[Resident])</f>
        <v>169</v>
      </c>
      <c r="H45" s="131"/>
      <c r="I45" s="131"/>
      <c r="J45" s="131"/>
      <c r="K45" s="131">
        <f>SUM(Table3112[Total Grads])</f>
        <v>8506</v>
      </c>
      <c r="L45" s="131">
        <f>SUBTOTAL(109,Table3112[Fails])</f>
        <v>174</v>
      </c>
      <c r="M45" s="131">
        <f>SUM(Table3112[No Shows])</f>
        <v>1754</v>
      </c>
      <c r="N45" s="131">
        <f>SUM(Table3112[Walk-ins])</f>
        <v>619</v>
      </c>
    </row>
  </sheetData>
  <mergeCells count="2">
    <mergeCell ref="B4:G4"/>
    <mergeCell ref="K4:N4"/>
  </mergeCells>
  <conditionalFormatting sqref="C6:G6 I6:M6 C7:D15 G7:G15 I7:I15 E7:F44 J7:M44 C18:D44 G18:G44 I18:I44">
    <cfRule type="cellIs" dxfId="353" priority="3" operator="lessThan">
      <formula>0</formula>
    </cfRule>
  </conditionalFormatting>
  <conditionalFormatting sqref="H6:H15">
    <cfRule type="cellIs" dxfId="352" priority="2" operator="lessThan">
      <formula>0</formula>
    </cfRule>
  </conditionalFormatting>
  <conditionalFormatting sqref="H18:H44">
    <cfRule type="cellIs" dxfId="351" priority="1" operator="lessThan">
      <formula>0</formula>
    </cfRule>
  </conditionalFormatting>
  <dataValidations count="1">
    <dataValidation type="list" allowBlank="1" showInputMessage="1" showErrorMessage="1" sqref="B6:B15 B18:B44" xr:uid="{00000000-0002-0000-0B00-000000000000}">
      <formula1>Class</formula1>
    </dataValidation>
  </dataValidation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F8"/>
  <sheetViews>
    <sheetView workbookViewId="0">
      <selection activeCell="B8" sqref="B8"/>
    </sheetView>
  </sheetViews>
  <sheetFormatPr defaultRowHeight="15" x14ac:dyDescent="0.25"/>
  <cols>
    <col min="1" max="1" width="18" customWidth="1"/>
    <col min="2" max="2" width="18.42578125" customWidth="1"/>
    <col min="3" max="3" width="11" customWidth="1"/>
    <col min="4" max="4" width="16.85546875" customWidth="1"/>
    <col min="5" max="7" width="18.140625" bestFit="1" customWidth="1"/>
    <col min="8" max="8" width="11.28515625" bestFit="1" customWidth="1"/>
  </cols>
  <sheetData>
    <row r="1" spans="1:6" x14ac:dyDescent="0.25">
      <c r="A1" s="6" t="s">
        <v>177</v>
      </c>
      <c r="B1" t="s">
        <v>408</v>
      </c>
    </row>
    <row r="3" spans="1:6" x14ac:dyDescent="0.25">
      <c r="A3" t="s">
        <v>409</v>
      </c>
      <c r="B3" t="s">
        <v>410</v>
      </c>
      <c r="C3" t="s">
        <v>411</v>
      </c>
      <c r="D3" t="s">
        <v>412</v>
      </c>
    </row>
    <row r="4" spans="1:6" x14ac:dyDescent="0.25">
      <c r="A4" s="294">
        <v>11450</v>
      </c>
      <c r="B4" s="295">
        <v>7766</v>
      </c>
      <c r="C4" s="294">
        <v>159</v>
      </c>
      <c r="D4" s="294">
        <v>1571</v>
      </c>
    </row>
    <row r="5" spans="1:6" x14ac:dyDescent="0.25">
      <c r="B5" s="5" t="s">
        <v>413</v>
      </c>
    </row>
    <row r="7" spans="1:6" x14ac:dyDescent="0.25">
      <c r="D7" s="98" t="s">
        <v>414</v>
      </c>
      <c r="E7" s="98">
        <f>GETPIVOTDATA("Sum of Graduates",$A$3)+GETPIVOTDATA("Sum of Fail",$A$3)</f>
        <v>7925</v>
      </c>
      <c r="F7" s="99">
        <f>E7/GETPIVOTDATA("Sum of Quotas",$A$3)</f>
        <v>0.69213973799126638</v>
      </c>
    </row>
    <row r="8" spans="1:6" x14ac:dyDescent="0.25">
      <c r="D8" s="98" t="s">
        <v>415</v>
      </c>
      <c r="E8" s="98">
        <f>GETPIVOTDATA("Sum of Graduates",$A$3)+GETPIVOTDATA("Sum of Fail",$A$3)+GETPIVOTDATA("Sum of No Shows",$A$3)</f>
        <v>9496</v>
      </c>
      <c r="F8" s="99">
        <f>E8/GETPIVOTDATA("Sum of Quotas",$A$3)</f>
        <v>0.82934497816593888</v>
      </c>
    </row>
  </sheetData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59"/>
  <sheetViews>
    <sheetView topLeftCell="A145" workbookViewId="0">
      <selection activeCell="B158" sqref="B158"/>
    </sheetView>
  </sheetViews>
  <sheetFormatPr defaultRowHeight="15" customHeight="1" x14ac:dyDescent="0.25"/>
  <cols>
    <col min="1" max="1" width="23.5703125" customWidth="1"/>
    <col min="2" max="2" width="50.85546875" bestFit="1" customWidth="1"/>
    <col min="3" max="3" width="11.28515625" bestFit="1" customWidth="1"/>
    <col min="4" max="4" width="13.28515625" customWidth="1"/>
    <col min="5" max="5" width="25.42578125" customWidth="1"/>
    <col min="6" max="6" width="11.42578125" style="217" bestFit="1" customWidth="1"/>
    <col min="7" max="7" width="11.42578125" bestFit="1" customWidth="1"/>
    <col min="8" max="8" width="20.42578125" customWidth="1"/>
  </cols>
  <sheetData>
    <row r="1" spans="1:8" ht="30" x14ac:dyDescent="0.25">
      <c r="A1" s="200" t="s">
        <v>388</v>
      </c>
      <c r="B1" s="201" t="s">
        <v>97</v>
      </c>
      <c r="C1" s="200" t="s">
        <v>167</v>
      </c>
      <c r="D1" s="202" t="s">
        <v>416</v>
      </c>
      <c r="E1" s="200" t="s">
        <v>175</v>
      </c>
      <c r="F1" s="212" t="s">
        <v>417</v>
      </c>
      <c r="G1" s="112" t="s">
        <v>418</v>
      </c>
      <c r="H1" s="112" t="s">
        <v>419</v>
      </c>
    </row>
    <row r="2" spans="1:8" x14ac:dyDescent="0.25">
      <c r="A2" s="9" t="s">
        <v>420</v>
      </c>
      <c r="B2" s="10" t="s">
        <v>28</v>
      </c>
      <c r="C2" s="2" t="e">
        <f>VLOOKUP(Table2[[#This Row],[Course]],Data!$A$1:$E$56,2,FALSE)</f>
        <v>#VALUE!</v>
      </c>
      <c r="D2" s="3">
        <v>5891</v>
      </c>
      <c r="E2" s="199" t="s">
        <v>421</v>
      </c>
      <c r="F2" s="213">
        <v>45209</v>
      </c>
      <c r="G2" s="11">
        <v>45211</v>
      </c>
      <c r="H2" s="172">
        <v>0.33333333333333331</v>
      </c>
    </row>
    <row r="3" spans="1:8" x14ac:dyDescent="0.25">
      <c r="A3" t="s">
        <v>422</v>
      </c>
      <c r="B3" t="s">
        <v>423</v>
      </c>
      <c r="C3" t="s">
        <v>218</v>
      </c>
      <c r="D3" s="210" t="s">
        <v>219</v>
      </c>
      <c r="E3" t="s">
        <v>124</v>
      </c>
      <c r="F3" s="213">
        <v>45215</v>
      </c>
      <c r="G3" s="11">
        <v>45219</v>
      </c>
      <c r="H3" s="172">
        <v>0.33333333333333331</v>
      </c>
    </row>
    <row r="4" spans="1:8" x14ac:dyDescent="0.25">
      <c r="A4" s="9" t="s">
        <v>424</v>
      </c>
      <c r="B4" s="10" t="s">
        <v>236</v>
      </c>
      <c r="C4" s="2" t="s">
        <v>237</v>
      </c>
      <c r="D4" s="210" t="s">
        <v>238</v>
      </c>
      <c r="E4" s="105" t="s">
        <v>133</v>
      </c>
      <c r="F4" s="213">
        <v>45222</v>
      </c>
      <c r="G4" s="11">
        <v>45226</v>
      </c>
      <c r="H4" s="172">
        <v>0.33333333333333331</v>
      </c>
    </row>
    <row r="5" spans="1:8" x14ac:dyDescent="0.25">
      <c r="A5" s="9" t="s">
        <v>425</v>
      </c>
      <c r="B5" s="10" t="s">
        <v>16</v>
      </c>
      <c r="C5" s="2" t="str">
        <f>VLOOKUP(Table2[[#This Row],[Course]],Data!$A$1:$E$56,2,FALSE)</f>
        <v>A-493-0103</v>
      </c>
      <c r="D5" s="3" t="s">
        <v>230</v>
      </c>
      <c r="E5" s="105" t="s">
        <v>140</v>
      </c>
      <c r="F5" s="213">
        <v>45237</v>
      </c>
      <c r="G5" s="11">
        <v>45238</v>
      </c>
      <c r="H5" s="172">
        <v>0.33333333333333331</v>
      </c>
    </row>
    <row r="6" spans="1:8" x14ac:dyDescent="0.25">
      <c r="A6" t="s">
        <v>426</v>
      </c>
      <c r="B6" t="s">
        <v>236</v>
      </c>
      <c r="C6" t="s">
        <v>237</v>
      </c>
      <c r="D6" s="210" t="s">
        <v>238</v>
      </c>
      <c r="E6" t="s">
        <v>111</v>
      </c>
      <c r="F6" s="213">
        <v>45243</v>
      </c>
      <c r="G6" s="11">
        <v>45247</v>
      </c>
      <c r="H6" s="172">
        <v>800</v>
      </c>
    </row>
    <row r="7" spans="1:8" x14ac:dyDescent="0.25">
      <c r="A7" s="9"/>
      <c r="B7" s="10" t="s">
        <v>24</v>
      </c>
      <c r="C7" s="2" t="s">
        <v>255</v>
      </c>
      <c r="D7" s="3" t="s">
        <v>256</v>
      </c>
      <c r="E7" s="10" t="s">
        <v>116</v>
      </c>
      <c r="F7" s="215">
        <v>45244</v>
      </c>
      <c r="G7" s="103">
        <v>45244</v>
      </c>
      <c r="H7" s="172"/>
    </row>
    <row r="8" spans="1:8" x14ac:dyDescent="0.25">
      <c r="A8" t="s">
        <v>426</v>
      </c>
      <c r="B8" t="s">
        <v>236</v>
      </c>
      <c r="C8" t="s">
        <v>237</v>
      </c>
      <c r="D8" s="210" t="s">
        <v>238</v>
      </c>
      <c r="E8" t="s">
        <v>220</v>
      </c>
      <c r="F8" s="213">
        <v>45264</v>
      </c>
      <c r="G8" s="11">
        <v>45268</v>
      </c>
      <c r="H8" s="172">
        <v>0.33333333333333331</v>
      </c>
    </row>
    <row r="9" spans="1:8" x14ac:dyDescent="0.25">
      <c r="A9" t="s">
        <v>427</v>
      </c>
      <c r="B9" t="s">
        <v>236</v>
      </c>
      <c r="C9" t="s">
        <v>237</v>
      </c>
      <c r="D9" s="210" t="s">
        <v>238</v>
      </c>
      <c r="E9" t="s">
        <v>254</v>
      </c>
      <c r="F9" s="213">
        <v>45264</v>
      </c>
      <c r="G9" s="11">
        <v>45268</v>
      </c>
      <c r="H9" s="172">
        <v>0.33333333333333331</v>
      </c>
    </row>
    <row r="10" spans="1:8" s="71" customFormat="1" ht="14.25" customHeight="1" x14ac:dyDescent="0.25">
      <c r="A10" s="9" t="s">
        <v>428</v>
      </c>
      <c r="B10" s="4" t="s">
        <v>19</v>
      </c>
      <c r="C10" s="2" t="str">
        <f>VLOOKUP(Table2[[#This Row],[Course]],Data!$A$1:$E$56,2,FALSE)</f>
        <v>A-493-0085</v>
      </c>
      <c r="D10" s="3" t="s">
        <v>235</v>
      </c>
      <c r="E10" s="10" t="s">
        <v>116</v>
      </c>
      <c r="F10" s="213">
        <v>45265</v>
      </c>
      <c r="G10" s="11">
        <v>45267</v>
      </c>
      <c r="H10" s="172"/>
    </row>
    <row r="11" spans="1:8" s="50" customFormat="1" x14ac:dyDescent="0.25">
      <c r="A11"/>
      <c r="B11" t="s">
        <v>20</v>
      </c>
      <c r="C11" t="s">
        <v>240</v>
      </c>
      <c r="D11" s="210" t="s">
        <v>241</v>
      </c>
      <c r="E11" t="s">
        <v>121</v>
      </c>
      <c r="F11" s="216">
        <v>45265</v>
      </c>
      <c r="G11" s="204">
        <v>45268</v>
      </c>
      <c r="H11" s="172">
        <v>0.33333333333333331</v>
      </c>
    </row>
    <row r="12" spans="1:8" x14ac:dyDescent="0.25">
      <c r="A12" t="s">
        <v>426</v>
      </c>
      <c r="B12" t="s">
        <v>236</v>
      </c>
      <c r="C12" t="s">
        <v>237</v>
      </c>
      <c r="D12" s="210" t="s">
        <v>238</v>
      </c>
      <c r="E12" t="s">
        <v>140</v>
      </c>
      <c r="F12" s="213">
        <v>45271</v>
      </c>
      <c r="G12" s="11">
        <v>45275</v>
      </c>
      <c r="H12" s="172">
        <v>0.33333333333333331</v>
      </c>
    </row>
    <row r="13" spans="1:8" x14ac:dyDescent="0.25">
      <c r="A13" t="s">
        <v>429</v>
      </c>
      <c r="B13" t="s">
        <v>236</v>
      </c>
      <c r="C13" t="s">
        <v>237</v>
      </c>
      <c r="D13" s="210" t="s">
        <v>238</v>
      </c>
      <c r="E13" t="s">
        <v>277</v>
      </c>
      <c r="F13" s="216">
        <v>45271</v>
      </c>
      <c r="G13" s="203">
        <v>45275</v>
      </c>
      <c r="H13" s="172">
        <v>0.33333333333333331</v>
      </c>
    </row>
    <row r="14" spans="1:8" s="14" customFormat="1" ht="14.25" customHeight="1" x14ac:dyDescent="0.25">
      <c r="A14" s="101"/>
      <c r="B14" s="166" t="s">
        <v>288</v>
      </c>
      <c r="C14" s="167" t="str">
        <f>VLOOKUP(Table2[[#This Row],[Course]],Data!$A$1:$E$56,2,FALSE)</f>
        <v>A-493-0070</v>
      </c>
      <c r="D14" s="211" t="s">
        <v>290</v>
      </c>
      <c r="E14" s="166" t="s">
        <v>116</v>
      </c>
      <c r="F14" s="214">
        <v>45272</v>
      </c>
      <c r="G14" s="169">
        <v>45275</v>
      </c>
      <c r="H14" s="172"/>
    </row>
    <row r="15" spans="1:8" s="70" customFormat="1" x14ac:dyDescent="0.25">
      <c r="A15" s="9" t="s">
        <v>425</v>
      </c>
      <c r="B15" s="4" t="s">
        <v>19</v>
      </c>
      <c r="C15" s="2" t="s">
        <v>234</v>
      </c>
      <c r="D15" s="3" t="s">
        <v>235</v>
      </c>
      <c r="E15" s="10" t="s">
        <v>116</v>
      </c>
      <c r="F15" s="213">
        <v>45279</v>
      </c>
      <c r="G15" s="11">
        <v>45281</v>
      </c>
      <c r="H15" s="172"/>
    </row>
    <row r="16" spans="1:8" s="14" customFormat="1" ht="14.25" customHeight="1" x14ac:dyDescent="0.25">
      <c r="A16" t="s">
        <v>426</v>
      </c>
      <c r="B16" t="s">
        <v>236</v>
      </c>
      <c r="C16" t="s">
        <v>237</v>
      </c>
      <c r="D16" s="210" t="s">
        <v>238</v>
      </c>
      <c r="E16" t="s">
        <v>137</v>
      </c>
      <c r="F16" s="213">
        <v>45299</v>
      </c>
      <c r="G16" s="11">
        <v>45303</v>
      </c>
      <c r="H16" s="172">
        <v>0.33333333333333331</v>
      </c>
    </row>
    <row r="17" spans="1:8" s="14" customFormat="1" ht="14.25" customHeight="1" x14ac:dyDescent="0.25">
      <c r="A17" t="s">
        <v>430</v>
      </c>
      <c r="B17" t="s">
        <v>236</v>
      </c>
      <c r="C17" t="s">
        <v>237</v>
      </c>
      <c r="D17" s="210" t="s">
        <v>238</v>
      </c>
      <c r="E17" t="s">
        <v>131</v>
      </c>
      <c r="F17" s="216">
        <v>45299</v>
      </c>
      <c r="G17" s="203">
        <v>45303</v>
      </c>
      <c r="H17" s="172">
        <v>0.33333333333333331</v>
      </c>
    </row>
    <row r="18" spans="1:8" s="13" customFormat="1" x14ac:dyDescent="0.25">
      <c r="A18" t="s">
        <v>431</v>
      </c>
      <c r="B18" t="s">
        <v>25</v>
      </c>
      <c r="C18" t="s">
        <v>257</v>
      </c>
      <c r="D18" s="210" t="s">
        <v>258</v>
      </c>
      <c r="E18" t="s">
        <v>155</v>
      </c>
      <c r="F18" s="216">
        <v>45299</v>
      </c>
      <c r="G18" s="203">
        <v>45300</v>
      </c>
      <c r="H18" s="172">
        <v>0.33333333333333331</v>
      </c>
    </row>
    <row r="19" spans="1:8" s="13" customFormat="1" ht="18" customHeight="1" x14ac:dyDescent="0.25">
      <c r="A19" s="208" t="s">
        <v>431</v>
      </c>
      <c r="B19" t="s">
        <v>27</v>
      </c>
      <c r="C19" t="s">
        <v>264</v>
      </c>
      <c r="D19" s="210" t="s">
        <v>265</v>
      </c>
      <c r="E19" t="s">
        <v>155</v>
      </c>
      <c r="F19" s="216">
        <v>45301</v>
      </c>
      <c r="G19" s="203">
        <v>45301</v>
      </c>
      <c r="H19" s="172">
        <v>0.33333333333333331</v>
      </c>
    </row>
    <row r="20" spans="1:8" s="13" customFormat="1" x14ac:dyDescent="0.25">
      <c r="A20" s="208" t="s">
        <v>431</v>
      </c>
      <c r="B20" t="s">
        <v>26</v>
      </c>
      <c r="C20" t="s">
        <v>260</v>
      </c>
      <c r="D20" s="210" t="s">
        <v>261</v>
      </c>
      <c r="E20" t="s">
        <v>155</v>
      </c>
      <c r="F20" s="216">
        <v>45302</v>
      </c>
      <c r="G20" s="203">
        <v>45302</v>
      </c>
      <c r="H20" s="172">
        <v>0.33333333333333331</v>
      </c>
    </row>
    <row r="21" spans="1:8" s="13" customFormat="1" x14ac:dyDescent="0.25">
      <c r="A21" s="208" t="s">
        <v>431</v>
      </c>
      <c r="B21" t="s">
        <v>35</v>
      </c>
      <c r="C21" t="s">
        <v>300</v>
      </c>
      <c r="D21" s="210" t="s">
        <v>301</v>
      </c>
      <c r="E21" t="s">
        <v>155</v>
      </c>
      <c r="F21" s="216">
        <v>45303</v>
      </c>
      <c r="G21" s="203">
        <v>45303</v>
      </c>
      <c r="H21" s="172">
        <v>0.33333333333333331</v>
      </c>
    </row>
    <row r="22" spans="1:8" s="50" customFormat="1" ht="15.75" customHeight="1" x14ac:dyDescent="0.25">
      <c r="A22" s="9"/>
      <c r="B22" s="10" t="s">
        <v>23</v>
      </c>
      <c r="C22" s="2" t="s">
        <v>252</v>
      </c>
      <c r="D22" s="3" t="s">
        <v>253</v>
      </c>
      <c r="E22" s="106" t="s">
        <v>147</v>
      </c>
      <c r="F22" s="215">
        <v>45307</v>
      </c>
      <c r="G22" s="103">
        <v>45309</v>
      </c>
      <c r="H22" s="172">
        <v>0.33333333333333331</v>
      </c>
    </row>
    <row r="23" spans="1:8" s="9" customFormat="1" x14ac:dyDescent="0.25">
      <c r="B23" s="105" t="s">
        <v>23</v>
      </c>
      <c r="C23" s="2" t="s">
        <v>252</v>
      </c>
      <c r="D23" s="3" t="s">
        <v>253</v>
      </c>
      <c r="E23" s="105" t="s">
        <v>140</v>
      </c>
      <c r="F23" s="215">
        <v>45313</v>
      </c>
      <c r="G23" s="103">
        <v>45315</v>
      </c>
      <c r="H23" s="172">
        <v>0.33333333333333331</v>
      </c>
    </row>
    <row r="24" spans="1:8" s="9" customFormat="1" x14ac:dyDescent="0.25">
      <c r="A24" t="s">
        <v>426</v>
      </c>
      <c r="B24" t="s">
        <v>236</v>
      </c>
      <c r="C24" t="s">
        <v>237</v>
      </c>
      <c r="D24" s="210" t="s">
        <v>238</v>
      </c>
      <c r="E24" t="s">
        <v>121</v>
      </c>
      <c r="F24" s="213">
        <v>45313</v>
      </c>
      <c r="G24" s="11">
        <v>45317</v>
      </c>
      <c r="H24" s="172">
        <v>0.33333333333333331</v>
      </c>
    </row>
    <row r="25" spans="1:8" x14ac:dyDescent="0.25">
      <c r="A25" s="9"/>
      <c r="B25" s="10" t="s">
        <v>24</v>
      </c>
      <c r="C25" s="2" t="s">
        <v>255</v>
      </c>
      <c r="D25" s="3" t="s">
        <v>256</v>
      </c>
      <c r="E25" s="105" t="s">
        <v>140</v>
      </c>
      <c r="F25" s="215">
        <v>45316</v>
      </c>
      <c r="G25" s="103">
        <v>45316</v>
      </c>
      <c r="H25" s="172">
        <v>0.33333333333333331</v>
      </c>
    </row>
    <row r="26" spans="1:8" s="14" customFormat="1" ht="14.25" customHeight="1" x14ac:dyDescent="0.25">
      <c r="A26" s="9"/>
      <c r="B26" s="10" t="s">
        <v>24</v>
      </c>
      <c r="C26" s="2" t="s">
        <v>255</v>
      </c>
      <c r="D26" s="3" t="s">
        <v>256</v>
      </c>
      <c r="E26" s="105" t="s">
        <v>140</v>
      </c>
      <c r="F26" s="215">
        <v>45317</v>
      </c>
      <c r="G26" s="103">
        <v>45317</v>
      </c>
      <c r="H26" s="172">
        <v>0.33333333333333331</v>
      </c>
    </row>
    <row r="27" spans="1:8" s="14" customFormat="1" ht="14.25" customHeight="1" x14ac:dyDescent="0.25">
      <c r="A27" s="9"/>
      <c r="B27" s="10" t="s">
        <v>24</v>
      </c>
      <c r="C27" s="2" t="s">
        <v>255</v>
      </c>
      <c r="D27" s="3" t="s">
        <v>256</v>
      </c>
      <c r="E27" s="10" t="s">
        <v>155</v>
      </c>
      <c r="F27" s="215">
        <v>45317</v>
      </c>
      <c r="G27" s="103">
        <v>45317</v>
      </c>
      <c r="H27" s="172">
        <v>0.33333333333333331</v>
      </c>
    </row>
    <row r="28" spans="1:8" s="13" customFormat="1" x14ac:dyDescent="0.25">
      <c r="A28" s="9"/>
      <c r="B28" s="105" t="s">
        <v>23</v>
      </c>
      <c r="C28" s="2" t="s">
        <v>252</v>
      </c>
      <c r="D28" s="3" t="s">
        <v>253</v>
      </c>
      <c r="E28" s="106" t="s">
        <v>104</v>
      </c>
      <c r="F28" s="215">
        <v>45320</v>
      </c>
      <c r="G28" s="103">
        <v>45322</v>
      </c>
      <c r="H28" s="172">
        <v>0.33333333333333331</v>
      </c>
    </row>
    <row r="29" spans="1:8" s="9" customFormat="1" x14ac:dyDescent="0.25">
      <c r="B29" s="105" t="s">
        <v>23</v>
      </c>
      <c r="C29" s="2" t="s">
        <v>252</v>
      </c>
      <c r="D29" s="3" t="s">
        <v>253</v>
      </c>
      <c r="E29" s="106" t="s">
        <v>148</v>
      </c>
      <c r="F29" s="215">
        <v>45320</v>
      </c>
      <c r="G29" s="103">
        <v>45322</v>
      </c>
      <c r="H29" s="172">
        <v>0.33333333333333331</v>
      </c>
    </row>
    <row r="30" spans="1:8" s="13" customFormat="1" x14ac:dyDescent="0.25">
      <c r="A30" s="9"/>
      <c r="B30" s="10" t="s">
        <v>24</v>
      </c>
      <c r="C30" s="2" t="s">
        <v>255</v>
      </c>
      <c r="D30" s="3" t="s">
        <v>256</v>
      </c>
      <c r="E30" s="106" t="s">
        <v>104</v>
      </c>
      <c r="F30" s="215">
        <v>45323</v>
      </c>
      <c r="G30" s="103">
        <v>45323</v>
      </c>
      <c r="H30" s="172">
        <v>0.33333333333333331</v>
      </c>
    </row>
    <row r="31" spans="1:8" s="13" customFormat="1" x14ac:dyDescent="0.25">
      <c r="A31" s="9"/>
      <c r="B31" s="10" t="s">
        <v>24</v>
      </c>
      <c r="C31" s="2" t="s">
        <v>255</v>
      </c>
      <c r="D31" s="3" t="s">
        <v>256</v>
      </c>
      <c r="E31" s="106" t="s">
        <v>148</v>
      </c>
      <c r="F31" s="215">
        <v>45323</v>
      </c>
      <c r="G31" s="103">
        <v>45323</v>
      </c>
      <c r="H31" s="172">
        <v>0.33333333333333331</v>
      </c>
    </row>
    <row r="32" spans="1:8" s="9" customFormat="1" x14ac:dyDescent="0.25">
      <c r="A32" t="s">
        <v>426</v>
      </c>
      <c r="B32" t="s">
        <v>236</v>
      </c>
      <c r="C32" t="s">
        <v>237</v>
      </c>
      <c r="D32" s="210" t="s">
        <v>238</v>
      </c>
      <c r="E32" t="s">
        <v>147</v>
      </c>
      <c r="F32" s="213">
        <v>45327</v>
      </c>
      <c r="G32" s="11">
        <v>45331</v>
      </c>
      <c r="H32" s="172">
        <v>0.33333333333333331</v>
      </c>
    </row>
    <row r="33" spans="1:8" s="9" customFormat="1" x14ac:dyDescent="0.25">
      <c r="B33" s="105" t="s">
        <v>23</v>
      </c>
      <c r="C33" s="2" t="s">
        <v>252</v>
      </c>
      <c r="D33" s="3" t="s">
        <v>253</v>
      </c>
      <c r="E33" s="10" t="s">
        <v>133</v>
      </c>
      <c r="F33" s="213">
        <v>45342</v>
      </c>
      <c r="G33" s="11">
        <v>45344</v>
      </c>
      <c r="H33" s="172">
        <v>0.33333333333333331</v>
      </c>
    </row>
    <row r="34" spans="1:8" s="14" customFormat="1" ht="14.25" customHeight="1" x14ac:dyDescent="0.25">
      <c r="A34" s="9"/>
      <c r="B34" s="10" t="s">
        <v>26</v>
      </c>
      <c r="C34" s="2" t="str">
        <f>VLOOKUP(Table2[[#This Row],[Course]],Data!$A$1:$E$56,2,FALSE)</f>
        <v>A-493-0099</v>
      </c>
      <c r="D34" s="3" t="str">
        <f>VLOOKUP(Table2[[#This Row],[Course]],Data!$A$1:$E$56,3,FALSE)</f>
        <v>12JW</v>
      </c>
      <c r="E34" s="10" t="s">
        <v>147</v>
      </c>
      <c r="F34" s="213">
        <v>45350</v>
      </c>
      <c r="G34" s="11">
        <v>45350</v>
      </c>
      <c r="H34" s="172">
        <v>0.33333333333333331</v>
      </c>
    </row>
    <row r="35" spans="1:8" s="14" customFormat="1" ht="14.25" customHeight="1" x14ac:dyDescent="0.25">
      <c r="A35" s="9"/>
      <c r="B35" s="10" t="s">
        <v>27</v>
      </c>
      <c r="C35" s="2" t="s">
        <v>264</v>
      </c>
      <c r="D35" s="3" t="s">
        <v>265</v>
      </c>
      <c r="E35" s="10" t="s">
        <v>147</v>
      </c>
      <c r="F35" s="213">
        <v>45351</v>
      </c>
      <c r="G35" s="11">
        <v>45351</v>
      </c>
      <c r="H35" s="172">
        <v>0.33333333333333331</v>
      </c>
    </row>
    <row r="36" spans="1:8" s="70" customFormat="1" ht="16.5" customHeight="1" x14ac:dyDescent="0.25">
      <c r="A36" s="9"/>
      <c r="B36" s="10" t="s">
        <v>24</v>
      </c>
      <c r="C36" s="2" t="s">
        <v>255</v>
      </c>
      <c r="D36" s="3" t="s">
        <v>256</v>
      </c>
      <c r="E36" s="3" t="s">
        <v>122</v>
      </c>
      <c r="F36" s="213">
        <v>45352</v>
      </c>
      <c r="G36" s="11">
        <v>45352</v>
      </c>
      <c r="H36" s="172">
        <v>0.33333333333333331</v>
      </c>
    </row>
    <row r="37" spans="1:8" s="70" customFormat="1" x14ac:dyDescent="0.25">
      <c r="A37" s="9"/>
      <c r="B37" s="10" t="s">
        <v>17</v>
      </c>
      <c r="C37" s="2" t="str">
        <f>VLOOKUP(Table2[[#This Row],[Course]],Data!$A$1:$E$56,2,FALSE)</f>
        <v>A-493-0331</v>
      </c>
      <c r="D37" s="3" t="str">
        <f>VLOOKUP(Table2[[#This Row],[Course]],Data!$A$1:$E$56,3,FALSE)</f>
        <v>10UG</v>
      </c>
      <c r="E37" s="106" t="s">
        <v>113</v>
      </c>
      <c r="F37" s="215">
        <v>45355</v>
      </c>
      <c r="G37" s="11">
        <v>45359</v>
      </c>
      <c r="H37" s="172">
        <v>0.33333333333333331</v>
      </c>
    </row>
    <row r="38" spans="1:8" s="14" customFormat="1" ht="16.5" customHeight="1" x14ac:dyDescent="0.25">
      <c r="A38" s="9"/>
      <c r="B38" s="105" t="s">
        <v>23</v>
      </c>
      <c r="C38" s="2" t="s">
        <v>252</v>
      </c>
      <c r="D38" s="3" t="s">
        <v>253</v>
      </c>
      <c r="E38" s="106" t="s">
        <v>102</v>
      </c>
      <c r="F38" s="215">
        <v>45355</v>
      </c>
      <c r="G38" s="103">
        <v>45357</v>
      </c>
      <c r="H38" s="172">
        <v>0.33333333333333331</v>
      </c>
    </row>
    <row r="39" spans="1:8" s="14" customFormat="1" ht="14.25" customHeight="1" x14ac:dyDescent="0.25">
      <c r="A39" s="9"/>
      <c r="B39" s="10" t="s">
        <v>26</v>
      </c>
      <c r="C39" s="2" t="s">
        <v>260</v>
      </c>
      <c r="D39" s="3" t="s">
        <v>261</v>
      </c>
      <c r="E39" s="10" t="s">
        <v>133</v>
      </c>
      <c r="F39" s="213">
        <v>45357</v>
      </c>
      <c r="G39" s="11">
        <v>45357</v>
      </c>
      <c r="H39" s="172">
        <v>0.33333333333333331</v>
      </c>
    </row>
    <row r="40" spans="1:8" s="13" customFormat="1" x14ac:dyDescent="0.25">
      <c r="A40" s="9"/>
      <c r="B40" s="10" t="s">
        <v>24</v>
      </c>
      <c r="C40" s="2" t="s">
        <v>255</v>
      </c>
      <c r="D40" s="3" t="s">
        <v>256</v>
      </c>
      <c r="E40" s="106" t="s">
        <v>102</v>
      </c>
      <c r="F40" s="215">
        <v>45358</v>
      </c>
      <c r="G40" s="103">
        <v>45358</v>
      </c>
      <c r="H40" s="172">
        <v>0.33333333333333331</v>
      </c>
    </row>
    <row r="41" spans="1:8" s="13" customFormat="1" x14ac:dyDescent="0.25">
      <c r="A41" s="9"/>
      <c r="B41" s="10" t="s">
        <v>25</v>
      </c>
      <c r="C41" s="2" t="s">
        <v>257</v>
      </c>
      <c r="D41" s="3" t="s">
        <v>258</v>
      </c>
      <c r="E41" s="10" t="s">
        <v>148</v>
      </c>
      <c r="F41" s="213">
        <v>45362</v>
      </c>
      <c r="G41" s="11">
        <v>45363</v>
      </c>
      <c r="H41" s="172">
        <v>0.33333333333333331</v>
      </c>
    </row>
    <row r="42" spans="1:8" s="13" customFormat="1" x14ac:dyDescent="0.25">
      <c r="A42" s="9"/>
      <c r="B42" s="10" t="s">
        <v>26</v>
      </c>
      <c r="C42" s="2" t="str">
        <f>VLOOKUP(Table2[[#This Row],[Course]],Data!$A$1:$E$56,2,FALSE)</f>
        <v>A-493-0078</v>
      </c>
      <c r="D42" s="3">
        <f>VLOOKUP(Table2[[#This Row],[Course]],Data!$A$1:$E$56,3,FALSE)</f>
        <v>1228</v>
      </c>
      <c r="E42" s="10" t="s">
        <v>148</v>
      </c>
      <c r="F42" s="213">
        <v>45364</v>
      </c>
      <c r="G42" s="11">
        <v>45364</v>
      </c>
      <c r="H42" s="172">
        <v>0.33333333333333331</v>
      </c>
    </row>
    <row r="43" spans="1:8" s="13" customFormat="1" x14ac:dyDescent="0.25">
      <c r="A43" s="9"/>
      <c r="B43" s="10" t="s">
        <v>27</v>
      </c>
      <c r="C43" s="2" t="s">
        <v>264</v>
      </c>
      <c r="D43" s="3" t="s">
        <v>265</v>
      </c>
      <c r="E43" s="10" t="s">
        <v>148</v>
      </c>
      <c r="F43" s="213">
        <v>45365</v>
      </c>
      <c r="G43" s="11">
        <v>45365</v>
      </c>
      <c r="H43" s="172">
        <v>0.33333333333333331</v>
      </c>
    </row>
    <row r="44" spans="1:8" s="13" customFormat="1" x14ac:dyDescent="0.25">
      <c r="A44" s="9"/>
      <c r="B44" s="105" t="s">
        <v>23</v>
      </c>
      <c r="C44" s="2" t="s">
        <v>252</v>
      </c>
      <c r="D44" s="3" t="s">
        <v>253</v>
      </c>
      <c r="E44" s="106" t="s">
        <v>137</v>
      </c>
      <c r="F44" s="215">
        <v>45369</v>
      </c>
      <c r="G44" s="103">
        <v>45371</v>
      </c>
      <c r="H44" s="172">
        <v>0.33333333333333331</v>
      </c>
    </row>
    <row r="45" spans="1:8" s="13" customFormat="1" x14ac:dyDescent="0.25">
      <c r="A45" s="9"/>
      <c r="B45" s="10" t="s">
        <v>23</v>
      </c>
      <c r="C45" s="2" t="s">
        <v>252</v>
      </c>
      <c r="D45" s="3" t="s">
        <v>253</v>
      </c>
      <c r="E45" s="106" t="s">
        <v>158</v>
      </c>
      <c r="F45" s="215">
        <v>45369</v>
      </c>
      <c r="G45" s="103">
        <v>45371</v>
      </c>
      <c r="H45" s="172">
        <v>0.33333333333333331</v>
      </c>
    </row>
    <row r="46" spans="1:8" s="13" customFormat="1" x14ac:dyDescent="0.25">
      <c r="A46" s="9"/>
      <c r="B46" s="10" t="s">
        <v>24</v>
      </c>
      <c r="C46" s="2" t="s">
        <v>255</v>
      </c>
      <c r="D46" s="3" t="s">
        <v>256</v>
      </c>
      <c r="E46" s="106" t="s">
        <v>137</v>
      </c>
      <c r="F46" s="215">
        <v>45372</v>
      </c>
      <c r="G46" s="103">
        <v>45372</v>
      </c>
      <c r="H46" s="172">
        <v>0.33333333333333331</v>
      </c>
    </row>
    <row r="47" spans="1:8" s="13" customFormat="1" x14ac:dyDescent="0.25">
      <c r="A47" s="9"/>
      <c r="B47" s="10" t="s">
        <v>24</v>
      </c>
      <c r="C47" s="2" t="s">
        <v>255</v>
      </c>
      <c r="D47" s="3" t="s">
        <v>256</v>
      </c>
      <c r="E47" s="106" t="s">
        <v>137</v>
      </c>
      <c r="F47" s="215">
        <v>45373</v>
      </c>
      <c r="G47" s="103">
        <v>45373</v>
      </c>
      <c r="H47" s="172">
        <v>0.33333333333333331</v>
      </c>
    </row>
    <row r="48" spans="1:8" s="13" customFormat="1" x14ac:dyDescent="0.25">
      <c r="A48" s="9"/>
      <c r="B48" s="10" t="s">
        <v>17</v>
      </c>
      <c r="C48" s="2" t="str">
        <f>VLOOKUP(Table2[[#This Row],[Course]],Data!$A$1:$E$56,2,FALSE)</f>
        <v>Holiday</v>
      </c>
      <c r="D48" s="3" t="str">
        <f>VLOOKUP(Table2[[#This Row],[Course]],Data!$A$1:$E$56,3,FALSE)</f>
        <v>Holiday</v>
      </c>
      <c r="E48" s="10" t="s">
        <v>133</v>
      </c>
      <c r="F48" s="213">
        <v>45376</v>
      </c>
      <c r="G48" s="11">
        <v>45380</v>
      </c>
      <c r="H48" s="172">
        <v>0.33333333333333331</v>
      </c>
    </row>
    <row r="49" spans="1:8" s="13" customFormat="1" x14ac:dyDescent="0.25">
      <c r="A49" s="9"/>
      <c r="B49" s="105" t="s">
        <v>23</v>
      </c>
      <c r="C49" s="2" t="s">
        <v>252</v>
      </c>
      <c r="D49" s="3" t="s">
        <v>253</v>
      </c>
      <c r="E49" s="10" t="s">
        <v>120</v>
      </c>
      <c r="F49" s="213">
        <v>45376</v>
      </c>
      <c r="G49" s="11">
        <v>45378</v>
      </c>
      <c r="H49" s="172">
        <v>0.33333333333333331</v>
      </c>
    </row>
    <row r="50" spans="1:8" s="13" customFormat="1" x14ac:dyDescent="0.25">
      <c r="A50" s="9"/>
      <c r="B50" s="10" t="s">
        <v>24</v>
      </c>
      <c r="C50" s="2" t="s">
        <v>255</v>
      </c>
      <c r="D50" s="3" t="s">
        <v>256</v>
      </c>
      <c r="E50" s="10" t="s">
        <v>120</v>
      </c>
      <c r="F50" s="213">
        <v>45379</v>
      </c>
      <c r="G50" s="11">
        <v>45379</v>
      </c>
      <c r="H50" s="172">
        <v>0.33333333333333331</v>
      </c>
    </row>
    <row r="51" spans="1:8" s="13" customFormat="1" x14ac:dyDescent="0.25">
      <c r="A51" s="9"/>
      <c r="B51" s="10" t="s">
        <v>24</v>
      </c>
      <c r="C51" s="2" t="s">
        <v>255</v>
      </c>
      <c r="D51" s="3" t="s">
        <v>256</v>
      </c>
      <c r="E51" s="106" t="s">
        <v>151</v>
      </c>
      <c r="F51" s="215">
        <v>45379</v>
      </c>
      <c r="G51" s="103">
        <v>45379</v>
      </c>
      <c r="H51" s="172">
        <v>0.33333333333333331</v>
      </c>
    </row>
    <row r="52" spans="1:8" s="14" customFormat="1" ht="15.75" customHeight="1" x14ac:dyDescent="0.25">
      <c r="A52" s="9"/>
      <c r="B52" s="10" t="s">
        <v>24</v>
      </c>
      <c r="C52" s="2" t="s">
        <v>255</v>
      </c>
      <c r="D52" s="3" t="s">
        <v>256</v>
      </c>
      <c r="E52" s="106" t="s">
        <v>151</v>
      </c>
      <c r="F52" s="215">
        <v>45380</v>
      </c>
      <c r="G52" s="103">
        <v>45380</v>
      </c>
      <c r="H52" s="172">
        <v>0.33333333333333331</v>
      </c>
    </row>
    <row r="53" spans="1:8" s="9" customFormat="1" x14ac:dyDescent="0.25">
      <c r="B53" s="10" t="s">
        <v>23</v>
      </c>
      <c r="C53" s="2" t="s">
        <v>252</v>
      </c>
      <c r="D53" s="3" t="s">
        <v>253</v>
      </c>
      <c r="E53" s="106" t="s">
        <v>160</v>
      </c>
      <c r="F53" s="215">
        <v>45383</v>
      </c>
      <c r="G53" s="103">
        <v>775870</v>
      </c>
      <c r="H53" s="172">
        <v>0.33333333333333331</v>
      </c>
    </row>
    <row r="54" spans="1:8" s="9" customFormat="1" x14ac:dyDescent="0.25">
      <c r="B54" s="105" t="s">
        <v>23</v>
      </c>
      <c r="C54" s="2" t="s">
        <v>252</v>
      </c>
      <c r="D54" s="3" t="s">
        <v>253</v>
      </c>
      <c r="E54" s="106" t="s">
        <v>146</v>
      </c>
      <c r="F54" s="215">
        <v>45390</v>
      </c>
      <c r="G54" s="103">
        <v>45392</v>
      </c>
      <c r="H54" s="172">
        <v>0.33333333333333331</v>
      </c>
    </row>
    <row r="55" spans="1:8" s="50" customFormat="1" ht="15.75" customHeight="1" x14ac:dyDescent="0.25">
      <c r="A55" s="9"/>
      <c r="B55" s="10" t="s">
        <v>25</v>
      </c>
      <c r="C55" s="2" t="s">
        <v>257</v>
      </c>
      <c r="D55" s="3" t="s">
        <v>258</v>
      </c>
      <c r="E55" s="10" t="s">
        <v>138</v>
      </c>
      <c r="F55" s="213">
        <v>45390</v>
      </c>
      <c r="G55" s="11">
        <v>45391</v>
      </c>
      <c r="H55" s="172">
        <v>0.33333333333333331</v>
      </c>
    </row>
    <row r="56" spans="1:8" s="9" customFormat="1" x14ac:dyDescent="0.25">
      <c r="A56" s="9" t="s">
        <v>432</v>
      </c>
      <c r="B56" s="10" t="s">
        <v>18</v>
      </c>
      <c r="C56" s="2" t="str">
        <f>VLOOKUP(Table2[[#This Row],[Course]],Data!$A$1:$E$56,2,FALSE)</f>
        <v>A-570-0100</v>
      </c>
      <c r="D56" s="3" t="str">
        <f>VLOOKUP(Table2[[#This Row],[Course]],Data!$A$1:$E$56,3,FALSE)</f>
        <v>18B7</v>
      </c>
      <c r="E56" s="10" t="s">
        <v>166</v>
      </c>
      <c r="F56" s="213">
        <v>45392</v>
      </c>
      <c r="G56" s="11">
        <v>45394</v>
      </c>
      <c r="H56" s="172">
        <v>0.33333333333333331</v>
      </c>
    </row>
    <row r="57" spans="1:8" s="9" customFormat="1" x14ac:dyDescent="0.25">
      <c r="B57" s="10" t="s">
        <v>27</v>
      </c>
      <c r="C57" s="2" t="s">
        <v>264</v>
      </c>
      <c r="D57" s="3" t="s">
        <v>265</v>
      </c>
      <c r="E57" s="10" t="s">
        <v>138</v>
      </c>
      <c r="F57" s="213">
        <v>45392</v>
      </c>
      <c r="G57" s="11">
        <v>45392</v>
      </c>
      <c r="H57" s="172">
        <v>0.33333333333333331</v>
      </c>
    </row>
    <row r="58" spans="1:8" x14ac:dyDescent="0.25">
      <c r="A58" s="9"/>
      <c r="B58" s="10" t="s">
        <v>26</v>
      </c>
      <c r="C58" s="2" t="s">
        <v>260</v>
      </c>
      <c r="D58" s="3" t="s">
        <v>261</v>
      </c>
      <c r="E58" s="10" t="s">
        <v>138</v>
      </c>
      <c r="F58" s="213">
        <v>45393</v>
      </c>
      <c r="G58" s="11" t="s">
        <v>433</v>
      </c>
      <c r="H58" s="172">
        <v>0.33333333333333331</v>
      </c>
    </row>
    <row r="59" spans="1:8" s="14" customFormat="1" ht="14.25" customHeight="1" x14ac:dyDescent="0.25">
      <c r="A59" s="9"/>
      <c r="B59" s="10" t="s">
        <v>24</v>
      </c>
      <c r="C59" s="2" t="s">
        <v>255</v>
      </c>
      <c r="D59" s="3" t="s">
        <v>256</v>
      </c>
      <c r="E59" s="106" t="s">
        <v>146</v>
      </c>
      <c r="F59" s="215">
        <v>45393</v>
      </c>
      <c r="G59" s="103">
        <v>45393</v>
      </c>
      <c r="H59" s="172">
        <v>0.33333333333333331</v>
      </c>
    </row>
    <row r="60" spans="1:8" s="13" customFormat="1" x14ac:dyDescent="0.25">
      <c r="A60" s="9"/>
      <c r="B60" s="10" t="s">
        <v>24</v>
      </c>
      <c r="C60" s="2" t="s">
        <v>255</v>
      </c>
      <c r="D60" s="3" t="s">
        <v>256</v>
      </c>
      <c r="E60" s="105" t="s">
        <v>140</v>
      </c>
      <c r="F60" s="215">
        <v>45394</v>
      </c>
      <c r="G60" s="103">
        <v>45394</v>
      </c>
      <c r="H60" s="172">
        <v>0.33333333333333331</v>
      </c>
    </row>
    <row r="61" spans="1:8" s="50" customFormat="1" ht="15.75" customHeight="1" x14ac:dyDescent="0.25">
      <c r="A61" s="9"/>
      <c r="B61" s="10" t="s">
        <v>24</v>
      </c>
      <c r="C61" s="2" t="s">
        <v>255</v>
      </c>
      <c r="D61" s="3" t="s">
        <v>256</v>
      </c>
      <c r="E61" s="106" t="s">
        <v>146</v>
      </c>
      <c r="F61" s="215">
        <v>45394</v>
      </c>
      <c r="G61" s="103">
        <v>45394</v>
      </c>
      <c r="H61" s="172">
        <v>0.33333333333333331</v>
      </c>
    </row>
    <row r="62" spans="1:8" s="50" customFormat="1" ht="15.75" customHeight="1" x14ac:dyDescent="0.25">
      <c r="A62" s="9"/>
      <c r="B62" s="10" t="s">
        <v>25</v>
      </c>
      <c r="C62" s="2" t="s">
        <v>257</v>
      </c>
      <c r="D62" s="3" t="s">
        <v>258</v>
      </c>
      <c r="E62" s="106" t="s">
        <v>103</v>
      </c>
      <c r="F62" s="213">
        <v>45397</v>
      </c>
      <c r="G62" s="11">
        <v>45398</v>
      </c>
      <c r="H62" s="172">
        <v>0.33333333333333331</v>
      </c>
    </row>
    <row r="63" spans="1:8" s="9" customFormat="1" x14ac:dyDescent="0.25">
      <c r="B63" s="105" t="s">
        <v>23</v>
      </c>
      <c r="C63" s="2" t="s">
        <v>252</v>
      </c>
      <c r="D63" s="3" t="s">
        <v>253</v>
      </c>
      <c r="E63" s="106" t="s">
        <v>110</v>
      </c>
      <c r="F63" s="215">
        <v>45405</v>
      </c>
      <c r="G63" s="103">
        <v>45407</v>
      </c>
      <c r="H63" s="172">
        <v>0.33333333333333331</v>
      </c>
    </row>
    <row r="64" spans="1:8" s="9" customFormat="1" x14ac:dyDescent="0.25">
      <c r="B64" s="10" t="s">
        <v>24</v>
      </c>
      <c r="C64" s="2" t="s">
        <v>255</v>
      </c>
      <c r="D64" s="3" t="s">
        <v>256</v>
      </c>
      <c r="E64" s="106" t="s">
        <v>110</v>
      </c>
      <c r="F64" s="215">
        <v>45408</v>
      </c>
      <c r="G64" s="103">
        <v>45408</v>
      </c>
      <c r="H64" s="172">
        <v>0.33333333333333331</v>
      </c>
    </row>
    <row r="65" spans="1:8" s="9" customFormat="1" x14ac:dyDescent="0.25">
      <c r="B65" s="105" t="s">
        <v>23</v>
      </c>
      <c r="C65" s="2" t="s">
        <v>252</v>
      </c>
      <c r="D65" s="3" t="s">
        <v>253</v>
      </c>
      <c r="E65" s="106" t="s">
        <v>131</v>
      </c>
      <c r="F65" s="215">
        <v>45411</v>
      </c>
      <c r="G65" s="103">
        <v>45413</v>
      </c>
      <c r="H65" s="172">
        <v>0.33333333333333331</v>
      </c>
    </row>
    <row r="66" spans="1:8" s="70" customFormat="1" ht="14.25" customHeight="1" x14ac:dyDescent="0.25">
      <c r="A66" s="9"/>
      <c r="B66" s="105" t="s">
        <v>23</v>
      </c>
      <c r="C66" s="2" t="s">
        <v>252</v>
      </c>
      <c r="D66" s="3" t="s">
        <v>253</v>
      </c>
      <c r="E66" s="106" t="s">
        <v>144</v>
      </c>
      <c r="F66" s="215">
        <v>45411</v>
      </c>
      <c r="G66" s="103">
        <v>45413</v>
      </c>
      <c r="H66" s="172">
        <v>0.33333333333333331</v>
      </c>
    </row>
    <row r="67" spans="1:8" x14ac:dyDescent="0.25">
      <c r="A67" s="9"/>
      <c r="B67" s="10" t="s">
        <v>24</v>
      </c>
      <c r="C67" s="2" t="s">
        <v>255</v>
      </c>
      <c r="D67" s="3" t="s">
        <v>256</v>
      </c>
      <c r="E67" s="106" t="s">
        <v>131</v>
      </c>
      <c r="F67" s="215">
        <v>45414</v>
      </c>
      <c r="G67" s="103">
        <v>45414</v>
      </c>
      <c r="H67" s="172">
        <v>0.33333333333333331</v>
      </c>
    </row>
    <row r="68" spans="1:8" x14ac:dyDescent="0.25">
      <c r="A68" s="9"/>
      <c r="B68" s="10" t="s">
        <v>24</v>
      </c>
      <c r="C68" s="2" t="s">
        <v>255</v>
      </c>
      <c r="D68" s="3" t="s">
        <v>256</v>
      </c>
      <c r="E68" s="106" t="s">
        <v>144</v>
      </c>
      <c r="F68" s="215">
        <v>45414</v>
      </c>
      <c r="G68" s="103">
        <v>45414</v>
      </c>
      <c r="H68" s="172">
        <v>0.33333333333333331</v>
      </c>
    </row>
    <row r="69" spans="1:8" x14ac:dyDescent="0.25">
      <c r="A69" s="9"/>
      <c r="B69" s="105" t="s">
        <v>23</v>
      </c>
      <c r="C69" s="2" t="s">
        <v>252</v>
      </c>
      <c r="D69" s="3" t="s">
        <v>253</v>
      </c>
      <c r="E69" s="106" t="s">
        <v>115</v>
      </c>
      <c r="F69" s="215">
        <v>45418</v>
      </c>
      <c r="G69" s="103">
        <v>45420</v>
      </c>
      <c r="H69" s="172">
        <v>0.33333333333333331</v>
      </c>
    </row>
    <row r="70" spans="1:8" s="50" customFormat="1" ht="15.75" customHeight="1" x14ac:dyDescent="0.25">
      <c r="A70" s="9"/>
      <c r="B70" s="105" t="s">
        <v>23</v>
      </c>
      <c r="C70" s="2" t="s">
        <v>252</v>
      </c>
      <c r="D70" s="3" t="s">
        <v>253</v>
      </c>
      <c r="E70" s="106" t="s">
        <v>287</v>
      </c>
      <c r="F70" s="215">
        <v>45418</v>
      </c>
      <c r="G70" s="103">
        <v>45420</v>
      </c>
      <c r="H70" s="172">
        <v>0.33333333333333331</v>
      </c>
    </row>
    <row r="71" spans="1:8" s="9" customFormat="1" x14ac:dyDescent="0.25">
      <c r="B71" s="10" t="s">
        <v>24</v>
      </c>
      <c r="C71" s="2" t="s">
        <v>255</v>
      </c>
      <c r="D71" s="3" t="s">
        <v>256</v>
      </c>
      <c r="E71" s="3" t="s">
        <v>157</v>
      </c>
      <c r="F71" s="213">
        <v>45419</v>
      </c>
      <c r="G71" s="11">
        <v>45419</v>
      </c>
      <c r="H71" s="172">
        <v>0.33333333333333331</v>
      </c>
    </row>
    <row r="72" spans="1:8" s="9" customFormat="1" x14ac:dyDescent="0.25">
      <c r="B72" s="10" t="s">
        <v>18</v>
      </c>
      <c r="C72" s="2" t="str">
        <f>VLOOKUP(Table2[[#This Row],[Course]],Data!$A$1:$E$56,2,FALSE)</f>
        <v>A-322-2604</v>
      </c>
      <c r="D72" s="3" t="str">
        <f>VLOOKUP(Table2[[#This Row],[Course]],Data!$A$1:$E$56,3,FALSE)</f>
        <v>10ZZ</v>
      </c>
      <c r="E72" s="10" t="s">
        <v>263</v>
      </c>
      <c r="F72" s="213">
        <v>45420</v>
      </c>
      <c r="G72" s="11">
        <v>45422</v>
      </c>
      <c r="H72" s="172">
        <v>0.33333333333333331</v>
      </c>
    </row>
    <row r="73" spans="1:8" s="14" customFormat="1" ht="14.25" customHeight="1" x14ac:dyDescent="0.25">
      <c r="A73" s="9"/>
      <c r="B73" s="10" t="s">
        <v>23</v>
      </c>
      <c r="C73" s="2" t="s">
        <v>252</v>
      </c>
      <c r="D73" s="3" t="s">
        <v>253</v>
      </c>
      <c r="E73" s="3" t="s">
        <v>157</v>
      </c>
      <c r="F73" s="213">
        <v>45420</v>
      </c>
      <c r="G73" s="11">
        <v>45422</v>
      </c>
      <c r="H73" s="172">
        <v>0.33333333333333331</v>
      </c>
    </row>
    <row r="74" spans="1:8" s="70" customFormat="1" ht="14.25" customHeight="1" x14ac:dyDescent="0.25">
      <c r="A74" s="9"/>
      <c r="B74" s="10" t="s">
        <v>24</v>
      </c>
      <c r="C74" s="2" t="s">
        <v>255</v>
      </c>
      <c r="D74" s="3" t="s">
        <v>256</v>
      </c>
      <c r="E74" s="106" t="s">
        <v>115</v>
      </c>
      <c r="F74" s="215">
        <v>45421</v>
      </c>
      <c r="G74" s="103">
        <v>45421</v>
      </c>
      <c r="H74" s="172">
        <v>0.33333333333333331</v>
      </c>
    </row>
    <row r="75" spans="1:8" s="13" customFormat="1" x14ac:dyDescent="0.25">
      <c r="A75" s="9"/>
      <c r="B75" s="10" t="s">
        <v>24</v>
      </c>
      <c r="C75" s="2" t="s">
        <v>255</v>
      </c>
      <c r="D75" s="3" t="s">
        <v>256</v>
      </c>
      <c r="E75" s="106" t="s">
        <v>287</v>
      </c>
      <c r="F75" s="215">
        <v>45421</v>
      </c>
      <c r="G75" s="103">
        <v>45421</v>
      </c>
      <c r="H75" s="172">
        <v>0.33333333333333331</v>
      </c>
    </row>
    <row r="76" spans="1:8" x14ac:dyDescent="0.25">
      <c r="A76" s="9"/>
      <c r="B76" s="10" t="s">
        <v>24</v>
      </c>
      <c r="C76" s="2" t="s">
        <v>255</v>
      </c>
      <c r="D76" s="3" t="s">
        <v>256</v>
      </c>
      <c r="E76" s="106" t="s">
        <v>115</v>
      </c>
      <c r="F76" s="215">
        <v>45422</v>
      </c>
      <c r="G76" s="103">
        <v>45422</v>
      </c>
      <c r="H76" s="172">
        <v>0.33333333333333331</v>
      </c>
    </row>
    <row r="77" spans="1:8" s="9" customFormat="1" x14ac:dyDescent="0.25">
      <c r="B77" s="10" t="s">
        <v>23</v>
      </c>
      <c r="C77" s="2" t="s">
        <v>252</v>
      </c>
      <c r="D77" s="3" t="s">
        <v>253</v>
      </c>
      <c r="E77" s="10" t="s">
        <v>164</v>
      </c>
      <c r="F77" s="215">
        <v>45425</v>
      </c>
      <c r="G77" s="103">
        <v>45427</v>
      </c>
      <c r="H77" s="172">
        <v>0.33333333333333331</v>
      </c>
    </row>
    <row r="78" spans="1:8" x14ac:dyDescent="0.25">
      <c r="A78" s="9"/>
      <c r="B78" s="10" t="s">
        <v>18</v>
      </c>
      <c r="C78" s="2" t="s">
        <v>233</v>
      </c>
      <c r="D78" s="3">
        <v>3683</v>
      </c>
      <c r="E78" s="10" t="s">
        <v>102</v>
      </c>
      <c r="F78" s="213">
        <v>45432</v>
      </c>
      <c r="G78" s="11">
        <v>45434</v>
      </c>
      <c r="H78" s="172">
        <v>0.33333333333333331</v>
      </c>
    </row>
    <row r="79" spans="1:8" x14ac:dyDescent="0.25">
      <c r="A79" s="9"/>
      <c r="B79" s="10" t="s">
        <v>18</v>
      </c>
      <c r="C79" s="2" t="str">
        <f>VLOOKUP(Table2[[#This Row],[Course]],Data!$A$1:$E$56,2,FALSE)</f>
        <v>A-493-2301</v>
      </c>
      <c r="D79" s="3" t="str">
        <f>VLOOKUP(Table2[[#This Row],[Course]],Data!$A$1:$E$56,3,FALSE)</f>
        <v>05ZD</v>
      </c>
      <c r="E79" s="106" t="s">
        <v>359</v>
      </c>
      <c r="F79" s="213">
        <v>45432</v>
      </c>
      <c r="G79" s="11">
        <v>45434</v>
      </c>
      <c r="H79" s="172">
        <v>0.33333333333333331</v>
      </c>
    </row>
    <row r="80" spans="1:8" x14ac:dyDescent="0.25">
      <c r="A80" s="9"/>
      <c r="B80" s="10" t="s">
        <v>18</v>
      </c>
      <c r="C80" s="2" t="str">
        <f>VLOOKUP(Table2[[#This Row],[Course]],Data!$A$1:$E$56,2,FALSE)</f>
        <v>A-493-2501</v>
      </c>
      <c r="D80" s="3" t="str">
        <f>VLOOKUP(Table2[[#This Row],[Course]],Data!$A$1:$E$56,3,FALSE)</f>
        <v>05ZE</v>
      </c>
      <c r="E80" s="10" t="s">
        <v>108</v>
      </c>
      <c r="F80" s="213">
        <v>45433</v>
      </c>
      <c r="G80" s="11">
        <v>45435</v>
      </c>
      <c r="H80" s="172">
        <v>0.33333333333333331</v>
      </c>
    </row>
    <row r="81" spans="1:8" x14ac:dyDescent="0.25">
      <c r="A81" s="9"/>
      <c r="B81" s="10" t="s">
        <v>18</v>
      </c>
      <c r="C81" s="2" t="str">
        <f>VLOOKUP(Table2[[#This Row],[Course]],Data!$A$1:$E$56,2,FALSE)</f>
        <v>A-493-0012</v>
      </c>
      <c r="D81" s="3">
        <f>VLOOKUP(Table2[[#This Row],[Course]],Data!$A$1:$E$56,3,FALSE)</f>
        <v>3682</v>
      </c>
      <c r="E81" s="10" t="s">
        <v>121</v>
      </c>
      <c r="F81" s="213">
        <v>45440</v>
      </c>
      <c r="G81" s="11">
        <v>45442</v>
      </c>
      <c r="H81" s="172">
        <v>0.33333333333333331</v>
      </c>
    </row>
    <row r="82" spans="1:8" x14ac:dyDescent="0.25">
      <c r="A82" s="9"/>
      <c r="B82" s="10" t="s">
        <v>17</v>
      </c>
      <c r="C82" s="2" t="str">
        <f>VLOOKUP(Table2[[#This Row],[Course]],Data!$A$1:$E$56,2,FALSE)</f>
        <v>Holiday</v>
      </c>
      <c r="D82" s="3" t="str">
        <f>VLOOKUP(Table2[[#This Row],[Course]],Data!$A$1:$E$56,3,FALSE)</f>
        <v>Holiday</v>
      </c>
      <c r="E82" s="10" t="s">
        <v>434</v>
      </c>
      <c r="F82" s="213">
        <v>45446</v>
      </c>
      <c r="G82" s="11">
        <v>45450</v>
      </c>
      <c r="H82" s="172">
        <v>0.33333333333333331</v>
      </c>
    </row>
    <row r="83" spans="1:8" x14ac:dyDescent="0.25">
      <c r="A83" s="9"/>
      <c r="B83" s="105" t="s">
        <v>23</v>
      </c>
      <c r="C83" s="2" t="s">
        <v>252</v>
      </c>
      <c r="D83" s="3" t="s">
        <v>253</v>
      </c>
      <c r="E83" s="10" t="s">
        <v>133</v>
      </c>
      <c r="F83" s="213">
        <v>45446</v>
      </c>
      <c r="G83" s="11">
        <v>45448</v>
      </c>
      <c r="H83" s="172">
        <v>0.33333333333333331</v>
      </c>
    </row>
    <row r="84" spans="1:8" x14ac:dyDescent="0.25">
      <c r="A84" s="9"/>
      <c r="B84" s="10" t="s">
        <v>25</v>
      </c>
      <c r="C84" s="2" t="s">
        <v>257</v>
      </c>
      <c r="D84" s="3" t="s">
        <v>258</v>
      </c>
      <c r="E84" s="106" t="s">
        <v>110</v>
      </c>
      <c r="F84" s="213">
        <v>45446</v>
      </c>
      <c r="G84" s="11">
        <v>45447</v>
      </c>
      <c r="H84" s="172">
        <v>0.33333333333333331</v>
      </c>
    </row>
    <row r="85" spans="1:8" x14ac:dyDescent="0.25">
      <c r="A85" s="9"/>
      <c r="B85" s="10" t="s">
        <v>18</v>
      </c>
      <c r="C85" s="2" t="str">
        <f>VLOOKUP(Table2[[#This Row],[Course]],Data!$A$1:$E$56,2,FALSE)</f>
        <v>A-493-0085</v>
      </c>
      <c r="D85" s="3">
        <v>3683</v>
      </c>
      <c r="E85" s="106" t="s">
        <v>131</v>
      </c>
      <c r="F85" s="213">
        <v>45453</v>
      </c>
      <c r="G85" s="11">
        <v>45455</v>
      </c>
      <c r="H85" s="172">
        <v>0.33333333333333331</v>
      </c>
    </row>
    <row r="86" spans="1:8" x14ac:dyDescent="0.25">
      <c r="B86" t="s">
        <v>26</v>
      </c>
      <c r="C86" t="s">
        <v>260</v>
      </c>
      <c r="D86" s="210" t="s">
        <v>261</v>
      </c>
      <c r="E86" t="s">
        <v>291</v>
      </c>
      <c r="F86" s="213">
        <v>45455</v>
      </c>
      <c r="G86" s="11">
        <v>45455</v>
      </c>
      <c r="H86" s="172"/>
    </row>
    <row r="87" spans="1:8" x14ac:dyDescent="0.25">
      <c r="A87" s="9"/>
      <c r="B87" s="10" t="s">
        <v>26</v>
      </c>
      <c r="C87" s="2" t="s">
        <v>260</v>
      </c>
      <c r="D87" s="3" t="s">
        <v>261</v>
      </c>
      <c r="E87" s="10" t="s">
        <v>135</v>
      </c>
      <c r="F87" s="213">
        <v>45460</v>
      </c>
      <c r="G87" s="11">
        <v>45460</v>
      </c>
      <c r="H87" s="172">
        <v>0.33333333333333331</v>
      </c>
    </row>
    <row r="88" spans="1:8" x14ac:dyDescent="0.25">
      <c r="A88" s="9"/>
      <c r="B88" s="10" t="s">
        <v>24</v>
      </c>
      <c r="C88" s="2" t="s">
        <v>255</v>
      </c>
      <c r="D88" s="3" t="s">
        <v>256</v>
      </c>
      <c r="E88" s="10" t="s">
        <v>116</v>
      </c>
      <c r="F88" s="215">
        <v>45460</v>
      </c>
      <c r="G88" s="103">
        <v>45460</v>
      </c>
      <c r="H88" s="172"/>
    </row>
    <row r="89" spans="1:8" x14ac:dyDescent="0.25">
      <c r="A89" s="9"/>
      <c r="B89" s="10" t="s">
        <v>23</v>
      </c>
      <c r="C89" s="2" t="s">
        <v>252</v>
      </c>
      <c r="D89" s="3" t="s">
        <v>253</v>
      </c>
      <c r="E89" s="106" t="s">
        <v>108</v>
      </c>
      <c r="F89" s="215">
        <v>45467</v>
      </c>
      <c r="G89" s="103">
        <v>45469</v>
      </c>
      <c r="H89" s="172">
        <v>0.33333333333333331</v>
      </c>
    </row>
    <row r="90" spans="1:8" x14ac:dyDescent="0.25">
      <c r="A90" s="9"/>
      <c r="B90" s="10" t="s">
        <v>24</v>
      </c>
      <c r="C90" s="2" t="s">
        <v>255</v>
      </c>
      <c r="D90" s="3" t="s">
        <v>256</v>
      </c>
      <c r="E90" s="106" t="s">
        <v>108</v>
      </c>
      <c r="F90" s="215">
        <v>45470</v>
      </c>
      <c r="G90" s="103">
        <v>45470</v>
      </c>
      <c r="H90" s="172">
        <v>0.33333333333333331</v>
      </c>
    </row>
    <row r="91" spans="1:8" x14ac:dyDescent="0.25">
      <c r="A91" s="9"/>
      <c r="B91" s="105" t="s">
        <v>23</v>
      </c>
      <c r="C91" s="2" t="s">
        <v>252</v>
      </c>
      <c r="D91" s="3" t="s">
        <v>253</v>
      </c>
      <c r="E91" s="106" t="s">
        <v>117</v>
      </c>
      <c r="F91" s="215">
        <v>45488</v>
      </c>
      <c r="G91" s="103">
        <v>45490</v>
      </c>
      <c r="H91" s="172">
        <v>0.33333333333333331</v>
      </c>
    </row>
    <row r="92" spans="1:8" x14ac:dyDescent="0.25">
      <c r="A92" s="9"/>
      <c r="B92" s="10" t="s">
        <v>24</v>
      </c>
      <c r="C92" s="2" t="s">
        <v>255</v>
      </c>
      <c r="D92" s="3" t="s">
        <v>256</v>
      </c>
      <c r="E92" s="106" t="s">
        <v>117</v>
      </c>
      <c r="F92" s="215">
        <v>45491</v>
      </c>
      <c r="G92" s="103">
        <v>45491</v>
      </c>
      <c r="H92" s="172">
        <v>0.33333333333333331</v>
      </c>
    </row>
    <row r="93" spans="1:8" x14ac:dyDescent="0.25">
      <c r="A93" s="9"/>
      <c r="B93" s="105" t="s">
        <v>23</v>
      </c>
      <c r="C93" s="2" t="s">
        <v>252</v>
      </c>
      <c r="D93" s="3" t="s">
        <v>253</v>
      </c>
      <c r="E93" s="10" t="s">
        <v>104</v>
      </c>
      <c r="F93" s="213">
        <v>45496</v>
      </c>
      <c r="G93" s="11">
        <v>45498</v>
      </c>
      <c r="H93" s="172">
        <v>0.33333333333333331</v>
      </c>
    </row>
    <row r="94" spans="1:8" x14ac:dyDescent="0.25">
      <c r="A94" s="9"/>
      <c r="B94" s="10" t="s">
        <v>24</v>
      </c>
      <c r="C94" s="2" t="s">
        <v>255</v>
      </c>
      <c r="D94" s="3" t="s">
        <v>256</v>
      </c>
      <c r="E94" s="10" t="s">
        <v>104</v>
      </c>
      <c r="F94" s="213">
        <v>45499</v>
      </c>
      <c r="G94" s="11">
        <v>45499</v>
      </c>
      <c r="H94" s="172">
        <v>0.33333333333333331</v>
      </c>
    </row>
    <row r="95" spans="1:8" x14ac:dyDescent="0.25">
      <c r="A95" s="9"/>
      <c r="B95" s="10" t="s">
        <v>17</v>
      </c>
      <c r="C95" s="2" t="str">
        <f>VLOOKUP(Table2[[#This Row],[Course]],Data!$A$1:$E$56,2,FALSE)</f>
        <v>A-493-0078</v>
      </c>
      <c r="D95" s="3">
        <f>VLOOKUP(Table2[[#This Row],[Course]],Data!$A$1:$E$56,3,FALSE)</f>
        <v>1228</v>
      </c>
      <c r="E95" s="106" t="s">
        <v>103</v>
      </c>
      <c r="F95" s="215">
        <v>45502</v>
      </c>
      <c r="G95" s="11">
        <v>45506</v>
      </c>
      <c r="H95" s="172">
        <v>0.33333333333333331</v>
      </c>
    </row>
    <row r="96" spans="1:8" x14ac:dyDescent="0.25">
      <c r="A96" s="9"/>
      <c r="B96" s="10" t="s">
        <v>17</v>
      </c>
      <c r="C96" s="2" t="str">
        <f>VLOOKUP(Table2[[#This Row],[Course]],Data!$A$1:$E$56,2,FALSE)</f>
        <v>A-493-0013</v>
      </c>
      <c r="D96" s="3">
        <f>VLOOKUP(Table2[[#This Row],[Course]],Data!$A$1:$E$56,3,FALSE)</f>
        <v>3683</v>
      </c>
      <c r="E96" s="106" t="s">
        <v>151</v>
      </c>
      <c r="F96" s="215">
        <v>45509</v>
      </c>
      <c r="G96" s="11">
        <v>45513</v>
      </c>
      <c r="H96" s="172">
        <v>0.33333333333333331</v>
      </c>
    </row>
    <row r="97" spans="1:8" x14ac:dyDescent="0.25">
      <c r="A97" s="9"/>
      <c r="B97" s="10" t="s">
        <v>25</v>
      </c>
      <c r="C97" s="2" t="s">
        <v>257</v>
      </c>
      <c r="D97" s="3" t="s">
        <v>258</v>
      </c>
      <c r="E97" s="10" t="s">
        <v>124</v>
      </c>
      <c r="F97" s="213">
        <v>45509</v>
      </c>
      <c r="G97" s="11">
        <v>45510</v>
      </c>
      <c r="H97" s="172">
        <v>0.33333333333333331</v>
      </c>
    </row>
    <row r="98" spans="1:8" x14ac:dyDescent="0.25">
      <c r="A98" s="9"/>
      <c r="B98" s="10" t="s">
        <v>26</v>
      </c>
      <c r="C98" s="2" t="str">
        <f>VLOOKUP(Table2[[#This Row],[Course]],Data!$A$1:$E$56,2,FALSE)</f>
        <v>A-493-0072</v>
      </c>
      <c r="D98" s="3" t="str">
        <f>VLOOKUP(Table2[[#This Row],[Course]],Data!$A$1:$E$56,3,FALSE)</f>
        <v>713U</v>
      </c>
      <c r="E98" s="10" t="s">
        <v>124</v>
      </c>
      <c r="F98" s="213">
        <v>45511</v>
      </c>
      <c r="G98" s="11">
        <v>45511</v>
      </c>
      <c r="H98" s="172">
        <v>0.33333333333333331</v>
      </c>
    </row>
    <row r="99" spans="1:8" x14ac:dyDescent="0.25">
      <c r="A99" s="9"/>
      <c r="B99" s="10" t="s">
        <v>24</v>
      </c>
      <c r="C99" s="2" t="s">
        <v>255</v>
      </c>
      <c r="D99" s="3" t="s">
        <v>256</v>
      </c>
      <c r="E99" s="106" t="s">
        <v>156</v>
      </c>
      <c r="F99" s="215">
        <v>45512</v>
      </c>
      <c r="G99" s="103">
        <v>45512</v>
      </c>
      <c r="H99" s="172">
        <v>0.33333333333333331</v>
      </c>
    </row>
    <row r="100" spans="1:8" x14ac:dyDescent="0.25">
      <c r="A100" s="9"/>
      <c r="B100" s="10" t="s">
        <v>25</v>
      </c>
      <c r="C100" s="2" t="s">
        <v>257</v>
      </c>
      <c r="D100" s="3" t="s">
        <v>258</v>
      </c>
      <c r="E100" s="10" t="s">
        <v>133</v>
      </c>
      <c r="F100" s="213">
        <v>45516</v>
      </c>
      <c r="G100" s="11">
        <v>45517</v>
      </c>
      <c r="H100" s="172">
        <v>0.33333333333333331</v>
      </c>
    </row>
    <row r="101" spans="1:8" x14ac:dyDescent="0.25">
      <c r="A101" s="9"/>
      <c r="B101" s="10" t="s">
        <v>18</v>
      </c>
      <c r="C101" s="2" t="str">
        <f>VLOOKUP(Table2[[#This Row],[Course]],Data!$A$1:$E$56,2,FALSE)</f>
        <v>A-322-2604</v>
      </c>
      <c r="D101" s="3" t="str">
        <f>VLOOKUP(Table2[[#This Row],[Course]],Data!$A$1:$E$56,3,FALSE)</f>
        <v>10ZZ</v>
      </c>
      <c r="E101" s="9" t="s">
        <v>199</v>
      </c>
      <c r="F101" s="213">
        <v>45530</v>
      </c>
      <c r="G101" s="11">
        <v>45532</v>
      </c>
      <c r="H101" s="172">
        <v>0.33333333333333331</v>
      </c>
    </row>
    <row r="102" spans="1:8" x14ac:dyDescent="0.25">
      <c r="A102" s="9"/>
      <c r="B102" s="10" t="s">
        <v>18</v>
      </c>
      <c r="C102" s="2" t="str">
        <f>VLOOKUP(Table2[[#This Row],[Course]],Data!$A$1:$E$56,2,FALSE)</f>
        <v>A-493-0092</v>
      </c>
      <c r="D102" s="3">
        <f>VLOOKUP(Table2[[#This Row],[Course]],Data!$A$1:$E$56,3,FALSE)</f>
        <v>5891</v>
      </c>
      <c r="E102" s="10" t="s">
        <v>115</v>
      </c>
      <c r="F102" s="213">
        <v>45531</v>
      </c>
      <c r="G102" s="11">
        <v>45533</v>
      </c>
      <c r="H102" s="172">
        <v>0.33333333333333331</v>
      </c>
    </row>
    <row r="103" spans="1:8" x14ac:dyDescent="0.25">
      <c r="A103" s="9"/>
      <c r="B103" s="10" t="s">
        <v>27</v>
      </c>
      <c r="C103" s="2" t="s">
        <v>264</v>
      </c>
      <c r="D103" s="3" t="s">
        <v>265</v>
      </c>
      <c r="E103" s="106" t="s">
        <v>254</v>
      </c>
      <c r="F103" s="213">
        <v>45532</v>
      </c>
      <c r="G103" s="11">
        <v>45532</v>
      </c>
      <c r="H103" s="172">
        <v>0.33333333333333331</v>
      </c>
    </row>
    <row r="104" spans="1:8" x14ac:dyDescent="0.25">
      <c r="A104" s="9"/>
      <c r="B104" s="10" t="s">
        <v>24</v>
      </c>
      <c r="C104" s="2" t="s">
        <v>255</v>
      </c>
      <c r="D104" s="3" t="s">
        <v>256</v>
      </c>
      <c r="E104" s="106" t="s">
        <v>147</v>
      </c>
      <c r="F104" s="215">
        <v>45533</v>
      </c>
      <c r="G104" s="103">
        <v>45533</v>
      </c>
      <c r="H104" s="172">
        <v>0.33333333333333331</v>
      </c>
    </row>
    <row r="105" spans="1:8" x14ac:dyDescent="0.25">
      <c r="A105" s="9"/>
      <c r="B105" s="105" t="s">
        <v>23</v>
      </c>
      <c r="C105" s="2" t="s">
        <v>252</v>
      </c>
      <c r="D105" s="3" t="s">
        <v>253</v>
      </c>
      <c r="E105" s="10" t="s">
        <v>133</v>
      </c>
      <c r="F105" s="215">
        <v>45538</v>
      </c>
      <c r="G105" s="103">
        <v>45540</v>
      </c>
      <c r="H105" s="172">
        <v>0.33333333333333331</v>
      </c>
    </row>
    <row r="106" spans="1:8" x14ac:dyDescent="0.25">
      <c r="A106" s="9"/>
      <c r="B106" s="105" t="s">
        <v>23</v>
      </c>
      <c r="C106" s="2" t="s">
        <v>252</v>
      </c>
      <c r="D106" s="3" t="s">
        <v>253</v>
      </c>
      <c r="E106" s="106" t="s">
        <v>150</v>
      </c>
      <c r="F106" s="215">
        <v>45538</v>
      </c>
      <c r="G106" s="103">
        <v>45540</v>
      </c>
      <c r="H106" s="172">
        <v>0.33333333333333331</v>
      </c>
    </row>
    <row r="107" spans="1:8" x14ac:dyDescent="0.25">
      <c r="A107" s="9"/>
      <c r="B107" s="10" t="s">
        <v>24</v>
      </c>
      <c r="C107" s="2" t="s">
        <v>255</v>
      </c>
      <c r="D107" s="3" t="s">
        <v>256</v>
      </c>
      <c r="E107" s="10" t="s">
        <v>133</v>
      </c>
      <c r="F107" s="215">
        <v>45541</v>
      </c>
      <c r="G107" s="103">
        <v>45541</v>
      </c>
      <c r="H107" s="172">
        <v>0.33333333333333331</v>
      </c>
    </row>
    <row r="108" spans="1:8" x14ac:dyDescent="0.25">
      <c r="A108" s="9"/>
      <c r="B108" s="10" t="s">
        <v>24</v>
      </c>
      <c r="C108" s="2" t="s">
        <v>255</v>
      </c>
      <c r="D108" s="3" t="s">
        <v>256</v>
      </c>
      <c r="E108" s="106" t="s">
        <v>150</v>
      </c>
      <c r="F108" s="215">
        <v>45541</v>
      </c>
      <c r="G108" s="103">
        <v>45541</v>
      </c>
      <c r="H108" s="172">
        <v>0.33333333333333331</v>
      </c>
    </row>
    <row r="109" spans="1:8" x14ac:dyDescent="0.25">
      <c r="A109" s="9"/>
      <c r="B109" s="10" t="s">
        <v>17</v>
      </c>
      <c r="C109" s="2" t="str">
        <f>VLOOKUP(Table2[[#This Row],[Course]],Data!$A$1:$E$56,2,FALSE)</f>
        <v>A-493-0013</v>
      </c>
      <c r="D109" s="3">
        <f>VLOOKUP(Table2[[#This Row],[Course]],Data!$A$1:$E$56,3,FALSE)</f>
        <v>3683</v>
      </c>
      <c r="E109" s="10" t="s">
        <v>287</v>
      </c>
      <c r="F109" s="213">
        <v>45544</v>
      </c>
      <c r="G109" s="11">
        <v>45548</v>
      </c>
      <c r="H109" s="172">
        <v>0.33333333333333331</v>
      </c>
    </row>
    <row r="110" spans="1:8" x14ac:dyDescent="0.25">
      <c r="A110" s="9"/>
      <c r="B110" s="10" t="s">
        <v>17</v>
      </c>
      <c r="C110" s="2" t="str">
        <f>VLOOKUP(Table2[[#This Row],[Course]],Data!$A$1:$E$56,2,FALSE)</f>
        <v>A-493-0061</v>
      </c>
      <c r="D110" s="3">
        <v>3682</v>
      </c>
      <c r="E110" s="106" t="s">
        <v>359</v>
      </c>
      <c r="F110" s="215">
        <v>45544</v>
      </c>
      <c r="G110" s="11">
        <v>45548</v>
      </c>
      <c r="H110" s="172">
        <v>0.33333333333333331</v>
      </c>
    </row>
    <row r="111" spans="1:8" x14ac:dyDescent="0.25">
      <c r="A111" s="9"/>
      <c r="B111" s="10" t="s">
        <v>27</v>
      </c>
      <c r="C111" s="2" t="s">
        <v>264</v>
      </c>
      <c r="D111" s="3" t="s">
        <v>265</v>
      </c>
      <c r="E111" s="106" t="s">
        <v>109</v>
      </c>
      <c r="F111" s="213">
        <v>45547</v>
      </c>
      <c r="G111" s="11">
        <v>45547</v>
      </c>
      <c r="H111" s="172">
        <v>0.33333333333333331</v>
      </c>
    </row>
    <row r="112" spans="1:8" s="157" customFormat="1" ht="14.25" customHeight="1" x14ac:dyDescent="0.25">
      <c r="A112" s="9"/>
      <c r="B112" s="10" t="s">
        <v>17</v>
      </c>
      <c r="C112" s="2" t="str">
        <f>VLOOKUP(Table2[[#This Row],[Course]],Data!$A$1:$E$56,2,FALSE)</f>
        <v>A-493-0077</v>
      </c>
      <c r="D112" s="3">
        <v>3682</v>
      </c>
      <c r="E112" s="10" t="s">
        <v>155</v>
      </c>
      <c r="F112" s="213">
        <v>45551</v>
      </c>
      <c r="G112" s="11">
        <v>45555</v>
      </c>
      <c r="H112" s="172">
        <v>0.33333333333333331</v>
      </c>
    </row>
    <row r="113" spans="1:8" x14ac:dyDescent="0.25">
      <c r="A113" t="s">
        <v>426</v>
      </c>
      <c r="B113" t="s">
        <v>17</v>
      </c>
      <c r="C113" t="s">
        <v>232</v>
      </c>
      <c r="D113" s="210">
        <v>3682</v>
      </c>
      <c r="E113" t="s">
        <v>133</v>
      </c>
      <c r="F113" s="213">
        <v>45558</v>
      </c>
      <c r="G113" s="11">
        <v>45562</v>
      </c>
      <c r="H113" s="172">
        <v>0.33333333333333331</v>
      </c>
    </row>
    <row r="114" spans="1:8" x14ac:dyDescent="0.25">
      <c r="A114" s="9"/>
      <c r="B114" s="10" t="s">
        <v>25</v>
      </c>
      <c r="C114" s="2" t="s">
        <v>257</v>
      </c>
      <c r="D114" s="3" t="s">
        <v>258</v>
      </c>
      <c r="E114" s="10" t="s">
        <v>147</v>
      </c>
      <c r="F114" s="213">
        <v>45558</v>
      </c>
      <c r="G114" s="11">
        <v>45559</v>
      </c>
      <c r="H114" s="172">
        <v>0.33333333333333331</v>
      </c>
    </row>
    <row r="115" spans="1:8" x14ac:dyDescent="0.25">
      <c r="A115" s="9"/>
      <c r="B115" s="10" t="s">
        <v>25</v>
      </c>
      <c r="C115" s="2" t="s">
        <v>257</v>
      </c>
      <c r="D115" s="3" t="s">
        <v>258</v>
      </c>
      <c r="E115" s="106" t="s">
        <v>151</v>
      </c>
      <c r="F115" s="213">
        <v>45558</v>
      </c>
      <c r="G115" s="11">
        <v>45559</v>
      </c>
      <c r="H115" s="172">
        <v>0.33333333333333331</v>
      </c>
    </row>
    <row r="116" spans="1:8" x14ac:dyDescent="0.25">
      <c r="A116" t="s">
        <v>435</v>
      </c>
      <c r="B116" t="s">
        <v>27</v>
      </c>
      <c r="C116" t="s">
        <v>264</v>
      </c>
      <c r="D116" s="210" t="s">
        <v>265</v>
      </c>
      <c r="E116" t="s">
        <v>151</v>
      </c>
      <c r="F116" s="213">
        <v>45560</v>
      </c>
      <c r="G116" s="11">
        <v>45560</v>
      </c>
      <c r="H116" s="172">
        <v>0.33333333333333331</v>
      </c>
    </row>
    <row r="117" spans="1:8" x14ac:dyDescent="0.25">
      <c r="A117" s="9"/>
      <c r="B117" s="10" t="s">
        <v>35</v>
      </c>
      <c r="C117" s="2" t="s">
        <v>300</v>
      </c>
      <c r="D117" s="3" t="s">
        <v>301</v>
      </c>
      <c r="E117" s="10" t="s">
        <v>147</v>
      </c>
      <c r="F117" s="213">
        <v>45562</v>
      </c>
      <c r="G117" s="11">
        <v>45562</v>
      </c>
      <c r="H117" s="172">
        <v>0.33333333333333331</v>
      </c>
    </row>
    <row r="118" spans="1:8" s="157" customFormat="1" ht="16.5" customHeight="1" x14ac:dyDescent="0.25">
      <c r="A118" s="101" t="s">
        <v>436</v>
      </c>
      <c r="B118" s="166" t="s">
        <v>10</v>
      </c>
      <c r="C118" s="167" t="str">
        <f>VLOOKUP(Table2[[#This Row],[Course]],Data!$A$1:$E$56,2,FALSE)</f>
        <v xml:space="preserve">A-493-0075 </v>
      </c>
      <c r="D118" s="211" t="str">
        <f>VLOOKUP(Table2[[#This Row],[Course]],Data!$A$1:$E$56,3,FALSE)</f>
        <v>714U</v>
      </c>
      <c r="E118" s="166" t="s">
        <v>254</v>
      </c>
      <c r="F118" s="214">
        <v>45327</v>
      </c>
      <c r="G118" s="169">
        <v>45331</v>
      </c>
      <c r="H118" s="172">
        <v>0.33333333333333331</v>
      </c>
    </row>
    <row r="119" spans="1:8" s="157" customFormat="1" ht="14.25" customHeight="1" x14ac:dyDescent="0.25">
      <c r="A119" s="101" t="s">
        <v>436</v>
      </c>
      <c r="B119" s="166" t="s">
        <v>6</v>
      </c>
      <c r="C119" s="167" t="str">
        <f>VLOOKUP(Table2[[#This Row],[Course]],Data!$A$1:$E$56,2,FALSE)</f>
        <v>A-493-0331</v>
      </c>
      <c r="D119" s="211" t="str">
        <f>VLOOKUP(Table2[[#This Row],[Course]],Data!$A$1:$E$56,3,FALSE)</f>
        <v>10UG</v>
      </c>
      <c r="E119" s="166" t="s">
        <v>254</v>
      </c>
      <c r="F119" s="214">
        <v>45334</v>
      </c>
      <c r="G119" s="169">
        <v>45336</v>
      </c>
      <c r="H119" s="172">
        <v>0.33333333333333331</v>
      </c>
    </row>
    <row r="120" spans="1:8" s="157" customFormat="1" ht="14.25" customHeight="1" x14ac:dyDescent="0.25">
      <c r="A120" s="101" t="s">
        <v>436</v>
      </c>
      <c r="B120" s="166" t="s">
        <v>8</v>
      </c>
      <c r="C120" s="167" t="str">
        <f>VLOOKUP(Table2[[#This Row],[Course]],Data!$A$1:$E$56,2,FALSE)</f>
        <v>A-493-0013</v>
      </c>
      <c r="D120" s="211">
        <v>3882</v>
      </c>
      <c r="E120" s="166" t="s">
        <v>254</v>
      </c>
      <c r="F120" s="214">
        <v>45337</v>
      </c>
      <c r="G120" s="169">
        <v>45338</v>
      </c>
      <c r="H120" s="172">
        <v>0.33333333333333331</v>
      </c>
    </row>
    <row r="121" spans="1:8" x14ac:dyDescent="0.25">
      <c r="A121" t="s">
        <v>437</v>
      </c>
      <c r="B121" t="s">
        <v>20</v>
      </c>
      <c r="C121" t="s">
        <v>240</v>
      </c>
      <c r="D121" s="210" t="s">
        <v>241</v>
      </c>
      <c r="E121" s="203" t="s">
        <v>104</v>
      </c>
      <c r="F121" s="216">
        <v>45314</v>
      </c>
      <c r="G121" s="169">
        <v>45317</v>
      </c>
      <c r="H121" s="172">
        <v>0.33333333333333331</v>
      </c>
    </row>
    <row r="122" spans="1:8" x14ac:dyDescent="0.25">
      <c r="A122" t="s">
        <v>438</v>
      </c>
      <c r="B122" t="s">
        <v>20</v>
      </c>
      <c r="C122" t="s">
        <v>240</v>
      </c>
      <c r="D122" s="210" t="s">
        <v>241</v>
      </c>
      <c r="E122" t="s">
        <v>146</v>
      </c>
      <c r="F122" s="216">
        <v>45321</v>
      </c>
      <c r="G122" s="203">
        <v>45324</v>
      </c>
      <c r="H122" s="172">
        <v>800</v>
      </c>
    </row>
    <row r="123" spans="1:8" s="157" customFormat="1" ht="14.25" customHeight="1" x14ac:dyDescent="0.25">
      <c r="A123" s="101" t="s">
        <v>439</v>
      </c>
      <c r="B123" s="166" t="s">
        <v>15</v>
      </c>
      <c r="C123" s="167" t="str">
        <f>VLOOKUP(Table2[[#This Row],[Course]],Data!$A$1:$E$56,2,FALSE)</f>
        <v>A-493-0103</v>
      </c>
      <c r="D123" s="211" t="s">
        <v>222</v>
      </c>
      <c r="E123" s="105" t="s">
        <v>140</v>
      </c>
      <c r="F123" s="214">
        <v>45334</v>
      </c>
      <c r="G123" s="169">
        <v>45338</v>
      </c>
      <c r="H123" s="172">
        <v>0.33333333333333331</v>
      </c>
    </row>
    <row r="124" spans="1:8" x14ac:dyDescent="0.25">
      <c r="A124" t="s">
        <v>440</v>
      </c>
      <c r="B124" s="166" t="s">
        <v>27</v>
      </c>
      <c r="C124" t="s">
        <v>264</v>
      </c>
      <c r="D124" s="210" t="s">
        <v>265</v>
      </c>
      <c r="E124" t="s">
        <v>441</v>
      </c>
      <c r="F124" s="216">
        <v>45512</v>
      </c>
      <c r="G124" s="203">
        <v>45512</v>
      </c>
      <c r="H124" s="172">
        <v>800</v>
      </c>
    </row>
    <row r="125" spans="1:8" x14ac:dyDescent="0.25">
      <c r="A125" t="s">
        <v>442</v>
      </c>
      <c r="B125" s="166" t="s">
        <v>35</v>
      </c>
      <c r="C125" s="167" t="str">
        <f>VLOOKUP(Table2[[#This Row],[Course]],Data!$A$1:$E$56,2,FALSE)</f>
        <v xml:space="preserve">A-493-0075 </v>
      </c>
      <c r="D125" s="211" t="s">
        <v>301</v>
      </c>
      <c r="E125" s="166" t="s">
        <v>320</v>
      </c>
      <c r="F125" s="169">
        <v>45345</v>
      </c>
      <c r="G125" s="169">
        <v>45345</v>
      </c>
      <c r="H125" s="172">
        <v>0.33333333333333331</v>
      </c>
    </row>
    <row r="126" spans="1:8" x14ac:dyDescent="0.25">
      <c r="A126" t="s">
        <v>443</v>
      </c>
      <c r="B126" s="166" t="s">
        <v>26</v>
      </c>
      <c r="C126" s="167" t="str">
        <f>VLOOKUP(Table2[[#This Row],[Course]],Data!$A$1:$E$56,2,FALSE)</f>
        <v>A-322-2604</v>
      </c>
      <c r="D126" s="211" t="s">
        <v>261</v>
      </c>
      <c r="E126" s="166" t="s">
        <v>133</v>
      </c>
      <c r="F126" s="169">
        <v>45518</v>
      </c>
      <c r="G126" s="169">
        <v>45518</v>
      </c>
      <c r="H126" s="172">
        <v>0.33333333333333331</v>
      </c>
    </row>
    <row r="127" spans="1:8" x14ac:dyDescent="0.25">
      <c r="A127" t="s">
        <v>444</v>
      </c>
      <c r="B127" s="166" t="s">
        <v>24</v>
      </c>
      <c r="C127" s="167" t="str">
        <f>VLOOKUP(Table2[[#This Row],[Course]],Data!$A$1:$E$56,2,FALSE)</f>
        <v>A-493-0083</v>
      </c>
      <c r="D127" s="211" t="s">
        <v>256</v>
      </c>
      <c r="E127" s="166" t="s">
        <v>155</v>
      </c>
      <c r="F127" s="108">
        <v>45316</v>
      </c>
      <c r="G127" s="108">
        <v>45316</v>
      </c>
      <c r="H127" s="172">
        <v>0.33333333333333331</v>
      </c>
    </row>
    <row r="128" spans="1:8" s="157" customFormat="1" ht="14.25" customHeight="1" x14ac:dyDescent="0.25">
      <c r="A128" s="101" t="s">
        <v>445</v>
      </c>
      <c r="B128" s="166" t="s">
        <v>26</v>
      </c>
      <c r="C128" s="167" t="s">
        <v>260</v>
      </c>
      <c r="D128" s="211" t="s">
        <v>446</v>
      </c>
      <c r="E128" s="105" t="s">
        <v>166</v>
      </c>
      <c r="F128" s="169">
        <v>45315</v>
      </c>
      <c r="G128" s="169">
        <v>45315</v>
      </c>
      <c r="H128" s="172">
        <v>0.33333333333333331</v>
      </c>
    </row>
    <row r="129" spans="1:8" s="146" customFormat="1" x14ac:dyDescent="0.25">
      <c r="A129" s="101" t="s">
        <v>447</v>
      </c>
      <c r="B129" s="166" t="s">
        <v>236</v>
      </c>
      <c r="C129" s="167" t="str">
        <f>VLOOKUP(Table2[[#This Row],[Course]],Data!$A$1:$E$56,2,FALSE)</f>
        <v>A-493-0013</v>
      </c>
      <c r="D129" s="211" t="s">
        <v>238</v>
      </c>
      <c r="E129" s="166" t="s">
        <v>309</v>
      </c>
      <c r="F129" s="169">
        <v>45432</v>
      </c>
      <c r="G129" s="169">
        <v>45436</v>
      </c>
      <c r="H129" s="172">
        <v>0.33333333333333331</v>
      </c>
    </row>
    <row r="130" spans="1:8" s="146" customFormat="1" x14ac:dyDescent="0.25">
      <c r="A130" s="101" t="s">
        <v>448</v>
      </c>
      <c r="B130" s="166" t="s">
        <v>17</v>
      </c>
      <c r="C130" s="167" t="s">
        <v>232</v>
      </c>
      <c r="D130" s="211">
        <v>3682</v>
      </c>
      <c r="E130" s="166" t="s">
        <v>121</v>
      </c>
      <c r="F130" s="169">
        <v>45425</v>
      </c>
      <c r="G130" s="169">
        <v>45429</v>
      </c>
      <c r="H130" s="172">
        <v>0.33333333333333331</v>
      </c>
    </row>
    <row r="131" spans="1:8" x14ac:dyDescent="0.25">
      <c r="A131" t="s">
        <v>449</v>
      </c>
      <c r="B131" t="s">
        <v>20</v>
      </c>
      <c r="C131" t="s">
        <v>240</v>
      </c>
      <c r="D131" t="s">
        <v>241</v>
      </c>
      <c r="E131" t="s">
        <v>147</v>
      </c>
      <c r="F131" s="216">
        <v>45356</v>
      </c>
      <c r="G131" s="203">
        <v>45359</v>
      </c>
      <c r="H131" s="172">
        <v>0.33333333333333331</v>
      </c>
    </row>
    <row r="132" spans="1:8" x14ac:dyDescent="0.25">
      <c r="A132" t="s">
        <v>450</v>
      </c>
      <c r="B132" s="166" t="s">
        <v>26</v>
      </c>
      <c r="C132" s="167" t="str">
        <f>VLOOKUP(Table2[[#This Row],[Course]],Data!$A$1:$E$56,2,FALSE)</f>
        <v>A-493-0335</v>
      </c>
      <c r="D132" s="211" t="s">
        <v>261</v>
      </c>
      <c r="E132" s="105" t="s">
        <v>158</v>
      </c>
      <c r="F132" s="169">
        <v>45467</v>
      </c>
      <c r="G132" s="169">
        <v>45467</v>
      </c>
      <c r="H132" s="172">
        <v>0.33333333333333331</v>
      </c>
    </row>
    <row r="133" spans="1:8" x14ac:dyDescent="0.25">
      <c r="A133" t="s">
        <v>450</v>
      </c>
      <c r="B133" s="166" t="s">
        <v>26</v>
      </c>
      <c r="C133" s="167" t="str">
        <f>VLOOKUP(Table2[[#This Row],[Course]],Data!$A$1:$E$56,2,FALSE)</f>
        <v>A-493-0073</v>
      </c>
      <c r="D133" s="211" t="s">
        <v>261</v>
      </c>
      <c r="E133" s="105" t="s">
        <v>160</v>
      </c>
      <c r="F133" s="169">
        <v>45537</v>
      </c>
      <c r="G133" s="169">
        <v>45537</v>
      </c>
      <c r="H133" s="172">
        <v>0.33333333333333331</v>
      </c>
    </row>
    <row r="134" spans="1:8" x14ac:dyDescent="0.25">
      <c r="A134" t="s">
        <v>450</v>
      </c>
      <c r="B134" s="166" t="s">
        <v>27</v>
      </c>
      <c r="C134" s="167" t="str">
        <f>VLOOKUP(Table2[[#This Row],[Course]],Data!$A$1:$E$56,2,FALSE)</f>
        <v>A-4J-0019</v>
      </c>
      <c r="D134" s="211" t="s">
        <v>265</v>
      </c>
      <c r="E134" s="166" t="s">
        <v>135</v>
      </c>
      <c r="F134" s="169">
        <v>45461</v>
      </c>
      <c r="G134" s="169">
        <v>45461</v>
      </c>
      <c r="H134" s="172">
        <v>0.33333333333333331</v>
      </c>
    </row>
    <row r="135" spans="1:8" x14ac:dyDescent="0.25">
      <c r="A135" t="s">
        <v>450</v>
      </c>
      <c r="B135" s="166" t="s">
        <v>27</v>
      </c>
      <c r="C135" s="167" t="str">
        <f>VLOOKUP(Table2[[#This Row],[Course]],Data!$A$1:$E$56,2,FALSE)</f>
        <v>A-493-0092</v>
      </c>
      <c r="D135" s="211" t="s">
        <v>265</v>
      </c>
      <c r="E135" s="105" t="s">
        <v>158</v>
      </c>
      <c r="F135" s="169">
        <v>45468</v>
      </c>
      <c r="G135" s="169">
        <v>45468</v>
      </c>
      <c r="H135" s="172">
        <v>0.33333333333333331</v>
      </c>
    </row>
    <row r="136" spans="1:8" x14ac:dyDescent="0.25">
      <c r="A136" t="s">
        <v>450</v>
      </c>
      <c r="B136" s="166" t="s">
        <v>35</v>
      </c>
      <c r="C136" s="167" t="str">
        <f>VLOOKUP(Table2[[#This Row],[Course]],Data!$A$1:$E$56,2,FALSE)</f>
        <v>A-493-0070</v>
      </c>
      <c r="D136" s="211" t="s">
        <v>301</v>
      </c>
      <c r="E136" s="105" t="s">
        <v>158</v>
      </c>
      <c r="F136" s="169">
        <v>45469</v>
      </c>
      <c r="G136" s="169">
        <v>45469</v>
      </c>
      <c r="H136" s="172"/>
    </row>
    <row r="137" spans="1:8" x14ac:dyDescent="0.25">
      <c r="A137" t="s">
        <v>450</v>
      </c>
      <c r="B137" s="166" t="s">
        <v>35</v>
      </c>
      <c r="C137" s="167" t="str">
        <f>VLOOKUP(Table2[[#This Row],[Course]],Data!$A$1:$E$56,2,FALSE)</f>
        <v>A-493-0103</v>
      </c>
      <c r="D137" s="211" t="s">
        <v>301</v>
      </c>
      <c r="E137" s="105" t="s">
        <v>160</v>
      </c>
      <c r="F137" s="169">
        <v>45538</v>
      </c>
      <c r="G137" s="169">
        <v>45538</v>
      </c>
      <c r="H137" s="172"/>
    </row>
    <row r="138" spans="1:8" x14ac:dyDescent="0.25">
      <c r="A138" t="s">
        <v>451</v>
      </c>
      <c r="B138" s="166" t="s">
        <v>281</v>
      </c>
      <c r="C138" s="167" t="str">
        <f>VLOOKUP(Table2[[#This Row],[Course]],Data!$A$1:$E$56,2,FALSE)</f>
        <v>A-493-0012</v>
      </c>
      <c r="D138" s="211" t="s">
        <v>283</v>
      </c>
      <c r="E138" s="166" t="s">
        <v>116</v>
      </c>
      <c r="F138" s="169">
        <v>45390</v>
      </c>
      <c r="G138" s="169">
        <v>45394</v>
      </c>
      <c r="H138" s="172"/>
    </row>
    <row r="139" spans="1:8" x14ac:dyDescent="0.25">
      <c r="A139" t="s">
        <v>452</v>
      </c>
      <c r="B139" s="166" t="s">
        <v>26</v>
      </c>
      <c r="C139" s="167" t="str">
        <f>VLOOKUP(Table2[[#This Row],[Course]],Data!$A$1:$E$56,2,FALSE)</f>
        <v>A-322-2604</v>
      </c>
      <c r="D139" s="211" t="str">
        <f>VLOOKUP(Table2[[#This Row],[Course]],Data!$A$1:$E$56,3,FALSE)</f>
        <v>10ZZ</v>
      </c>
      <c r="E139" s="105" t="s">
        <v>143</v>
      </c>
      <c r="F139" s="169">
        <v>45448</v>
      </c>
      <c r="G139" s="169">
        <v>45448</v>
      </c>
      <c r="H139" s="172"/>
    </row>
    <row r="140" spans="1:8" x14ac:dyDescent="0.25">
      <c r="A140" t="s">
        <v>452</v>
      </c>
      <c r="B140" s="166" t="s">
        <v>35</v>
      </c>
      <c r="C140" s="167" t="str">
        <f>VLOOKUP(Table2[[#This Row],[Course]],Data!$A$1:$E$56,2,FALSE)</f>
        <v>A-493-2300</v>
      </c>
      <c r="D140" s="211" t="str">
        <f>VLOOKUP(Table2[[#This Row],[Course]],Data!$A$1:$E$56,3,FALSE)</f>
        <v>993F</v>
      </c>
      <c r="E140" s="105" t="s">
        <v>254</v>
      </c>
      <c r="F140" s="169">
        <v>45533</v>
      </c>
      <c r="G140" s="169">
        <v>45533</v>
      </c>
      <c r="H140" s="172">
        <v>0.33333333333333331</v>
      </c>
    </row>
    <row r="141" spans="1:8" x14ac:dyDescent="0.25">
      <c r="A141" t="s">
        <v>452</v>
      </c>
      <c r="B141" s="166" t="s">
        <v>28</v>
      </c>
      <c r="C141" s="167" t="str">
        <f>VLOOKUP(Table2[[#This Row],[Course]],Data!$A$1:$E$56,2,FALSE)</f>
        <v>A-493-0550</v>
      </c>
      <c r="D141" s="4">
        <v>5891</v>
      </c>
      <c r="E141" s="166" t="s">
        <v>109</v>
      </c>
      <c r="F141" s="233">
        <v>45511</v>
      </c>
      <c r="G141" s="204">
        <v>45513</v>
      </c>
      <c r="H141" s="172" t="s">
        <v>453</v>
      </c>
    </row>
    <row r="142" spans="1:8" x14ac:dyDescent="0.25">
      <c r="A142" t="s">
        <v>452</v>
      </c>
      <c r="B142" s="166" t="s">
        <v>28</v>
      </c>
      <c r="C142" s="167" t="str">
        <f>VLOOKUP(Table2[[#This Row],[Course]],Data!$A$1:$E$56,2,FALSE)</f>
        <v>A-493-0078</v>
      </c>
      <c r="D142" s="4">
        <v>5891</v>
      </c>
      <c r="E142" s="166" t="s">
        <v>147</v>
      </c>
      <c r="F142" s="233">
        <v>45516</v>
      </c>
      <c r="G142" s="204">
        <v>45518</v>
      </c>
      <c r="H142" s="172" t="s">
        <v>453</v>
      </c>
    </row>
    <row r="143" spans="1:8" x14ac:dyDescent="0.25">
      <c r="A143" t="s">
        <v>454</v>
      </c>
      <c r="B143" s="166" t="s">
        <v>236</v>
      </c>
      <c r="C143" s="167" t="str">
        <f>VLOOKUP(Table2[[#This Row],[Course]],Data!$A$1:$E$56,2,FALSE)</f>
        <v>A-570-0100</v>
      </c>
      <c r="D143" s="211" t="s">
        <v>238</v>
      </c>
      <c r="E143" s="166" t="s">
        <v>224</v>
      </c>
      <c r="F143" s="169">
        <v>45495</v>
      </c>
      <c r="G143" s="169">
        <v>45499</v>
      </c>
      <c r="H143" s="172">
        <v>0.33333333333333331</v>
      </c>
    </row>
    <row r="144" spans="1:8" x14ac:dyDescent="0.25">
      <c r="A144" t="s">
        <v>455</v>
      </c>
      <c r="B144" s="166" t="s">
        <v>20</v>
      </c>
      <c r="C144" s="167" t="str">
        <f>VLOOKUP(Table2[[#This Row],[Course]],Data!$A$1:$E$56,2,FALSE)</f>
        <v>A-493-0072</v>
      </c>
      <c r="D144" s="211" t="s">
        <v>241</v>
      </c>
      <c r="E144" s="166" t="s">
        <v>103</v>
      </c>
      <c r="F144" s="169">
        <v>45433</v>
      </c>
      <c r="G144" s="169">
        <v>45436</v>
      </c>
      <c r="H144" s="172"/>
    </row>
    <row r="145" spans="1:8" x14ac:dyDescent="0.25">
      <c r="A145" t="s">
        <v>456</v>
      </c>
      <c r="B145" t="s">
        <v>281</v>
      </c>
      <c r="C145" t="s">
        <v>282</v>
      </c>
      <c r="D145" t="s">
        <v>283</v>
      </c>
      <c r="E145" t="s">
        <v>116</v>
      </c>
      <c r="F145" s="169">
        <v>45446</v>
      </c>
      <c r="G145" s="169">
        <v>45450</v>
      </c>
      <c r="H145" s="172"/>
    </row>
    <row r="146" spans="1:8" s="101" customFormat="1" x14ac:dyDescent="0.25">
      <c r="A146" t="s">
        <v>456</v>
      </c>
      <c r="B146" s="166" t="s">
        <v>19</v>
      </c>
      <c r="C146" s="167" t="str">
        <f>VLOOKUP(Table2[[#This Row],[Course]],Data!$A$1:$E$56,2,FALSE)</f>
        <v>A-493-0099</v>
      </c>
      <c r="D146" s="211" t="s">
        <v>235</v>
      </c>
      <c r="E146" s="166" t="s">
        <v>116</v>
      </c>
      <c r="F146" s="169">
        <v>45468</v>
      </c>
      <c r="G146" s="169">
        <v>45470</v>
      </c>
      <c r="H146" s="172"/>
    </row>
    <row r="147" spans="1:8" s="101" customFormat="1" x14ac:dyDescent="0.25">
      <c r="A147" t="s">
        <v>456</v>
      </c>
      <c r="B147" s="166" t="s">
        <v>19</v>
      </c>
      <c r="C147" s="167" t="str">
        <f>VLOOKUP(Table2[[#This Row],[Course]],Data!$A$1:$E$56,2,FALSE)</f>
        <v>A-493-0015</v>
      </c>
      <c r="D147" s="211" t="s">
        <v>235</v>
      </c>
      <c r="E147" s="166" t="s">
        <v>116</v>
      </c>
      <c r="F147" s="169">
        <v>45517</v>
      </c>
      <c r="G147" s="169">
        <v>45519</v>
      </c>
      <c r="H147" s="172"/>
    </row>
    <row r="148" spans="1:8" s="101" customFormat="1" x14ac:dyDescent="0.25">
      <c r="A148" t="s">
        <v>456</v>
      </c>
      <c r="B148" s="166" t="s">
        <v>19</v>
      </c>
      <c r="C148" s="167" t="str">
        <f>VLOOKUP(Table2[[#This Row],[Course]],Data!$A$1:$E$56,2,FALSE)</f>
        <v>A-493-2501</v>
      </c>
      <c r="D148" s="211" t="s">
        <v>235</v>
      </c>
      <c r="E148" s="166" t="s">
        <v>116</v>
      </c>
      <c r="F148" s="169">
        <v>45545</v>
      </c>
      <c r="G148" s="169">
        <v>45547</v>
      </c>
      <c r="H148" s="172"/>
    </row>
    <row r="149" spans="1:8" s="101" customFormat="1" x14ac:dyDescent="0.25">
      <c r="A149" t="s">
        <v>456</v>
      </c>
      <c r="B149" s="166" t="s">
        <v>19</v>
      </c>
      <c r="C149" s="167" t="str">
        <f>VLOOKUP(Table2[[#This Row],[Course]],Data!$A$1:$E$56,2,FALSE)</f>
        <v>A-493-0020</v>
      </c>
      <c r="D149" s="211" t="s">
        <v>235</v>
      </c>
      <c r="E149" s="166" t="s">
        <v>116</v>
      </c>
      <c r="F149" s="169">
        <v>45559</v>
      </c>
      <c r="G149" s="169">
        <v>45561</v>
      </c>
      <c r="H149" s="172"/>
    </row>
    <row r="150" spans="1:8" x14ac:dyDescent="0.25">
      <c r="A150" t="s">
        <v>457</v>
      </c>
      <c r="B150" s="166" t="s">
        <v>35</v>
      </c>
      <c r="C150" s="167" t="str">
        <f>VLOOKUP(Table2[[#This Row],[Course]],Data!$A$1:$E$56,2,FALSE)</f>
        <v>A-4J-0022</v>
      </c>
      <c r="D150" s="211" t="s">
        <v>301</v>
      </c>
      <c r="E150" s="166" t="s">
        <v>104</v>
      </c>
      <c r="F150" s="169">
        <v>45519</v>
      </c>
      <c r="G150" s="169">
        <v>45519</v>
      </c>
      <c r="H150" s="172">
        <v>0.33333333333333331</v>
      </c>
    </row>
    <row r="151" spans="1:8" x14ac:dyDescent="0.25">
      <c r="A151" s="101" t="s">
        <v>458</v>
      </c>
      <c r="B151" s="166" t="s">
        <v>26</v>
      </c>
      <c r="C151" s="167" t="str">
        <f>VLOOKUP(Table2[[#This Row],[Course]],Data!$A$1:$E$56,2,FALSE)</f>
        <v>A-493-0103</v>
      </c>
      <c r="D151" s="211" t="str">
        <f>VLOOKUP(Table2[[#This Row],[Course]],Data!$A$1:$E$56,3,FALSE)</f>
        <v>12JY</v>
      </c>
      <c r="E151" s="166" t="s">
        <v>133</v>
      </c>
      <c r="F151" s="169">
        <v>45518</v>
      </c>
      <c r="G151" s="169">
        <v>45518</v>
      </c>
      <c r="H151" s="172">
        <v>0.33333333333333331</v>
      </c>
    </row>
    <row r="152" spans="1:8" x14ac:dyDescent="0.25">
      <c r="B152" t="s">
        <v>20</v>
      </c>
      <c r="C152" t="s">
        <v>240</v>
      </c>
      <c r="D152" s="4" t="s">
        <v>241</v>
      </c>
      <c r="E152" t="s">
        <v>140</v>
      </c>
      <c r="F152" s="169">
        <v>45489</v>
      </c>
      <c r="G152" s="169">
        <v>45492</v>
      </c>
      <c r="H152" s="172">
        <v>0.33333333333333331</v>
      </c>
    </row>
    <row r="153" spans="1:8" x14ac:dyDescent="0.25">
      <c r="B153" t="s">
        <v>20</v>
      </c>
      <c r="C153" t="s">
        <v>240</v>
      </c>
      <c r="D153" t="s">
        <v>241</v>
      </c>
      <c r="E153" t="s">
        <v>156</v>
      </c>
      <c r="F153" s="169">
        <v>45523</v>
      </c>
      <c r="G153" s="169">
        <v>45526</v>
      </c>
      <c r="H153" s="172">
        <v>0.33333333333333331</v>
      </c>
    </row>
    <row r="154" spans="1:8" x14ac:dyDescent="0.25">
      <c r="A154" t="s">
        <v>459</v>
      </c>
      <c r="B154" t="s">
        <v>20</v>
      </c>
      <c r="C154" t="s">
        <v>240</v>
      </c>
      <c r="D154" t="s">
        <v>241</v>
      </c>
      <c r="E154" t="s">
        <v>147</v>
      </c>
      <c r="F154" s="169">
        <v>45517</v>
      </c>
      <c r="G154" s="169">
        <v>45520</v>
      </c>
      <c r="H154" s="172"/>
    </row>
    <row r="155" spans="1:8" x14ac:dyDescent="0.25">
      <c r="A155" t="s">
        <v>460</v>
      </c>
      <c r="B155" s="410" t="s">
        <v>28</v>
      </c>
      <c r="C155" s="411" t="str">
        <f>VLOOKUP(Table2[[#This Row],[Course]],Data!$A$1:$E$56,2,FALSE)</f>
        <v>A-493-0550</v>
      </c>
      <c r="D155" s="415">
        <v>5891</v>
      </c>
      <c r="E155" s="412" t="s">
        <v>141</v>
      </c>
      <c r="F155" s="413">
        <v>45552</v>
      </c>
      <c r="G155" s="413">
        <v>45554</v>
      </c>
      <c r="H155" s="414">
        <v>0.33333333333333331</v>
      </c>
    </row>
    <row r="156" spans="1:8" x14ac:dyDescent="0.25">
      <c r="D156" s="4"/>
      <c r="F156" s="169"/>
      <c r="G156" s="169"/>
      <c r="H156" s="172"/>
    </row>
    <row r="157" spans="1:8" x14ac:dyDescent="0.25">
      <c r="F157" s="169"/>
      <c r="G157" s="169"/>
      <c r="H157" s="172"/>
    </row>
    <row r="158" spans="1:8" x14ac:dyDescent="0.25">
      <c r="F158" s="169"/>
      <c r="G158" s="169"/>
      <c r="H158" s="172"/>
    </row>
    <row r="159" spans="1:8" x14ac:dyDescent="0.25">
      <c r="F159" s="169"/>
      <c r="G159" s="169"/>
      <c r="H159" s="172"/>
    </row>
  </sheetData>
  <protectedRanges>
    <protectedRange algorithmName="SHA-512" hashValue="n6K25g9uzAcpntxjqTQaPVdKX1eij75CLB1gBuUNBybVL5B3VaxVW/Tcen54TXijIel0fCN9KO3xZiLZCJMSZw==" saltValue="89UdTK4UUElaUoKBccfOYw==" spinCount="100000" sqref="C1:D1" name="CIN CDP"/>
    <protectedRange algorithmName="SHA-512" hashValue="n6K25g9uzAcpntxjqTQaPVdKX1eij75CLB1gBuUNBybVL5B3VaxVW/Tcen54TXijIel0fCN9KO3xZiLZCJMSZw==" saltValue="89UdTK4UUElaUoKBccfOYw==" spinCount="100000" sqref="C15:D15" name="CIN CDP_1_2"/>
    <protectedRange algorithmName="SHA-512" hashValue="n6K25g9uzAcpntxjqTQaPVdKX1eij75CLB1gBuUNBybVL5B3VaxVW/Tcen54TXijIel0fCN9KO3xZiLZCJMSZw==" saltValue="89UdTK4UUElaUoKBccfOYw==" spinCount="100000" sqref="C16:D16" name="CIN CDP_1"/>
    <protectedRange algorithmName="SHA-512" hashValue="n6K25g9uzAcpntxjqTQaPVdKX1eij75CLB1gBuUNBybVL5B3VaxVW/Tcen54TXijIel0fCN9KO3xZiLZCJMSZw==" saltValue="89UdTK4UUElaUoKBccfOYw==" spinCount="100000" sqref="C17:D17" name="CIN CDP_1_3"/>
    <protectedRange algorithmName="SHA-512" hashValue="n6K25g9uzAcpntxjqTQaPVdKX1eij75CLB1gBuUNBybVL5B3VaxVW/Tcen54TXijIel0fCN9KO3xZiLZCJMSZw==" saltValue="89UdTK4UUElaUoKBccfOYw==" spinCount="100000" sqref="C18:D18" name="CIN CDP_1_4"/>
    <protectedRange algorithmName="SHA-512" hashValue="n6K25g9uzAcpntxjqTQaPVdKX1eij75CLB1gBuUNBybVL5B3VaxVW/Tcen54TXijIel0fCN9KO3xZiLZCJMSZw==" saltValue="89UdTK4UUElaUoKBccfOYw==" spinCount="100000" sqref="C19:D19" name="CIN CDP_1_5"/>
    <protectedRange algorithmName="SHA-512" hashValue="n6K25g9uzAcpntxjqTQaPVdKX1eij75CLB1gBuUNBybVL5B3VaxVW/Tcen54TXijIel0fCN9KO3xZiLZCJMSZw==" saltValue="89UdTK4UUElaUoKBccfOYw==" spinCount="100000" sqref="C20:D20" name="CIN CDP_1_6"/>
    <protectedRange algorithmName="SHA-512" hashValue="n6K25g9uzAcpntxjqTQaPVdKX1eij75CLB1gBuUNBybVL5B3VaxVW/Tcen54TXijIel0fCN9KO3xZiLZCJMSZw==" saltValue="89UdTK4UUElaUoKBccfOYw==" spinCount="100000" sqref="C21:D21" name="CIN CDP_1_7"/>
    <protectedRange algorithmName="SHA-512" hashValue="n6K25g9uzAcpntxjqTQaPVdKX1eij75CLB1gBuUNBybVL5B3VaxVW/Tcen54TXijIel0fCN9KO3xZiLZCJMSZw==" saltValue="89UdTK4UUElaUoKBccfOYw==" spinCount="100000" sqref="C22:D22" name="CIN CDP_1_8"/>
    <protectedRange algorithmName="SHA-512" hashValue="n6K25g9uzAcpntxjqTQaPVdKX1eij75CLB1gBuUNBybVL5B3VaxVW/Tcen54TXijIel0fCN9KO3xZiLZCJMSZw==" saltValue="89UdTK4UUElaUoKBccfOYw==" spinCount="100000" sqref="C23:D23" name="CIN CDP_1_9"/>
    <protectedRange algorithmName="SHA-512" hashValue="n6K25g9uzAcpntxjqTQaPVdKX1eij75CLB1gBuUNBybVL5B3VaxVW/Tcen54TXijIel0fCN9KO3xZiLZCJMSZw==" saltValue="89UdTK4UUElaUoKBccfOYw==" spinCount="100000" sqref="C24:D24" name="CIN CDP_1_10"/>
    <protectedRange algorithmName="SHA-512" hashValue="n6K25g9uzAcpntxjqTQaPVdKX1eij75CLB1gBuUNBybVL5B3VaxVW/Tcen54TXijIel0fCN9KO3xZiLZCJMSZw==" saltValue="89UdTK4UUElaUoKBccfOYw==" spinCount="100000" sqref="C25:D25" name="CIN CDP_1_11"/>
    <protectedRange algorithmName="SHA-512" hashValue="n6K25g9uzAcpntxjqTQaPVdKX1eij75CLB1gBuUNBybVL5B3VaxVW/Tcen54TXijIel0fCN9KO3xZiLZCJMSZw==" saltValue="89UdTK4UUElaUoKBccfOYw==" spinCount="100000" sqref="C26:D26" name="CIN CDP_1_12"/>
    <protectedRange algorithmName="SHA-512" hashValue="n6K25g9uzAcpntxjqTQaPVdKX1eij75CLB1gBuUNBybVL5B3VaxVW/Tcen54TXijIel0fCN9KO3xZiLZCJMSZw==" saltValue="89UdTK4UUElaUoKBccfOYw==" spinCount="100000" sqref="C27:D27" name="CIN CDP_1_13"/>
    <protectedRange algorithmName="SHA-512" hashValue="n6K25g9uzAcpntxjqTQaPVdKX1eij75CLB1gBuUNBybVL5B3VaxVW/Tcen54TXijIel0fCN9KO3xZiLZCJMSZw==" saltValue="89UdTK4UUElaUoKBccfOYw==" spinCount="100000" sqref="C28:D28" name="CIN CDP_1_14"/>
    <protectedRange algorithmName="SHA-512" hashValue="n6K25g9uzAcpntxjqTQaPVdKX1eij75CLB1gBuUNBybVL5B3VaxVW/Tcen54TXijIel0fCN9KO3xZiLZCJMSZw==" saltValue="89UdTK4UUElaUoKBccfOYw==" spinCount="100000" sqref="C29:D29" name="CIN CDP_1_15"/>
    <protectedRange algorithmName="SHA-512" hashValue="n6K25g9uzAcpntxjqTQaPVdKX1eij75CLB1gBuUNBybVL5B3VaxVW/Tcen54TXijIel0fCN9KO3xZiLZCJMSZw==" saltValue="89UdTK4UUElaUoKBccfOYw==" spinCount="100000" sqref="C30:D30" name="CIN CDP_1_16"/>
    <protectedRange algorithmName="SHA-512" hashValue="n6K25g9uzAcpntxjqTQaPVdKX1eij75CLB1gBuUNBybVL5B3VaxVW/Tcen54TXijIel0fCN9KO3xZiLZCJMSZw==" saltValue="89UdTK4UUElaUoKBccfOYw==" spinCount="100000" sqref="C31:D31" name="CIN CDP_1_17"/>
    <protectedRange algorithmName="SHA-512" hashValue="n6K25g9uzAcpntxjqTQaPVdKX1eij75CLB1gBuUNBybVL5B3VaxVW/Tcen54TXijIel0fCN9KO3xZiLZCJMSZw==" saltValue="89UdTK4UUElaUoKBccfOYw==" spinCount="100000" sqref="C32:D32" name="CIN CDP_1_18"/>
    <protectedRange algorithmName="SHA-512" hashValue="n6K25g9uzAcpntxjqTQaPVdKX1eij75CLB1gBuUNBybVL5B3VaxVW/Tcen54TXijIel0fCN9KO3xZiLZCJMSZw==" saltValue="89UdTK4UUElaUoKBccfOYw==" spinCount="100000" sqref="C33:D33" name="CIN CDP_1_19"/>
    <protectedRange algorithmName="SHA-512" hashValue="n6K25g9uzAcpntxjqTQaPVdKX1eij75CLB1gBuUNBybVL5B3VaxVW/Tcen54TXijIel0fCN9KO3xZiLZCJMSZw==" saltValue="89UdTK4UUElaUoKBccfOYw==" spinCount="100000" sqref="C34:D57" name="CIN CDP_1_20"/>
    <protectedRange algorithmName="SHA-512" hashValue="n6K25g9uzAcpntxjqTQaPVdKX1eij75CLB1gBuUNBybVL5B3VaxVW/Tcen54TXijIel0fCN9KO3xZiLZCJMSZw==" saltValue="89UdTK4UUElaUoKBccfOYw==" spinCount="100000" sqref="C58:D65" name="CIN CDP_1_49"/>
    <protectedRange algorithmName="SHA-512" hashValue="n6K25g9uzAcpntxjqTQaPVdKX1eij75CLB1gBuUNBybVL5B3VaxVW/Tcen54TXijIel0fCN9KO3xZiLZCJMSZw==" saltValue="89UdTK4UUElaUoKBccfOYw==" spinCount="100000" sqref="C66:D66" name="CIN CDP_1_58"/>
    <protectedRange algorithmName="SHA-512" hashValue="n6K25g9uzAcpntxjqTQaPVdKX1eij75CLB1gBuUNBybVL5B3VaxVW/Tcen54TXijIel0fCN9KO3xZiLZCJMSZw==" saltValue="89UdTK4UUElaUoKBccfOYw==" spinCount="100000" sqref="C68:D68" name="CIN CDP_1_59"/>
    <protectedRange algorithmName="SHA-512" hashValue="n6K25g9uzAcpntxjqTQaPVdKX1eij75CLB1gBuUNBybVL5B3VaxVW/Tcen54TXijIel0fCN9KO3xZiLZCJMSZw==" saltValue="89UdTK4UUElaUoKBccfOYw==" spinCount="100000" sqref="C69:D70" name="CIN CDP_1_60"/>
    <protectedRange algorithmName="SHA-512" hashValue="n6K25g9uzAcpntxjqTQaPVdKX1eij75CLB1gBuUNBybVL5B3VaxVW/Tcen54TXijIel0fCN9KO3xZiLZCJMSZw==" saltValue="89UdTK4UUElaUoKBccfOYw==" spinCount="100000" sqref="C71:D71" name="CIN CDP_1_62"/>
    <protectedRange algorithmName="SHA-512" hashValue="n6K25g9uzAcpntxjqTQaPVdKX1eij75CLB1gBuUNBybVL5B3VaxVW/Tcen54TXijIel0fCN9KO3xZiLZCJMSZw==" saltValue="89UdTK4UUElaUoKBccfOYw==" spinCount="100000" sqref="C72:D72" name="CIN CDP_1_63"/>
    <protectedRange algorithmName="SHA-512" hashValue="n6K25g9uzAcpntxjqTQaPVdKX1eij75CLB1gBuUNBybVL5B3VaxVW/Tcen54TXijIel0fCN9KO3xZiLZCJMSZw==" saltValue="89UdTK4UUElaUoKBccfOYw==" spinCount="100000" sqref="C73:D77" name="CIN CDP_1_69"/>
    <protectedRange algorithmName="SHA-512" hashValue="n6K25g9uzAcpntxjqTQaPVdKX1eij75CLB1gBuUNBybVL5B3VaxVW/Tcen54TXijIel0fCN9KO3xZiLZCJMSZw==" saltValue="89UdTK4UUElaUoKBccfOYw==" spinCount="100000" sqref="C78:D78" name="CIN CDP_1_71"/>
    <protectedRange algorithmName="SHA-512" hashValue="n6K25g9uzAcpntxjqTQaPVdKX1eij75CLB1gBuUNBybVL5B3VaxVW/Tcen54TXijIel0fCN9KO3xZiLZCJMSZw==" saltValue="89UdTK4UUElaUoKBccfOYw==" spinCount="100000" sqref="C79:D79" name="CIN CDP_1_72"/>
    <protectedRange algorithmName="SHA-512" hashValue="n6K25g9uzAcpntxjqTQaPVdKX1eij75CLB1gBuUNBybVL5B3VaxVW/Tcen54TXijIel0fCN9KO3xZiLZCJMSZw==" saltValue="89UdTK4UUElaUoKBccfOYw==" spinCount="100000" sqref="C80:D80" name="CIN CDP_1_73"/>
    <protectedRange algorithmName="SHA-512" hashValue="n6K25g9uzAcpntxjqTQaPVdKX1eij75CLB1gBuUNBybVL5B3VaxVW/Tcen54TXijIel0fCN9KO3xZiLZCJMSZw==" saltValue="89UdTK4UUElaUoKBccfOYw==" spinCount="100000" sqref="C81:D81" name="CIN CDP_1_75"/>
    <protectedRange algorithmName="SHA-512" hashValue="n6K25g9uzAcpntxjqTQaPVdKX1eij75CLB1gBuUNBybVL5B3VaxVW/Tcen54TXijIel0fCN9KO3xZiLZCJMSZw==" saltValue="89UdTK4UUElaUoKBccfOYw==" spinCount="100000" sqref="C82:D82" name="CIN CDP_1_76"/>
    <protectedRange algorithmName="SHA-512" hashValue="n6K25g9uzAcpntxjqTQaPVdKX1eij75CLB1gBuUNBybVL5B3VaxVW/Tcen54TXijIel0fCN9KO3xZiLZCJMSZw==" saltValue="89UdTK4UUElaUoKBccfOYw==" spinCount="100000" sqref="C83:D83" name="CIN CDP_1_78"/>
    <protectedRange algorithmName="SHA-512" hashValue="n6K25g9uzAcpntxjqTQaPVdKX1eij75CLB1gBuUNBybVL5B3VaxVW/Tcen54TXijIel0fCN9KO3xZiLZCJMSZw==" saltValue="89UdTK4UUElaUoKBccfOYw==" spinCount="100000" sqref="C84:D84" name="CIN CDP_1_79"/>
    <protectedRange algorithmName="SHA-512" hashValue="n6K25g9uzAcpntxjqTQaPVdKX1eij75CLB1gBuUNBybVL5B3VaxVW/Tcen54TXijIel0fCN9KO3xZiLZCJMSZw==" saltValue="89UdTK4UUElaUoKBccfOYw==" spinCount="100000" sqref="C85:D85" name="CIN CDP_1_80"/>
    <protectedRange algorithmName="SHA-512" hashValue="n6K25g9uzAcpntxjqTQaPVdKX1eij75CLB1gBuUNBybVL5B3VaxVW/Tcen54TXijIel0fCN9KO3xZiLZCJMSZw==" saltValue="89UdTK4UUElaUoKBccfOYw==" spinCount="100000" sqref="C86:D86" name="CIN CDP_1_81"/>
    <protectedRange algorithmName="SHA-512" hashValue="n6K25g9uzAcpntxjqTQaPVdKX1eij75CLB1gBuUNBybVL5B3VaxVW/Tcen54TXijIel0fCN9KO3xZiLZCJMSZw==" saltValue="89UdTK4UUElaUoKBccfOYw==" spinCount="100000" sqref="C87:D87" name="CIN CDP_1_83"/>
    <protectedRange algorithmName="SHA-512" hashValue="n6K25g9uzAcpntxjqTQaPVdKX1eij75CLB1gBuUNBybVL5B3VaxVW/Tcen54TXijIel0fCN9KO3xZiLZCJMSZw==" saltValue="89UdTK4UUElaUoKBccfOYw==" spinCount="100000" sqref="C88:D88" name="CIN CDP_1_88"/>
    <protectedRange algorithmName="SHA-512" hashValue="n6K25g9uzAcpntxjqTQaPVdKX1eij75CLB1gBuUNBybVL5B3VaxVW/Tcen54TXijIel0fCN9KO3xZiLZCJMSZw==" saltValue="89UdTK4UUElaUoKBccfOYw==" spinCount="100000" sqref="C89:D90" name="CIN CDP_1_90"/>
    <protectedRange algorithmName="SHA-512" hashValue="n6K25g9uzAcpntxjqTQaPVdKX1eij75CLB1gBuUNBybVL5B3VaxVW/Tcen54TXijIel0fCN9KO3xZiLZCJMSZw==" saltValue="89UdTK4UUElaUoKBccfOYw==" spinCount="100000" sqref="C91:D92" name="CIN CDP_1_91"/>
    <protectedRange algorithmName="SHA-512" hashValue="n6K25g9uzAcpntxjqTQaPVdKX1eij75CLB1gBuUNBybVL5B3VaxVW/Tcen54TXijIel0fCN9KO3xZiLZCJMSZw==" saltValue="89UdTK4UUElaUoKBccfOYw==" spinCount="100000" sqref="C93:D93" name="CIN CDP_1_92"/>
    <protectedRange algorithmName="SHA-512" hashValue="n6K25g9uzAcpntxjqTQaPVdKX1eij75CLB1gBuUNBybVL5B3VaxVW/Tcen54TXijIel0fCN9KO3xZiLZCJMSZw==" saltValue="89UdTK4UUElaUoKBccfOYw==" spinCount="100000" sqref="C94:D94" name="CIN CDP_1_93"/>
    <protectedRange algorithmName="SHA-512" hashValue="n6K25g9uzAcpntxjqTQaPVdKX1eij75CLB1gBuUNBybVL5B3VaxVW/Tcen54TXijIel0fCN9KO3xZiLZCJMSZw==" saltValue="89UdTK4UUElaUoKBccfOYw==" spinCount="100000" sqref="C95:D96" name="CIN CDP_1_94"/>
    <protectedRange algorithmName="SHA-512" hashValue="n6K25g9uzAcpntxjqTQaPVdKX1eij75CLB1gBuUNBybVL5B3VaxVW/Tcen54TXijIel0fCN9KO3xZiLZCJMSZw==" saltValue="89UdTK4UUElaUoKBccfOYw==" spinCount="100000" sqref="C97:D97" name="CIN CDP_1_95"/>
    <protectedRange algorithmName="SHA-512" hashValue="n6K25g9uzAcpntxjqTQaPVdKX1eij75CLB1gBuUNBybVL5B3VaxVW/Tcen54TXijIel0fCN9KO3xZiLZCJMSZw==" saltValue="89UdTK4UUElaUoKBccfOYw==" spinCount="100000" sqref="C98:D100" name="CIN CDP_1_97"/>
    <protectedRange algorithmName="SHA-512" hashValue="n6K25g9uzAcpntxjqTQaPVdKX1eij75CLB1gBuUNBybVL5B3VaxVW/Tcen54TXijIel0fCN9KO3xZiLZCJMSZw==" saltValue="89UdTK4UUElaUoKBccfOYw==" spinCount="100000" sqref="C101:D101" name="CIN CDP_1_98"/>
    <protectedRange algorithmName="SHA-512" hashValue="n6K25g9uzAcpntxjqTQaPVdKX1eij75CLB1gBuUNBybVL5B3VaxVW/Tcen54TXijIel0fCN9KO3xZiLZCJMSZw==" saltValue="89UdTK4UUElaUoKBccfOYw==" spinCount="100000" sqref="C102:D103" name="CIN CDP_1_99"/>
    <protectedRange algorithmName="SHA-512" hashValue="n6K25g9uzAcpntxjqTQaPVdKX1eij75CLB1gBuUNBybVL5B3VaxVW/Tcen54TXijIel0fCN9KO3xZiLZCJMSZw==" saltValue="89UdTK4UUElaUoKBccfOYw==" spinCount="100000" sqref="C112:D112" name="CIN CDP_1_21"/>
    <protectedRange algorithmName="SHA-512" hashValue="n6K25g9uzAcpntxjqTQaPVdKX1eij75CLB1gBuUNBybVL5B3VaxVW/Tcen54TXijIel0fCN9KO3xZiLZCJMSZw==" saltValue="89UdTK4UUElaUoKBccfOYw==" spinCount="100000" sqref="C118:D118" name="CIN CDP_1_1_1"/>
    <protectedRange algorithmName="SHA-512" hashValue="n6K25g9uzAcpntxjqTQaPVdKX1eij75CLB1gBuUNBybVL5B3VaxVW/Tcen54TXijIel0fCN9KO3xZiLZCJMSZw==" saltValue="89UdTK4UUElaUoKBccfOYw==" spinCount="100000" sqref="C119:D119" name="CIN CDP_1_22"/>
    <protectedRange algorithmName="SHA-512" hashValue="n6K25g9uzAcpntxjqTQaPVdKX1eij75CLB1gBuUNBybVL5B3VaxVW/Tcen54TXijIel0fCN9KO3xZiLZCJMSZw==" saltValue="89UdTK4UUElaUoKBccfOYw==" spinCount="100000" sqref="C120:D120" name="CIN CDP_1_23"/>
    <protectedRange algorithmName="SHA-512" hashValue="n6K25g9uzAcpntxjqTQaPVdKX1eij75CLB1gBuUNBybVL5B3VaxVW/Tcen54TXijIel0fCN9KO3xZiLZCJMSZw==" saltValue="89UdTK4UUElaUoKBccfOYw==" spinCount="100000" sqref="C123" name="CIN CDP_1_25"/>
    <protectedRange algorithmName="SHA-512" hashValue="n6K25g9uzAcpntxjqTQaPVdKX1eij75CLB1gBuUNBybVL5B3VaxVW/Tcen54TXijIel0fCN9KO3xZiLZCJMSZw==" saltValue="89UdTK4UUElaUoKBccfOYw==" spinCount="100000" sqref="D123" name="CIN CDP_1_26"/>
    <protectedRange algorithmName="SHA-512" hashValue="n6K25g9uzAcpntxjqTQaPVdKX1eij75CLB1gBuUNBybVL5B3VaxVW/Tcen54TXijIel0fCN9KO3xZiLZCJMSZw==" saltValue="89UdTK4UUElaUoKBccfOYw==" spinCount="100000" sqref="C125:D125" name="CIN CDP_1_24"/>
    <protectedRange algorithmName="SHA-512" hashValue="n6K25g9uzAcpntxjqTQaPVdKX1eij75CLB1gBuUNBybVL5B3VaxVW/Tcen54TXijIel0fCN9KO3xZiLZCJMSZw==" saltValue="89UdTK4UUElaUoKBccfOYw==" spinCount="100000" sqref="C126:D126" name="CIN CDP_1_27"/>
    <protectedRange algorithmName="SHA-512" hashValue="n6K25g9uzAcpntxjqTQaPVdKX1eij75CLB1gBuUNBybVL5B3VaxVW/Tcen54TXijIel0fCN9KO3xZiLZCJMSZw==" saltValue="89UdTK4UUElaUoKBccfOYw==" spinCount="100000" sqref="C127:D127" name="CIN CDP_1_28"/>
    <protectedRange algorithmName="SHA-512" hashValue="n6K25g9uzAcpntxjqTQaPVdKX1eij75CLB1gBuUNBybVL5B3VaxVW/Tcen54TXijIel0fCN9KO3xZiLZCJMSZw==" saltValue="89UdTK4UUElaUoKBccfOYw==" spinCount="100000" sqref="C128:D128" name="CIN CDP_1_29"/>
    <protectedRange algorithmName="SHA-512" hashValue="n6K25g9uzAcpntxjqTQaPVdKX1eij75CLB1gBuUNBybVL5B3VaxVW/Tcen54TXijIel0fCN9KO3xZiLZCJMSZw==" saltValue="89UdTK4UUElaUoKBccfOYw==" spinCount="100000" sqref="C129:D129" name="CIN CDP_1_30"/>
    <protectedRange algorithmName="SHA-512" hashValue="n6K25g9uzAcpntxjqTQaPVdKX1eij75CLB1gBuUNBybVL5B3VaxVW/Tcen54TXijIel0fCN9KO3xZiLZCJMSZw==" saltValue="89UdTK4UUElaUoKBccfOYw==" spinCount="100000" sqref="C130:D130" name="CIN CDP_1_31"/>
    <protectedRange algorithmName="SHA-512" hashValue="n6K25g9uzAcpntxjqTQaPVdKX1eij75CLB1gBuUNBybVL5B3VaxVW/Tcen54TXijIel0fCN9KO3xZiLZCJMSZw==" saltValue="89UdTK4UUElaUoKBccfOYw==" spinCount="100000" sqref="C132:D132" name="CIN CDP_1_32"/>
    <protectedRange algorithmName="SHA-512" hashValue="n6K25g9uzAcpntxjqTQaPVdKX1eij75CLB1gBuUNBybVL5B3VaxVW/Tcen54TXijIel0fCN9KO3xZiLZCJMSZw==" saltValue="89UdTK4UUElaUoKBccfOYw==" spinCount="100000" sqref="C133:D133" name="CIN CDP_1_33"/>
    <protectedRange algorithmName="SHA-512" hashValue="n6K25g9uzAcpntxjqTQaPVdKX1eij75CLB1gBuUNBybVL5B3VaxVW/Tcen54TXijIel0fCN9KO3xZiLZCJMSZw==" saltValue="89UdTK4UUElaUoKBccfOYw==" spinCount="100000" sqref="C134:D134" name="CIN CDP_1_34"/>
    <protectedRange algorithmName="SHA-512" hashValue="n6K25g9uzAcpntxjqTQaPVdKX1eij75CLB1gBuUNBybVL5B3VaxVW/Tcen54TXijIel0fCN9KO3xZiLZCJMSZw==" saltValue="89UdTK4UUElaUoKBccfOYw==" spinCount="100000" sqref="C135:D135" name="CIN CDP_1_35"/>
    <protectedRange algorithmName="SHA-512" hashValue="n6K25g9uzAcpntxjqTQaPVdKX1eij75CLB1gBuUNBybVL5B3VaxVW/Tcen54TXijIel0fCN9KO3xZiLZCJMSZw==" saltValue="89UdTK4UUElaUoKBccfOYw==" spinCount="100000" sqref="C136:D136" name="CIN CDP_1_36"/>
    <protectedRange algorithmName="SHA-512" hashValue="n6K25g9uzAcpntxjqTQaPVdKX1eij75CLB1gBuUNBybVL5B3VaxVW/Tcen54TXijIel0fCN9KO3xZiLZCJMSZw==" saltValue="89UdTK4UUElaUoKBccfOYw==" spinCount="100000" sqref="C137:D137" name="CIN CDP_1_37"/>
    <protectedRange algorithmName="SHA-512" hashValue="n6K25g9uzAcpntxjqTQaPVdKX1eij75CLB1gBuUNBybVL5B3VaxVW/Tcen54TXijIel0fCN9KO3xZiLZCJMSZw==" saltValue="89UdTK4UUElaUoKBccfOYw==" spinCount="100000" sqref="C138:D138" name="CIN CDP_1_38"/>
    <protectedRange algorithmName="SHA-512" hashValue="n6K25g9uzAcpntxjqTQaPVdKX1eij75CLB1gBuUNBybVL5B3VaxVW/Tcen54TXijIel0fCN9KO3xZiLZCJMSZw==" saltValue="89UdTK4UUElaUoKBccfOYw==" spinCount="100000" sqref="C139:D139" name="CIN CDP_1_39"/>
    <protectedRange algorithmName="SHA-512" hashValue="n6K25g9uzAcpntxjqTQaPVdKX1eij75CLB1gBuUNBybVL5B3VaxVW/Tcen54TXijIel0fCN9KO3xZiLZCJMSZw==" saltValue="89UdTK4UUElaUoKBccfOYw==" spinCount="100000" sqref="C140:D140" name="CIN CDP_1_40"/>
    <protectedRange algorithmName="SHA-512" hashValue="n6K25g9uzAcpntxjqTQaPVdKX1eij75CLB1gBuUNBybVL5B3VaxVW/Tcen54TXijIel0fCN9KO3xZiLZCJMSZw==" saltValue="89UdTK4UUElaUoKBccfOYw==" spinCount="100000" sqref="C141:C142" name="CIN CDP_1_41"/>
    <protectedRange algorithmName="SHA-512" hashValue="n6K25g9uzAcpntxjqTQaPVdKX1eij75CLB1gBuUNBybVL5B3VaxVW/Tcen54TXijIel0fCN9KO3xZiLZCJMSZw==" saltValue="89UdTK4UUElaUoKBccfOYw==" spinCount="100000" sqref="C143:D143" name="CIN CDP_1_42"/>
    <protectedRange algorithmName="SHA-512" hashValue="n6K25g9uzAcpntxjqTQaPVdKX1eij75CLB1gBuUNBybVL5B3VaxVW/Tcen54TXijIel0fCN9KO3xZiLZCJMSZw==" saltValue="89UdTK4UUElaUoKBccfOYw==" spinCount="100000" sqref="C144:D144" name="CIN CDP_1_43"/>
    <protectedRange algorithmName="SHA-512" hashValue="n6K25g9uzAcpntxjqTQaPVdKX1eij75CLB1gBuUNBybVL5B3VaxVW/Tcen54TXijIel0fCN9KO3xZiLZCJMSZw==" saltValue="89UdTK4UUElaUoKBccfOYw==" spinCount="100000" sqref="C146:D146" name="CIN CDP_1_44"/>
    <protectedRange algorithmName="SHA-512" hashValue="n6K25g9uzAcpntxjqTQaPVdKX1eij75CLB1gBuUNBybVL5B3VaxVW/Tcen54TXijIel0fCN9KO3xZiLZCJMSZw==" saltValue="89UdTK4UUElaUoKBccfOYw==" spinCount="100000" sqref="C147:D147" name="CIN CDP_1_45"/>
    <protectedRange algorithmName="SHA-512" hashValue="n6K25g9uzAcpntxjqTQaPVdKX1eij75CLB1gBuUNBybVL5B3VaxVW/Tcen54TXijIel0fCN9KO3xZiLZCJMSZw==" saltValue="89UdTK4UUElaUoKBccfOYw==" spinCount="100000" sqref="C148:D148" name="CIN CDP_1_46"/>
    <protectedRange algorithmName="SHA-512" hashValue="n6K25g9uzAcpntxjqTQaPVdKX1eij75CLB1gBuUNBybVL5B3VaxVW/Tcen54TXijIel0fCN9KO3xZiLZCJMSZw==" saltValue="89UdTK4UUElaUoKBccfOYw==" spinCount="100000" sqref="C149:D149" name="CIN CDP_1_47"/>
    <protectedRange algorithmName="SHA-512" hashValue="n6K25g9uzAcpntxjqTQaPVdKX1eij75CLB1gBuUNBybVL5B3VaxVW/Tcen54TXijIel0fCN9KO3xZiLZCJMSZw==" saltValue="89UdTK4UUElaUoKBccfOYw==" spinCount="100000" sqref="C150:D150" name="CIN CDP_1_48"/>
    <protectedRange algorithmName="SHA-512" hashValue="n6K25g9uzAcpntxjqTQaPVdKX1eij75CLB1gBuUNBybVL5B3VaxVW/Tcen54TXijIel0fCN9KO3xZiLZCJMSZw==" saltValue="89UdTK4UUElaUoKBccfOYw==" spinCount="100000" sqref="C151:D151" name="CIN CDP_1_51"/>
    <protectedRange algorithmName="SHA-512" hashValue="n6K25g9uzAcpntxjqTQaPVdKX1eij75CLB1gBuUNBybVL5B3VaxVW/Tcen54TXijIel0fCN9KO3xZiLZCJMSZw==" saltValue="89UdTK4UUElaUoKBccfOYw==" spinCount="100000" sqref="C155" name="CIN CDP_1_53"/>
    <protectedRange algorithmName="SHA-512" hashValue="n6K25g9uzAcpntxjqTQaPVdKX1eij75CLB1gBuUNBybVL5B3VaxVW/Tcen54TXijIel0fCN9KO3xZiLZCJMSZw==" saltValue="89UdTK4UUElaUoKBccfOYw==" spinCount="100000" sqref="D155" name="CIN CDP_1_54"/>
  </protectedRanges>
  <autoFilter ref="A1:H1" xr:uid="{00000000-0001-0000-0D00-000000000000}"/>
  <conditionalFormatting sqref="A14:B14 A15:A16 E15:F16 E17:E18 A18:B19 E19:F19 A21 E24 E26:F26 A27 E28:H28 A28:B30 E36:G37 A38:A39 F39:H39 E40:E43 A40:B44 F43 A45 A46:B47 A48:A51 E53:E54 E56:E57 E58:H58 A59 E59:F59 A60:B60 A66 E66 A68:B68 E68:F68 A69 E71 A74:A75 E76 E78:E79 A79:B79 A112 F112 E128 F135:H135 E135:E138 B138 E140 E146:H146 E148">
    <cfRule type="expression" dxfId="329" priority="5763">
      <formula>#REF!="Jenne, Richard"</formula>
    </cfRule>
    <cfRule type="expression" dxfId="328" priority="5762">
      <formula>#REF!="Benzick, Sue"</formula>
    </cfRule>
    <cfRule type="expression" dxfId="327" priority="5764">
      <formula>#REF!="McQueen, Jennifer"</formula>
    </cfRule>
  </conditionalFormatting>
  <conditionalFormatting sqref="E29:G29">
    <cfRule type="expression" dxfId="317" priority="876">
      <formula>#REF!="McQueen, Jennifer"</formula>
    </cfRule>
    <cfRule type="expression" dxfId="316" priority="874">
      <formula>#REF!="Benzick, Sue"</formula>
    </cfRule>
    <cfRule type="expression" dxfId="315" priority="875">
      <formula>#REF!="Jenne, Richard"</formula>
    </cfRule>
  </conditionalFormatting>
  <conditionalFormatting sqref="E44:G44">
    <cfRule type="expression" dxfId="314" priority="708">
      <formula>#REF!="McQueen, Jennifer"</formula>
    </cfRule>
    <cfRule type="expression" dxfId="313" priority="707">
      <formula>#REF!="Jenne, Richard"</formula>
    </cfRule>
    <cfRule type="expression" dxfId="312" priority="706">
      <formula>#REF!="Benzick, Sue"</formula>
    </cfRule>
  </conditionalFormatting>
  <conditionalFormatting sqref="E30:H30">
    <cfRule type="expression" dxfId="302" priority="862">
      <formula>#REF!="Benzick, Sue"</formula>
    </cfRule>
    <cfRule type="expression" dxfId="301" priority="863">
      <formula>#REF!="Jenne, Richard"</formula>
    </cfRule>
    <cfRule type="expression" dxfId="300" priority="864">
      <formula>#REF!="McQueen, Jennifer"</formula>
    </cfRule>
  </conditionalFormatting>
  <conditionalFormatting sqref="E38:H38">
    <cfRule type="expression" dxfId="299" priority="781">
      <formula>#REF!="Benzick, Sue"</formula>
    </cfRule>
    <cfRule type="expression" dxfId="298" priority="782">
      <formula>#REF!="Jenne, Richard"</formula>
    </cfRule>
    <cfRule type="expression" dxfId="297" priority="783">
      <formula>#REF!="McQueen, Jennifer"</formula>
    </cfRule>
  </conditionalFormatting>
  <conditionalFormatting sqref="E45:H45">
    <cfRule type="expression" dxfId="296" priority="691">
      <formula>#REF!="Benzick, Sue"</formula>
    </cfRule>
    <cfRule type="expression" dxfId="295" priority="693">
      <formula>#REF!="McQueen, Jennifer"</formula>
    </cfRule>
    <cfRule type="expression" dxfId="294" priority="692">
      <formula>#REF!="Jenne, Richard"</formula>
    </cfRule>
  </conditionalFormatting>
  <conditionalFormatting sqref="E60:H60">
    <cfRule type="expression" dxfId="293" priority="522">
      <formula>#REF!="McQueen, Jennifer"</formula>
    </cfRule>
    <cfRule type="expression" dxfId="292" priority="521">
      <formula>#REF!="Jenne, Richard"</formula>
    </cfRule>
    <cfRule type="expression" dxfId="291" priority="520">
      <formula>#REF!="Benzick, Sue"</formula>
    </cfRule>
  </conditionalFormatting>
  <conditionalFormatting sqref="E69:H69">
    <cfRule type="expression" dxfId="290" priority="436">
      <formula>#REF!="Benzick, Sue"</formula>
    </cfRule>
    <cfRule type="expression" dxfId="289" priority="438">
      <formula>#REF!="McQueen, Jennifer"</formula>
    </cfRule>
    <cfRule type="expression" dxfId="288" priority="437">
      <formula>#REF!="Jenne, Richard"</formula>
    </cfRule>
  </conditionalFormatting>
  <conditionalFormatting sqref="E74:H75">
    <cfRule type="expression" dxfId="287" priority="373">
      <formula>#REF!="Benzick, Sue"</formula>
    </cfRule>
    <cfRule type="expression" dxfId="286" priority="374">
      <formula>#REF!="Jenne, Richard"</formula>
    </cfRule>
    <cfRule type="expression" dxfId="285" priority="375">
      <formula>#REF!="McQueen, Jennifer"</formula>
    </cfRule>
  </conditionalFormatting>
  <conditionalFormatting sqref="F18:G18">
    <cfRule type="expression" dxfId="271" priority="1001">
      <formula>#REF!="Jenne, Richard"</formula>
    </cfRule>
    <cfRule type="expression" dxfId="270" priority="1000">
      <formula>#REF!="Benzick, Sue"</formula>
    </cfRule>
    <cfRule type="expression" dxfId="269" priority="1002">
      <formula>#REF!="McQueen, Jennifer"</formula>
    </cfRule>
  </conditionalFormatting>
  <conditionalFormatting sqref="F78:G78">
    <cfRule type="expression" dxfId="268" priority="348">
      <formula>#REF!="McQueen, Jennifer"</formula>
    </cfRule>
    <cfRule type="expression" dxfId="267" priority="347">
      <formula>#REF!="Jenne, Richard"</formula>
    </cfRule>
    <cfRule type="expression" dxfId="266" priority="346">
      <formula>#REF!="Benzick, Sue"</formula>
    </cfRule>
  </conditionalFormatting>
  <conditionalFormatting sqref="H2:H154 H156:H159">
    <cfRule type="expression" dxfId="244" priority="327">
      <formula>#REF!="McQueen, Jennifer"</formula>
    </cfRule>
    <cfRule type="expression" dxfId="243" priority="325">
      <formula>#REF!="Benzick, Sue"</formula>
    </cfRule>
    <cfRule type="expression" dxfId="242" priority="326">
      <formula>#REF!="Jenne, Richard"</formula>
    </cfRule>
  </conditionalFormatting>
  <dataValidations count="2">
    <dataValidation type="list" allowBlank="1" showInputMessage="1" showErrorMessage="1" sqref="B10:B11 B14:B66 B68:B109 B112 B118:B120 B123:B130 B132:B144 B146:B151 B155" xr:uid="{00000000-0002-0000-0D00-000001000000}">
      <formula1>Class</formula1>
    </dataValidation>
    <dataValidation type="list" allowBlank="1" showInputMessage="1" showErrorMessage="1" sqref="A42 A58" xr:uid="{00000000-0002-0000-0D00-000003000000}">
      <formula1>Location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20" id="{D4AD25C1-6FB5-424E-AC0F-A88214458DAA}">
            <xm:f>'FY 2024 Chron'!$AA80="Benzick, Sue"</xm:f>
            <x14:dxf>
              <font>
                <b/>
                <i val="0"/>
              </font>
            </x14:dxf>
          </x14:cfRule>
          <x14:cfRule type="expression" priority="3922" id="{40D72152-17B6-4C59-8F5B-EA07ACE20FEE}">
            <xm:f>'FY 2024 Chron'!$AA80="McQueen, Jennifer"</xm:f>
            <x14:dxf>
              <font>
                <b/>
                <i val="0"/>
              </font>
            </x14:dxf>
          </x14:cfRule>
          <x14:cfRule type="expression" priority="3921" id="{990DD243-A6E0-4087-9D27-888A6DEB64E6}">
            <xm:f>'FY 2024 Chron'!$AA80="Jenne, Richard"</xm:f>
            <x14:dxf>
              <font>
                <b/>
                <i val="0"/>
              </font>
            </x14:dxf>
          </x14:cfRule>
          <xm:sqref>A86</xm:sqref>
        </x14:conditionalFormatting>
        <x14:conditionalFormatting xmlns:xm="http://schemas.microsoft.com/office/excel/2006/main">
          <x14:cfRule type="expression" priority="4433" id="{7A54DD69-25AF-4737-9DD8-EBB57C29BA12}">
            <xm:f>'FY 2024 Chron'!#REF!="Benzick, Sue"</xm:f>
            <x14:dxf>
              <font>
                <b/>
                <i val="0"/>
              </font>
            </x14:dxf>
          </x14:cfRule>
          <x14:cfRule type="expression" priority="4434" id="{ADB3E8FC-3BC8-4D11-AD86-35A7EAAD020A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4435" id="{000EFA68-24D5-48F0-9627-4E2A4BF28C49}">
            <xm:f>'FY 2024 Chron'!#REF!="McQueen, Jennifer"</xm:f>
            <x14:dxf>
              <font>
                <b/>
                <i val="0"/>
              </font>
            </x14:dxf>
          </x14:cfRule>
          <xm:sqref>A89</xm:sqref>
        </x14:conditionalFormatting>
        <x14:conditionalFormatting xmlns:xm="http://schemas.microsoft.com/office/excel/2006/main">
          <x14:cfRule type="expression" priority="4925" id="{D4AD25C1-6FB5-424E-AC0F-A88214458DAA}">
            <xm:f>'FY 2024 Chron'!$AA96="Benzick, Sue"</xm:f>
            <x14:dxf>
              <font>
                <b/>
                <i val="0"/>
              </font>
            </x14:dxf>
          </x14:cfRule>
          <x14:cfRule type="expression" priority="4926" id="{990DD243-A6E0-4087-9D27-888A6DEB64E6}">
            <xm:f>'FY 2024 Chron'!$AA96="Jenne, Richard"</xm:f>
            <x14:dxf>
              <font>
                <b/>
                <i val="0"/>
              </font>
            </x14:dxf>
          </x14:cfRule>
          <x14:cfRule type="expression" priority="4927" id="{40D72152-17B6-4C59-8F5B-EA07ACE20FEE}">
            <xm:f>'FY 2024 Chron'!$AA96="McQueen, Jennifer"</xm:f>
            <x14:dxf>
              <font>
                <b/>
                <i val="0"/>
              </font>
            </x14:dxf>
          </x14:cfRule>
          <xm:sqref>A94</xm:sqref>
        </x14:conditionalFormatting>
        <x14:conditionalFormatting xmlns:xm="http://schemas.microsoft.com/office/excel/2006/main">
          <x14:cfRule type="expression" priority="5401" id="{000EFA68-24D5-48F0-9627-4E2A4BF28C49}">
            <xm:f>'FY 2024 Chron'!#REF!="McQueen, Jennifer"</xm:f>
            <x14:dxf>
              <font>
                <b/>
                <i val="0"/>
              </font>
            </x14:dxf>
          </x14:cfRule>
          <x14:cfRule type="expression" priority="5400" id="{ADB3E8FC-3BC8-4D11-AD86-35A7EAAD020A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5399" id="{7A54DD69-25AF-4737-9DD8-EBB57C29BA12}">
            <xm:f>'FY 2024 Chron'!#REF!="Benzick, Sue"</xm:f>
            <x14:dxf>
              <font>
                <b/>
                <i val="0"/>
              </font>
            </x14:dxf>
          </x14:cfRule>
          <xm:sqref>A96</xm:sqref>
        </x14:conditionalFormatting>
        <x14:conditionalFormatting xmlns:xm="http://schemas.microsoft.com/office/excel/2006/main">
          <x14:cfRule type="expression" priority="5398" id="{000EFA68-24D5-48F0-9627-4E2A4BF28C49}">
            <xm:f>'FY 2024 Chron'!$AB98="McQueen, Jennifer"</xm:f>
            <x14:dxf>
              <font>
                <b/>
                <i val="0"/>
              </font>
            </x14:dxf>
          </x14:cfRule>
          <x14:cfRule type="expression" priority="5397" id="{ADB3E8FC-3BC8-4D11-AD86-35A7EAAD020A}">
            <xm:f>'FY 2024 Chron'!$AB98="Jenne, Richard"</xm:f>
            <x14:dxf>
              <font>
                <b/>
                <i val="0"/>
              </font>
            </x14:dxf>
          </x14:cfRule>
          <x14:cfRule type="expression" priority="5396" id="{7A54DD69-25AF-4737-9DD8-EBB57C29BA12}">
            <xm:f>'FY 2024 Chron'!$AB98="Benzick, Sue"</xm:f>
            <x14:dxf>
              <font>
                <b/>
                <i val="0"/>
              </font>
            </x14:dxf>
          </x14:cfRule>
          <xm:sqref>A97</xm:sqref>
        </x14:conditionalFormatting>
        <x14:conditionalFormatting xmlns:xm="http://schemas.microsoft.com/office/excel/2006/main">
          <x14:cfRule type="expression" priority="4720" id="{000EFA68-24D5-48F0-9627-4E2A4BF28C49}">
            <xm:f>'FY 2024 Chron'!#REF!="McQueen, Jennifer"</xm:f>
            <x14:dxf>
              <font>
                <b/>
                <i val="0"/>
              </font>
            </x14:dxf>
          </x14:cfRule>
          <x14:cfRule type="expression" priority="4719" id="{ADB3E8FC-3BC8-4D11-AD86-35A7EAAD020A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4718" id="{7A54DD69-25AF-4737-9DD8-EBB57C29BA12}">
            <xm:f>'FY 2024 Chron'!#REF!="Benzick, Sue"</xm:f>
            <x14:dxf>
              <font>
                <b/>
                <i val="0"/>
              </font>
            </x14:dxf>
          </x14:cfRule>
          <xm:sqref>A102</xm:sqref>
        </x14:conditionalFormatting>
        <x14:conditionalFormatting xmlns:xm="http://schemas.microsoft.com/office/excel/2006/main">
          <x14:cfRule type="expression" priority="310" id="{D4AD25C1-6FB5-424E-AC0F-A88214458DAA}">
            <xm:f>'FY 2024 Chron'!$AA100="Benzick, Sue"</xm:f>
            <x14:dxf>
              <font>
                <b/>
                <i val="0"/>
              </font>
            </x14:dxf>
          </x14:cfRule>
          <x14:cfRule type="expression" priority="311" id="{990DD243-A6E0-4087-9D27-888A6DEB64E6}">
            <xm:f>'FY 2024 Chron'!$AA100="Jenne, Richard"</xm:f>
            <x14:dxf>
              <font>
                <b/>
                <i val="0"/>
              </font>
            </x14:dxf>
          </x14:cfRule>
          <x14:cfRule type="expression" priority="312" id="{40D72152-17B6-4C59-8F5B-EA07ACE20FEE}">
            <xm:f>'FY 2024 Chron'!$AA100="McQueen, Jennifer"</xm:f>
            <x14:dxf>
              <font>
                <b/>
                <i val="0"/>
              </font>
            </x14:dxf>
          </x14:cfRule>
          <xm:sqref>A103</xm:sqref>
        </x14:conditionalFormatting>
        <x14:conditionalFormatting xmlns:xm="http://schemas.microsoft.com/office/excel/2006/main">
          <x14:cfRule type="expression" priority="4986" id="{9A063264-F7BB-4EA1-B96D-E0715B3D71B8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4985" id="{AFC6B521-9F49-4562-8FE2-A1142DDFBF49}">
            <xm:f>'FY 2024 Chron'!#REF!="Benzick, Sue"</xm:f>
            <x14:dxf>
              <font>
                <b/>
                <i val="0"/>
              </font>
            </x14:dxf>
          </x14:cfRule>
          <xm:sqref>A81:B82 E81:G82 E83:H83 E85:H85</xm:sqref>
        </x14:conditionalFormatting>
        <x14:conditionalFormatting xmlns:xm="http://schemas.microsoft.com/office/excel/2006/main">
          <x14:cfRule type="expression" priority="4987" id="{67A585EA-81AF-4A2F-AD7F-4F715FE26A9E}">
            <xm:f>'FY 2024 Chron'!#REF!="McQueen, Jennifer"</xm:f>
            <x14:dxf>
              <font>
                <b/>
                <i val="0"/>
              </font>
            </x14:dxf>
          </x14:cfRule>
          <xm:sqref>A81:B82</xm:sqref>
        </x14:conditionalFormatting>
        <x14:conditionalFormatting xmlns:xm="http://schemas.microsoft.com/office/excel/2006/main">
          <x14:cfRule type="expression" priority="4840" id="{000EFA68-24D5-48F0-9627-4E2A4BF28C49}">
            <xm:f>'FY 2024 Chron'!$AB90="McQueen, Jennifer"</xm:f>
            <x14:dxf>
              <font>
                <b/>
                <i val="0"/>
              </font>
            </x14:dxf>
          </x14:cfRule>
          <x14:cfRule type="expression" priority="4839" id="{ADB3E8FC-3BC8-4D11-AD86-35A7EAAD020A}">
            <xm:f>'FY 2024 Chron'!$AB90="Jenne, Richard"</xm:f>
            <x14:dxf>
              <font>
                <b/>
                <i val="0"/>
              </font>
            </x14:dxf>
          </x14:cfRule>
          <x14:cfRule type="expression" priority="4838" id="{7A54DD69-25AF-4737-9DD8-EBB57C29BA12}">
            <xm:f>'FY 2024 Chron'!$AB90="Benzick, Sue"</xm:f>
            <x14:dxf>
              <font>
                <b/>
                <i val="0"/>
              </font>
            </x14:dxf>
          </x14:cfRule>
          <xm:sqref>A88:B88 E88:G88 A90:A93 B94 A95</xm:sqref>
        </x14:conditionalFormatting>
        <x14:conditionalFormatting xmlns:xm="http://schemas.microsoft.com/office/excel/2006/main">
          <x14:cfRule type="expression" priority="307" id="{7A54DD69-25AF-4737-9DD8-EBB57C29BA12}">
            <xm:f>'FY 2024 Chron'!$AB101="Benzick, Sue"</xm:f>
            <x14:dxf>
              <font>
                <b/>
                <i val="0"/>
              </font>
            </x14:dxf>
          </x14:cfRule>
          <x14:cfRule type="expression" priority="308" id="{ADB3E8FC-3BC8-4D11-AD86-35A7EAAD020A}">
            <xm:f>'FY 2024 Chron'!$AB101="Jenne, Richard"</xm:f>
            <x14:dxf>
              <font>
                <b/>
                <i val="0"/>
              </font>
            </x14:dxf>
          </x14:cfRule>
          <x14:cfRule type="expression" priority="309" id="{000EFA68-24D5-48F0-9627-4E2A4BF28C49}">
            <xm:f>'FY 2024 Chron'!$AB101="McQueen, Jennifer"</xm:f>
            <x14:dxf>
              <font>
                <b/>
                <i val="0"/>
              </font>
            </x14:dxf>
          </x14:cfRule>
          <xm:sqref>E104 A106 E109</xm:sqref>
        </x14:conditionalFormatting>
        <x14:conditionalFormatting xmlns:xm="http://schemas.microsoft.com/office/excel/2006/main">
          <x14:cfRule type="expression" priority="5135" id="{D4AD25C1-6FB5-424E-AC0F-A88214458DAA}">
            <xm:f>'FY 2024 Chron'!$AA79="Benzick, Sue"</xm:f>
            <x14:dxf>
              <font>
                <b/>
                <i val="0"/>
              </font>
            </x14:dxf>
          </x14:cfRule>
          <x14:cfRule type="expression" priority="5137" id="{40D72152-17B6-4C59-8F5B-EA07ACE20FEE}">
            <xm:f>'FY 2024 Chron'!$AA79="McQueen, Jennifer"</xm:f>
            <x14:dxf>
              <font>
                <b/>
                <i val="0"/>
              </font>
            </x14:dxf>
          </x14:cfRule>
          <x14:cfRule type="expression" priority="5136" id="{990DD243-A6E0-4087-9D27-888A6DEB64E6}">
            <xm:f>'FY 2024 Chron'!$AA79="Jenne, Richard"</xm:f>
            <x14:dxf>
              <font>
                <b/>
                <i val="0"/>
              </font>
            </x14:dxf>
          </x14:cfRule>
          <xm:sqref>E84:G84</xm:sqref>
        </x14:conditionalFormatting>
        <x14:conditionalFormatting xmlns:xm="http://schemas.microsoft.com/office/excel/2006/main">
          <x14:cfRule type="expression" priority="304" id="{B85E1DAE-9193-4F0A-84F2-E26C87986A22}">
            <xm:f>'FY 2024 Chron'!#REF!="Benzick, Sue"</xm:f>
            <x14:dxf>
              <font>
                <b/>
                <i val="0"/>
              </font>
            </x14:dxf>
          </x14:cfRule>
          <x14:cfRule type="expression" priority="305" id="{3731D4A5-616A-4FCD-BB56-08F5E913D27A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306" id="{9F7019ED-D57A-4977-A26F-AFB555117BF6}">
            <xm:f>'FY 2024 Chron'!#REF!="McQueen, Jennifer"</xm:f>
            <x14:dxf>
              <font>
                <b/>
                <i val="0"/>
              </font>
            </x14:dxf>
          </x14:cfRule>
          <xm:sqref>E87:G87 H100:H102</xm:sqref>
        </x14:conditionalFormatting>
        <x14:conditionalFormatting xmlns:xm="http://schemas.microsoft.com/office/excel/2006/main">
          <x14:cfRule type="expression" priority="289" id="{69C44F3A-D191-4225-B111-3C2EBF8A3F64}">
            <xm:f>'FY 2024 Chron'!#REF!="Benzick, Sue"</xm:f>
            <x14:dxf>
              <font>
                <b/>
                <i val="0"/>
              </font>
            </x14:dxf>
          </x14:cfRule>
          <x14:cfRule type="expression" priority="290" id="{8C0BFBB8-D20C-42F1-B071-A3C022224601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291" id="{1965BD13-DE4F-4E50-8F50-E4B9AC344EF0}">
            <xm:f>'FY 2024 Chron'!#REF!="McQueen, Jennifer"</xm:f>
            <x14:dxf>
              <font>
                <b/>
                <i val="0"/>
              </font>
            </x14:dxf>
          </x14:cfRule>
          <xm:sqref>E89:G92</xm:sqref>
        </x14:conditionalFormatting>
        <x14:conditionalFormatting xmlns:xm="http://schemas.microsoft.com/office/excel/2006/main">
          <x14:cfRule type="expression" priority="318" id="{4D0033CB-0D15-4885-856D-EE700B6E8335}">
            <xm:f>'FY 2024 Chron'!#REF!="McQueen, Jennifer"</xm:f>
            <x14:dxf>
              <font>
                <b/>
                <i val="0"/>
              </font>
            </x14:dxf>
          </x14:cfRule>
          <xm:sqref>E81:H83 H84 E85:H85</xm:sqref>
        </x14:conditionalFormatting>
        <x14:conditionalFormatting xmlns:xm="http://schemas.microsoft.com/office/excel/2006/main">
          <x14:cfRule type="expression" priority="288" id="{7AB32FA1-7B5E-4E0A-A367-0BA4AE55BDC9}">
            <xm:f>'FY 2024 Chron'!#REF!="McQueen, Jennifer"</xm:f>
            <x14:dxf>
              <font>
                <b/>
                <i val="0"/>
              </font>
            </x14:dxf>
          </x14:cfRule>
          <x14:cfRule type="expression" priority="287" id="{0617F60D-9839-4A07-AF84-8393C272F3E5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286" id="{79CE5947-F033-48FE-85B9-114E39F84560}">
            <xm:f>'FY 2024 Chron'!#REF!="Benzick, Sue"</xm:f>
            <x14:dxf>
              <font>
                <b/>
                <i val="0"/>
              </font>
            </x14:dxf>
          </x14:cfRule>
          <xm:sqref>E93:H94</xm:sqref>
        </x14:conditionalFormatting>
        <x14:conditionalFormatting xmlns:xm="http://schemas.microsoft.com/office/excel/2006/main">
          <x14:cfRule type="expression" priority="180" id="{4F07EEE9-0429-4263-8AB9-92F50F2972F8}">
            <xm:f>'FY 2024 Chron'!#REF!="McQueen, Jennifer"</xm:f>
            <x14:dxf>
              <font>
                <b/>
                <i val="0"/>
              </font>
            </x14:dxf>
          </x14:cfRule>
          <x14:cfRule type="expression" priority="178" id="{03A1F94B-9E66-401B-91DD-26E626F37CA9}">
            <xm:f>'FY 2024 Chron'!#REF!="Benzick, Sue"</xm:f>
            <x14:dxf>
              <font>
                <b/>
                <i val="0"/>
              </font>
            </x14:dxf>
          </x14:cfRule>
          <x14:cfRule type="expression" priority="179" id="{32DCB5EB-4431-485E-B4D1-5F88804B8D7B}">
            <xm:f>'FY 2024 Chron'!#REF!="Jenne, Richard"</xm:f>
            <x14:dxf>
              <font>
                <b/>
                <i val="0"/>
              </font>
            </x14:dxf>
          </x14:cfRule>
          <xm:sqref>E119:H120</xm:sqref>
        </x14:conditionalFormatting>
        <x14:conditionalFormatting xmlns:xm="http://schemas.microsoft.com/office/excel/2006/main">
          <x14:cfRule type="expression" priority="148" id="{9DE7DB54-4125-4263-842E-E664D59BB1E1}">
            <xm:f>'FY 2024 Chron'!#REF!="Benzick, Sue"</xm:f>
            <x14:dxf>
              <font>
                <b/>
                <i val="0"/>
              </font>
            </x14:dxf>
          </x14:cfRule>
          <x14:cfRule type="expression" priority="150" id="{78AD0D56-E195-4893-AD33-111133CCB7D7}">
            <xm:f>'FY 2024 Chron'!#REF!="McQueen, Jennifer"</xm:f>
            <x14:dxf>
              <font>
                <b/>
                <i val="0"/>
              </font>
            </x14:dxf>
          </x14:cfRule>
          <x14:cfRule type="expression" priority="149" id="{8AC68CB6-F5F0-499F-9C0D-58EE795C8D6D}">
            <xm:f>'FY 2024 Chron'!#REF!="Jenne, Richard"</xm:f>
            <x14:dxf>
              <font>
                <b/>
                <i val="0"/>
              </font>
            </x14:dxf>
          </x14:cfRule>
          <xm:sqref>E123:H123</xm:sqref>
        </x14:conditionalFormatting>
        <x14:conditionalFormatting xmlns:xm="http://schemas.microsoft.com/office/excel/2006/main">
          <x14:cfRule type="expression" priority="142" id="{EEE90160-577D-42C9-ADBC-2093BCE6365D}">
            <xm:f>'FY 2024 Chron'!#REF!="Benzick, Sue"</xm:f>
            <x14:dxf>
              <font>
                <b/>
                <i val="0"/>
              </font>
            </x14:dxf>
          </x14:cfRule>
          <x14:cfRule type="expression" priority="143" id="{4831C1C8-8615-4A38-AA32-20418A65997C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144" id="{B65EB7F7-FE72-4ED1-B393-E8E3B6899665}">
            <xm:f>'FY 2024 Chron'!#REF!="McQueen, Jennifer"</xm:f>
            <x14:dxf>
              <font>
                <b/>
                <i val="0"/>
              </font>
            </x14:dxf>
          </x14:cfRule>
          <xm:sqref>E125:H125</xm:sqref>
        </x14:conditionalFormatting>
        <x14:conditionalFormatting xmlns:xm="http://schemas.microsoft.com/office/excel/2006/main">
          <x14:cfRule type="expression" priority="4000" id="{000EFA68-24D5-48F0-9627-4E2A4BF28C49}">
            <xm:f>'FY 2024 Chron'!$AB80="McQueen, Jennifer"</xm:f>
            <x14:dxf>
              <font>
                <b/>
                <i val="0"/>
              </font>
            </x14:dxf>
          </x14:cfRule>
          <x14:cfRule type="expression" priority="3999" id="{ADB3E8FC-3BC8-4D11-AD86-35A7EAAD020A}">
            <xm:f>'FY 2024 Chron'!$AB80="Jenne, Richard"</xm:f>
            <x14:dxf>
              <font>
                <b/>
                <i val="0"/>
              </font>
            </x14:dxf>
          </x14:cfRule>
          <x14:cfRule type="expression" priority="3998" id="{7A54DD69-25AF-4737-9DD8-EBB57C29BA12}">
            <xm:f>'FY 2024 Chron'!$AB80="Benzick, Sue"</xm:f>
            <x14:dxf>
              <font>
                <b/>
                <i val="0"/>
              </font>
            </x14:dxf>
          </x14:cfRule>
          <xm:sqref>F86:G86</xm:sqref>
        </x14:conditionalFormatting>
        <x14:conditionalFormatting xmlns:xm="http://schemas.microsoft.com/office/excel/2006/main">
          <x14:cfRule type="expression" priority="274" id="{38CA8692-E814-4303-B350-2AF85AD431E9}">
            <xm:f>'FY 2024 Chron'!$P106="Benzick, Sue"</xm:f>
            <x14:dxf>
              <font>
                <b/>
                <i val="0"/>
              </font>
            </x14:dxf>
          </x14:cfRule>
          <x14:cfRule type="expression" priority="275" id="{CBA1A029-F767-457A-84B1-AC7CFACEF5CE}">
            <xm:f>'FY 2024 Chron'!$P106="Jenne, Richard"</xm:f>
            <x14:dxf>
              <font>
                <b/>
                <i val="0"/>
              </font>
            </x14:dxf>
          </x14:cfRule>
          <x14:cfRule type="expression" priority="276" id="{620D41CF-B574-4D20-ABFB-2A775DF34ED4}">
            <xm:f>'FY 2024 Chron'!$P106="McQueen, Jennifer"</xm:f>
            <x14:dxf>
              <font>
                <b/>
                <i val="0"/>
              </font>
            </x14:dxf>
          </x14:cfRule>
          <xm:sqref>F109:G109</xm:sqref>
        </x14:conditionalFormatting>
        <x14:conditionalFormatting xmlns:xm="http://schemas.microsoft.com/office/excel/2006/main">
          <x14:cfRule type="expression" priority="1085" id="{DE52A5C4-0624-4627-BE73-84B082E4AD81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1084" id="{F8DAF346-5605-44B7-BF38-B7CEB860BD48}">
            <xm:f>'FY 2024 Chron'!#REF!="Benzick, Sue"</xm:f>
            <x14:dxf>
              <font>
                <b/>
                <i val="0"/>
              </font>
            </x14:dxf>
          </x14:cfRule>
          <x14:cfRule type="expression" priority="1086" id="{C1968EF2-77B8-4A1B-BBC2-01C0F63E971F}">
            <xm:f>'FY 2024 Chron'!#REF!="McQueen, Jennifer"</xm:f>
            <x14:dxf>
              <font>
                <b/>
                <i val="0"/>
              </font>
            </x14:dxf>
          </x14:cfRule>
          <xm:sqref>F2:H9</xm:sqref>
        </x14:conditionalFormatting>
        <x14:conditionalFormatting xmlns:xm="http://schemas.microsoft.com/office/excel/2006/main">
          <x14:cfRule type="expression" priority="1069" id="{1A9104C9-3FBA-46D1-B117-EDA6637B7EDE}">
            <xm:f>'FY 2024 Chron'!#REF!="Benzick, Sue"</xm:f>
            <x14:dxf>
              <font>
                <b/>
                <i val="0"/>
              </font>
            </x14:dxf>
          </x14:cfRule>
          <x14:cfRule type="expression" priority="1070" id="{B21B9BAB-4200-4E0C-A68A-8518CF2BE0E3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1071" id="{66E7F869-9524-4459-B24C-C7971A84FEC1}">
            <xm:f>'FY 2024 Chron'!#REF!="McQueen, Jennifer"</xm:f>
            <x14:dxf>
              <font>
                <b/>
                <i val="0"/>
              </font>
            </x14:dxf>
          </x14:cfRule>
          <xm:sqref>F12:H13</xm:sqref>
        </x14:conditionalFormatting>
        <x14:conditionalFormatting xmlns:xm="http://schemas.microsoft.com/office/excel/2006/main">
          <x14:cfRule type="expression" priority="30" id="{67F2BF64-6572-41AF-B898-B0697043A12F}">
            <xm:f>'FY 2024 Chron'!#REF!="McQueen, Jennifer"</xm:f>
            <x14:dxf>
              <font>
                <b/>
                <i val="0"/>
              </font>
            </x14:dxf>
          </x14:cfRule>
          <x14:cfRule type="expression" priority="29" id="{31A11B00-3655-4C08-9DA8-4BBED493F36F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28" id="{0E3AD156-0A81-4475-B95B-451091460A81}">
            <xm:f>'FY 2024 Chron'!#REF!="Benzick, Sue"</xm:f>
            <x14:dxf>
              <font>
                <b/>
                <i val="0"/>
              </font>
            </x14:dxf>
          </x14:cfRule>
          <xm:sqref>F149:H149</xm:sqref>
        </x14:conditionalFormatting>
        <x14:conditionalFormatting xmlns:xm="http://schemas.microsoft.com/office/excel/2006/main">
          <x14:cfRule type="expression" priority="1057" id="{278207BB-7F56-4C60-8A02-2B1AC33AE30F}">
            <xm:f>'FY 2024 Chron'!#REF!="Benzick, Sue"</xm:f>
            <x14:dxf>
              <font>
                <b/>
                <i val="0"/>
              </font>
            </x14:dxf>
          </x14:cfRule>
          <x14:cfRule type="expression" priority="1058" id="{3D9DF02C-312F-4DF7-B58E-71DB079B4927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1059" id="{F12D63FC-19EF-4FDE-9301-86538E13EEC9}">
            <xm:f>'FY 2024 Chron'!#REF!="McQueen, Jennifer"</xm:f>
            <x14:dxf>
              <font>
                <b/>
                <i val="0"/>
              </font>
            </x14:dxf>
          </x14:cfRule>
          <xm:sqref>G14:H14</xm:sqref>
        </x14:conditionalFormatting>
        <x14:conditionalFormatting xmlns:xm="http://schemas.microsoft.com/office/excel/2006/main">
          <x14:cfRule type="expression" priority="174" id="{919C5040-6B2D-4A93-B932-071D758330D4}">
            <xm:f>'FY 2024 Chron'!#REF!="McQueen, Jennifer"</xm:f>
            <x14:dxf>
              <font>
                <b/>
                <i val="0"/>
              </font>
            </x14:dxf>
          </x14:cfRule>
          <x14:cfRule type="expression" priority="173" id="{36EA2099-0739-41DC-8F37-AA63401FB542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172" id="{010D9F8B-8B30-40C5-B29D-2B2B676F8388}">
            <xm:f>'FY 2024 Chron'!#REF!="Benzick, Sue"</xm:f>
            <x14:dxf>
              <font>
                <b/>
                <i val="0"/>
              </font>
            </x14:dxf>
          </x14:cfRule>
          <xm:sqref>G121:H121</xm:sqref>
        </x14:conditionalFormatting>
        <x14:conditionalFormatting xmlns:xm="http://schemas.microsoft.com/office/excel/2006/main">
          <x14:cfRule type="expression" priority="1077" id="{4A433918-E393-4135-915C-80FF8E607F5D}">
            <xm:f>'FY 2024 Chron'!#REF!="McQueen, Jennifer"</xm:f>
            <x14:dxf>
              <font>
                <b/>
                <i val="0"/>
              </font>
            </x14:dxf>
          </x14:cfRule>
          <x14:cfRule type="expression" priority="1075" id="{5D29B92E-C9CB-4107-B91C-7E90BE372F7D}">
            <xm:f>'FY 2024 Chron'!#REF!="Benzick, Sue"</xm:f>
            <x14:dxf>
              <font>
                <b/>
                <i val="0"/>
              </font>
            </x14:dxf>
          </x14:cfRule>
          <x14:cfRule type="expression" priority="1076" id="{57D2D218-D4B2-4470-AC08-D384EFB9AC07}">
            <xm:f>'FY 2024 Chron'!#REF!="Jenne, Richard"</xm:f>
            <x14:dxf>
              <font>
                <b/>
                <i val="0"/>
              </font>
            </x14:dxf>
          </x14:cfRule>
          <xm:sqref>H10:H11</xm:sqref>
        </x14:conditionalFormatting>
        <x14:conditionalFormatting xmlns:xm="http://schemas.microsoft.com/office/excel/2006/main">
          <x14:cfRule type="expression" priority="1035" id="{3EC5BF14-51CE-47BC-8870-9DF8EB1EC3BC}">
            <xm:f>'FY 2024 Chron'!#REF!="McQueen, Jennifer"</xm:f>
            <x14:dxf>
              <font>
                <b/>
                <i val="0"/>
              </font>
            </x14:dxf>
          </x14:cfRule>
          <x14:cfRule type="expression" priority="1034" id="{F83B440D-E949-42EB-9FEA-207AFCB7BD9C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1033" id="{5FA239F6-58ED-45FC-9304-27E1C000FDDF}">
            <xm:f>'FY 2024 Chron'!#REF!="Benzick, Sue"</xm:f>
            <x14:dxf>
              <font>
                <b/>
                <i val="0"/>
              </font>
            </x14:dxf>
          </x14:cfRule>
          <xm:sqref>H15:H16</xm:sqref>
        </x14:conditionalFormatting>
        <x14:conditionalFormatting xmlns:xm="http://schemas.microsoft.com/office/excel/2006/main">
          <x14:cfRule type="expression" priority="317" id="{A905EAE7-042C-446F-B1DC-039A42885272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316" id="{DFFC4F05-C9BE-4D59-BF3E-0697FB70C396}">
            <xm:f>'FY 2024 Chron'!#REF!="Benzick, Sue"</xm:f>
            <x14:dxf>
              <font>
                <b/>
                <i val="0"/>
              </font>
            </x14:dxf>
          </x14:cfRule>
          <xm:sqref>H81:H82 H84</xm:sqref>
        </x14:conditionalFormatting>
        <x14:conditionalFormatting xmlns:xm="http://schemas.microsoft.com/office/excel/2006/main">
          <x14:cfRule type="expression" priority="299" id="{8983AA86-53D6-4425-9672-8F6DA2ACC7FE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298" id="{1701DA60-EC60-4D92-B26C-DAD257A199B2}">
            <xm:f>'FY 2024 Chron'!#REF!="Benzick, Sue"</xm:f>
            <x14:dxf>
              <font>
                <b/>
                <i val="0"/>
              </font>
            </x14:dxf>
          </x14:cfRule>
          <x14:cfRule type="expression" priority="300" id="{9C166125-E6D2-46BD-A637-DA0ABBAE0760}">
            <xm:f>'FY 2024 Chron'!#REF!="McQueen, Jennifer"</xm:f>
            <x14:dxf>
              <font>
                <b/>
                <i val="0"/>
              </font>
            </x14:dxf>
          </x14:cfRule>
          <xm:sqref>H86:H88</xm:sqref>
        </x14:conditionalFormatting>
        <x14:conditionalFormatting xmlns:xm="http://schemas.microsoft.com/office/excel/2006/main">
          <x14:cfRule type="expression" priority="284" id="{8EBBC701-54A5-4E2A-9A47-AC8A4A51B4EA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283" id="{2E1398A1-D8F3-431E-A5E2-5BD6F85BA169}">
            <xm:f>'FY 2024 Chron'!#REF!="Benzick, Sue"</xm:f>
            <x14:dxf>
              <font>
                <b/>
                <i val="0"/>
              </font>
            </x14:dxf>
          </x14:cfRule>
          <x14:cfRule type="expression" priority="285" id="{90836DE6-6737-4DE5-8640-5179FBF6C52A}">
            <xm:f>'FY 2024 Chron'!#REF!="McQueen, Jennifer"</xm:f>
            <x14:dxf>
              <font>
                <b/>
                <i val="0"/>
              </font>
            </x14:dxf>
          </x14:cfRule>
          <xm:sqref>H96:H98</xm:sqref>
        </x14:conditionalFormatting>
        <x14:conditionalFormatting xmlns:xm="http://schemas.microsoft.com/office/excel/2006/main">
          <x14:cfRule type="expression" priority="280" id="{3B95A9F5-5ABE-4EFE-AC75-9BC082E837C4}">
            <xm:f>'FY 2024 Chron'!#REF!="Benzick, Sue"</xm:f>
            <x14:dxf>
              <font>
                <b/>
                <i val="0"/>
              </font>
            </x14:dxf>
          </x14:cfRule>
          <x14:cfRule type="expression" priority="282" id="{3636AC37-B6EF-479B-8792-C49D6E851909}">
            <xm:f>'FY 2024 Chron'!#REF!="McQueen, Jennifer"</xm:f>
            <x14:dxf>
              <font>
                <b/>
                <i val="0"/>
              </font>
            </x14:dxf>
          </x14:cfRule>
          <x14:cfRule type="expression" priority="281" id="{5E7ECABC-8860-4ED7-939D-2180E86ACBCC}">
            <xm:f>'FY 2024 Chron'!#REF!="Jenne, Richard"</xm:f>
            <x14:dxf>
              <font>
                <b/>
                <i val="0"/>
              </font>
            </x14:dxf>
          </x14:cfRule>
          <xm:sqref>H103</xm:sqref>
        </x14:conditionalFormatting>
        <x14:conditionalFormatting xmlns:xm="http://schemas.microsoft.com/office/excel/2006/main">
          <x14:cfRule type="expression" priority="252" id="{D03568DB-0BDE-4FB5-BB83-53096299D8D0}">
            <xm:f>'FY 2024 Chron'!#REF!="McQueen, Jennifer"</xm:f>
            <x14:dxf>
              <font>
                <b/>
                <i val="0"/>
              </font>
            </x14:dxf>
          </x14:cfRule>
          <x14:cfRule type="expression" priority="250" id="{5B2EFB08-0178-4170-9F9F-26A7F63AFAF0}">
            <xm:f>'FY 2024 Chron'!#REF!="Benzick, Sue"</xm:f>
            <x14:dxf>
              <font>
                <b/>
                <i val="0"/>
              </font>
            </x14:dxf>
          </x14:cfRule>
          <x14:cfRule type="expression" priority="251" id="{21EC1F95-5732-4B7D-9E1E-A00717487208}">
            <xm:f>'FY 2024 Chron'!#REF!="Jenne, Richard"</xm:f>
            <x14:dxf>
              <font>
                <b/>
                <i val="0"/>
              </font>
            </x14:dxf>
          </x14:cfRule>
          <xm:sqref>H112</xm:sqref>
        </x14:conditionalFormatting>
        <x14:conditionalFormatting xmlns:xm="http://schemas.microsoft.com/office/excel/2006/main">
          <x14:cfRule type="expression" priority="124" id="{4FC2BFF0-09B0-4CCF-8A08-53D80837453F}">
            <xm:f>'FY 2024 Chron'!#REF!="Benzick, Sue"</xm:f>
            <x14:dxf>
              <font>
                <b/>
                <i val="0"/>
              </font>
            </x14:dxf>
          </x14:cfRule>
          <x14:cfRule type="expression" priority="126" id="{7CC6517A-64A2-4284-B918-870212A43494}">
            <xm:f>'FY 2024 Chron'!#REF!="McQueen, Jennifer"</xm:f>
            <x14:dxf>
              <font>
                <b/>
                <i val="0"/>
              </font>
            </x14:dxf>
          </x14:cfRule>
          <x14:cfRule type="expression" priority="125" id="{E242D59F-DB04-472F-9F85-86624A26E99F}">
            <xm:f>'FY 2024 Chron'!#REF!="Jenne, Richard"</xm:f>
            <x14:dxf>
              <font>
                <b/>
                <i val="0"/>
              </font>
            </x14:dxf>
          </x14:cfRule>
          <xm:sqref>H127</xm:sqref>
        </x14:conditionalFormatting>
        <x14:conditionalFormatting xmlns:xm="http://schemas.microsoft.com/office/excel/2006/main">
          <x14:cfRule type="expression" priority="96" id="{7385A6F7-5890-46CB-9F8B-6BC7042413D3}">
            <xm:f>'FY 2024 Chron'!#REF!="McQueen, Jennifer"</xm:f>
            <x14:dxf>
              <font>
                <b/>
                <i val="0"/>
              </font>
            </x14:dxf>
          </x14:cfRule>
          <x14:cfRule type="expression" priority="95" id="{72BCDDF2-1BD5-4640-8CD9-1E2E8A9BEEA4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94" id="{435C7030-CF96-4AA6-855C-9F615F6230D4}">
            <xm:f>'FY 2024 Chron'!#REF!="Benzick, Sue"</xm:f>
            <x14:dxf>
              <font>
                <b/>
                <i val="0"/>
              </font>
            </x14:dxf>
          </x14:cfRule>
          <xm:sqref>H129:H130</xm:sqref>
        </x14:conditionalFormatting>
        <x14:conditionalFormatting xmlns:xm="http://schemas.microsoft.com/office/excel/2006/main">
          <x14:cfRule type="expression" priority="93" id="{24B70B3C-A4E3-4376-9DEC-4D22E6201922}">
            <xm:f>'FY 2024 Chron'!#REF!="McQueen, Jennifer"</xm:f>
            <x14:dxf>
              <font>
                <b/>
                <i val="0"/>
              </font>
            </x14:dxf>
          </x14:cfRule>
          <x14:cfRule type="expression" priority="92" id="{BB87EAB5-910A-4C6F-9291-A51B3438E783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91" id="{AA2E9CC5-4170-42B7-95EE-0DFCE185D7E8}">
            <xm:f>'FY 2024 Chron'!#REF!="Benzick, Sue"</xm:f>
            <x14:dxf>
              <font>
                <b/>
                <i val="0"/>
              </font>
            </x14:dxf>
          </x14:cfRule>
          <xm:sqref>H133</xm:sqref>
        </x14:conditionalFormatting>
        <x14:conditionalFormatting xmlns:xm="http://schemas.microsoft.com/office/excel/2006/main">
          <x14:cfRule type="expression" priority="71" id="{6D8BB0FD-0E6D-4A14-A13D-493629DEB75D}">
            <xm:f>'FY 2024 Chron'!#REF!="Jenne, Richard"</xm:f>
            <x14:dxf>
              <font>
                <b/>
                <i val="0"/>
              </font>
            </x14:dxf>
          </x14:cfRule>
          <x14:cfRule type="expression" priority="70" id="{433CC08B-0105-4B64-9E62-8AD2DF77B05F}">
            <xm:f>'FY 2024 Chron'!#REF!="Benzick, Sue"</xm:f>
            <x14:dxf>
              <font>
                <b/>
                <i val="0"/>
              </font>
            </x14:dxf>
          </x14:cfRule>
          <x14:cfRule type="expression" priority="72" id="{8759C1EE-7EE3-47CA-A7E3-23459C0E9595}">
            <xm:f>'FY 2024 Chron'!#REF!="McQueen, Jennifer"</xm:f>
            <x14:dxf>
              <font>
                <b/>
                <i val="0"/>
              </font>
            </x14:dxf>
          </x14:cfRule>
          <xm:sqref>H140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6000000}">
          <x14:formula1>
            <xm:f>Data!$J$2:$J$130</xm:f>
          </x14:formula1>
          <xm:sqref>E10:E11 E14:E66 E68:E109 E112 E118:E120 E123 E125:E130 E132:E144 E146:E151 E155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620A-74E6-4B52-A505-75A3FC82B8D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EEDAD-C10B-488B-ACC6-932B6B5AFB8A}">
  <dimension ref="A3:R46"/>
  <sheetViews>
    <sheetView topLeftCell="A11" workbookViewId="0">
      <selection activeCell="D23" sqref="D23"/>
    </sheetView>
  </sheetViews>
  <sheetFormatPr defaultRowHeight="15" x14ac:dyDescent="0.25"/>
  <cols>
    <col min="1" max="1" width="76.28515625" bestFit="1" customWidth="1"/>
    <col min="2" max="2" width="16.85546875" bestFit="1" customWidth="1"/>
    <col min="9" max="16" width="0" hidden="1" customWidth="1"/>
  </cols>
  <sheetData>
    <row r="3" spans="1:18" x14ac:dyDescent="0.25">
      <c r="A3" s="6" t="s">
        <v>461</v>
      </c>
      <c r="B3" t="s">
        <v>412</v>
      </c>
      <c r="F3" t="s">
        <v>184</v>
      </c>
      <c r="H3" t="s">
        <v>397</v>
      </c>
      <c r="I3">
        <v>7</v>
      </c>
      <c r="J3">
        <v>7</v>
      </c>
      <c r="K3">
        <v>0</v>
      </c>
      <c r="L3">
        <v>45</v>
      </c>
      <c r="M3">
        <v>315</v>
      </c>
      <c r="N3">
        <v>175</v>
      </c>
      <c r="O3">
        <v>147</v>
      </c>
      <c r="P3">
        <v>2</v>
      </c>
      <c r="Q3">
        <v>26</v>
      </c>
      <c r="R3">
        <v>2</v>
      </c>
    </row>
    <row r="4" spans="1:18" x14ac:dyDescent="0.25">
      <c r="A4" t="s">
        <v>184</v>
      </c>
      <c r="B4" s="294">
        <v>30</v>
      </c>
      <c r="C4">
        <v>26</v>
      </c>
      <c r="D4">
        <v>26</v>
      </c>
      <c r="F4" t="s">
        <v>17</v>
      </c>
      <c r="G4" t="s">
        <v>53</v>
      </c>
      <c r="H4" t="s">
        <v>397</v>
      </c>
      <c r="I4">
        <v>18</v>
      </c>
      <c r="J4">
        <v>0</v>
      </c>
      <c r="K4">
        <v>18</v>
      </c>
      <c r="L4">
        <v>40</v>
      </c>
      <c r="M4">
        <v>720</v>
      </c>
      <c r="N4">
        <v>457</v>
      </c>
      <c r="O4">
        <v>401</v>
      </c>
      <c r="P4">
        <v>14</v>
      </c>
      <c r="Q4">
        <v>42</v>
      </c>
      <c r="R4">
        <v>94</v>
      </c>
    </row>
    <row r="5" spans="1:18" x14ac:dyDescent="0.25">
      <c r="A5" t="s">
        <v>6</v>
      </c>
      <c r="B5" s="294">
        <v>1</v>
      </c>
      <c r="C5">
        <v>1</v>
      </c>
      <c r="D5">
        <v>1</v>
      </c>
      <c r="F5" t="s">
        <v>18</v>
      </c>
      <c r="G5" t="s">
        <v>53</v>
      </c>
      <c r="H5" t="s">
        <v>397</v>
      </c>
      <c r="I5">
        <v>11</v>
      </c>
      <c r="J5">
        <v>0</v>
      </c>
      <c r="K5">
        <v>11</v>
      </c>
      <c r="L5">
        <v>40</v>
      </c>
      <c r="M5">
        <v>440</v>
      </c>
      <c r="N5">
        <v>252</v>
      </c>
      <c r="O5">
        <v>231</v>
      </c>
      <c r="P5">
        <v>2</v>
      </c>
      <c r="Q5">
        <v>19</v>
      </c>
      <c r="R5">
        <v>95</v>
      </c>
    </row>
    <row r="6" spans="1:18" x14ac:dyDescent="0.25">
      <c r="A6" t="s">
        <v>7</v>
      </c>
      <c r="B6" s="294">
        <v>2</v>
      </c>
      <c r="C6">
        <v>2</v>
      </c>
      <c r="D6">
        <v>2</v>
      </c>
      <c r="F6" t="s">
        <v>23</v>
      </c>
      <c r="G6" t="s">
        <v>53</v>
      </c>
      <c r="H6" t="s">
        <v>397</v>
      </c>
      <c r="I6">
        <v>5</v>
      </c>
      <c r="J6">
        <v>0</v>
      </c>
      <c r="K6">
        <v>5</v>
      </c>
      <c r="L6">
        <v>25</v>
      </c>
      <c r="M6">
        <v>125</v>
      </c>
      <c r="N6">
        <v>102</v>
      </c>
      <c r="O6">
        <v>76</v>
      </c>
      <c r="P6">
        <v>1</v>
      </c>
      <c r="Q6">
        <v>25</v>
      </c>
      <c r="R6">
        <v>24</v>
      </c>
    </row>
    <row r="7" spans="1:18" x14ac:dyDescent="0.25">
      <c r="A7" t="s">
        <v>8</v>
      </c>
      <c r="B7" s="294">
        <v>1</v>
      </c>
      <c r="C7">
        <v>0</v>
      </c>
      <c r="D7">
        <v>0</v>
      </c>
      <c r="F7" t="s">
        <v>24</v>
      </c>
      <c r="G7" t="s">
        <v>53</v>
      </c>
      <c r="H7" t="s">
        <v>397</v>
      </c>
      <c r="I7">
        <v>12</v>
      </c>
      <c r="J7">
        <v>8</v>
      </c>
      <c r="K7">
        <v>4</v>
      </c>
      <c r="L7">
        <v>30</v>
      </c>
      <c r="M7">
        <v>360</v>
      </c>
      <c r="N7">
        <v>312</v>
      </c>
      <c r="O7">
        <v>265</v>
      </c>
      <c r="P7">
        <v>0</v>
      </c>
      <c r="Q7">
        <v>47</v>
      </c>
      <c r="R7">
        <v>23</v>
      </c>
    </row>
    <row r="8" spans="1:18" x14ac:dyDescent="0.25">
      <c r="A8" t="s">
        <v>9</v>
      </c>
      <c r="B8" s="294">
        <v>1</v>
      </c>
      <c r="C8">
        <v>1</v>
      </c>
      <c r="D8">
        <v>1</v>
      </c>
      <c r="F8" t="s">
        <v>25</v>
      </c>
      <c r="G8" t="s">
        <v>53</v>
      </c>
      <c r="H8" t="s">
        <v>397</v>
      </c>
      <c r="I8">
        <v>5</v>
      </c>
      <c r="J8">
        <v>1</v>
      </c>
      <c r="K8">
        <v>4</v>
      </c>
      <c r="L8">
        <v>30</v>
      </c>
      <c r="M8">
        <v>150</v>
      </c>
      <c r="N8">
        <v>150</v>
      </c>
      <c r="O8">
        <v>111</v>
      </c>
      <c r="P8">
        <v>0</v>
      </c>
      <c r="Q8">
        <v>39</v>
      </c>
      <c r="R8">
        <v>35</v>
      </c>
    </row>
    <row r="9" spans="1:18" x14ac:dyDescent="0.25">
      <c r="A9" t="s">
        <v>10</v>
      </c>
      <c r="B9" s="294">
        <v>4</v>
      </c>
      <c r="C9">
        <v>3</v>
      </c>
      <c r="D9">
        <v>3</v>
      </c>
      <c r="F9" t="s">
        <v>26</v>
      </c>
      <c r="G9" t="s">
        <v>53</v>
      </c>
      <c r="H9" t="s">
        <v>397</v>
      </c>
      <c r="I9">
        <v>3</v>
      </c>
      <c r="J9">
        <v>0</v>
      </c>
      <c r="K9">
        <v>3</v>
      </c>
      <c r="L9">
        <v>30</v>
      </c>
      <c r="M9">
        <v>90</v>
      </c>
      <c r="N9">
        <v>69</v>
      </c>
      <c r="O9">
        <v>54</v>
      </c>
      <c r="P9">
        <v>0</v>
      </c>
      <c r="Q9">
        <v>15</v>
      </c>
      <c r="R9">
        <v>9</v>
      </c>
    </row>
    <row r="10" spans="1:18" x14ac:dyDescent="0.25">
      <c r="A10" t="s">
        <v>11</v>
      </c>
      <c r="B10" s="294">
        <v>2</v>
      </c>
      <c r="C10">
        <v>2</v>
      </c>
      <c r="D10">
        <v>2</v>
      </c>
      <c r="F10" t="s">
        <v>27</v>
      </c>
      <c r="G10" t="s">
        <v>53</v>
      </c>
      <c r="H10" t="s">
        <v>397</v>
      </c>
      <c r="I10">
        <v>5</v>
      </c>
      <c r="J10">
        <v>1</v>
      </c>
      <c r="K10">
        <v>4</v>
      </c>
      <c r="L10">
        <v>30</v>
      </c>
      <c r="M10">
        <v>150</v>
      </c>
      <c r="N10">
        <v>152</v>
      </c>
      <c r="O10">
        <v>121</v>
      </c>
      <c r="P10">
        <v>0</v>
      </c>
      <c r="Q10">
        <v>31</v>
      </c>
      <c r="R10">
        <v>44</v>
      </c>
    </row>
    <row r="11" spans="1:18" x14ac:dyDescent="0.25">
      <c r="A11" t="s">
        <v>214</v>
      </c>
      <c r="B11" s="294">
        <v>41</v>
      </c>
      <c r="C11">
        <v>33</v>
      </c>
      <c r="D11">
        <v>33</v>
      </c>
      <c r="F11" t="s">
        <v>35</v>
      </c>
      <c r="G11" t="s">
        <v>53</v>
      </c>
      <c r="H11" t="s">
        <v>397</v>
      </c>
      <c r="I11">
        <v>4</v>
      </c>
      <c r="J11">
        <v>0</v>
      </c>
      <c r="K11">
        <v>4</v>
      </c>
      <c r="L11">
        <v>25</v>
      </c>
      <c r="M11">
        <v>100</v>
      </c>
      <c r="N11">
        <v>137</v>
      </c>
      <c r="O11">
        <v>105</v>
      </c>
      <c r="P11">
        <v>0</v>
      </c>
      <c r="Q11">
        <v>32</v>
      </c>
      <c r="R11">
        <v>38</v>
      </c>
    </row>
    <row r="12" spans="1:18" x14ac:dyDescent="0.25">
      <c r="A12" t="s">
        <v>336</v>
      </c>
      <c r="B12" s="294">
        <v>0</v>
      </c>
      <c r="F12" t="s">
        <v>40</v>
      </c>
      <c r="G12" t="s">
        <v>53</v>
      </c>
      <c r="H12" t="s">
        <v>397</v>
      </c>
      <c r="I12">
        <v>3</v>
      </c>
      <c r="J12">
        <v>0</v>
      </c>
      <c r="K12">
        <v>3</v>
      </c>
      <c r="L12">
        <v>25</v>
      </c>
      <c r="M12">
        <v>75</v>
      </c>
      <c r="N12">
        <v>72</v>
      </c>
      <c r="O12">
        <v>60</v>
      </c>
      <c r="P12">
        <v>0</v>
      </c>
      <c r="Q12">
        <v>12</v>
      </c>
      <c r="R12">
        <v>9</v>
      </c>
    </row>
    <row r="13" spans="1:18" x14ac:dyDescent="0.25">
      <c r="A13" t="s">
        <v>339</v>
      </c>
      <c r="B13" s="294">
        <v>0</v>
      </c>
      <c r="I13">
        <v>0</v>
      </c>
      <c r="J13">
        <v>0</v>
      </c>
      <c r="O13">
        <v>0</v>
      </c>
      <c r="P13">
        <v>0</v>
      </c>
      <c r="Q13">
        <v>0</v>
      </c>
      <c r="R13">
        <v>0</v>
      </c>
    </row>
    <row r="14" spans="1:18" x14ac:dyDescent="0.25">
      <c r="A14" t="s">
        <v>236</v>
      </c>
      <c r="B14" s="294">
        <v>135</v>
      </c>
      <c r="C14">
        <v>108</v>
      </c>
      <c r="D14">
        <v>108</v>
      </c>
      <c r="F14" t="s">
        <v>407</v>
      </c>
      <c r="I14">
        <v>0</v>
      </c>
      <c r="J14">
        <v>0</v>
      </c>
      <c r="O14">
        <v>0</v>
      </c>
      <c r="P14">
        <v>0</v>
      </c>
      <c r="Q14">
        <v>0</v>
      </c>
      <c r="R14">
        <v>0</v>
      </c>
    </row>
    <row r="15" spans="1:18" x14ac:dyDescent="0.25">
      <c r="A15" t="s">
        <v>14</v>
      </c>
      <c r="B15" s="294">
        <v>58</v>
      </c>
      <c r="C15">
        <v>39</v>
      </c>
      <c r="D15">
        <v>39</v>
      </c>
      <c r="F15" t="s">
        <v>214</v>
      </c>
      <c r="H15" t="s">
        <v>407</v>
      </c>
      <c r="I15">
        <v>6</v>
      </c>
      <c r="J15">
        <v>6</v>
      </c>
      <c r="K15">
        <v>0</v>
      </c>
      <c r="L15">
        <v>45</v>
      </c>
      <c r="M15">
        <v>270</v>
      </c>
      <c r="N15">
        <v>229</v>
      </c>
      <c r="O15">
        <v>187</v>
      </c>
      <c r="P15">
        <v>9</v>
      </c>
      <c r="Q15">
        <v>33</v>
      </c>
      <c r="R15">
        <v>3</v>
      </c>
    </row>
    <row r="16" spans="1:18" x14ac:dyDescent="0.25">
      <c r="A16" t="s">
        <v>15</v>
      </c>
      <c r="B16" s="294">
        <v>25</v>
      </c>
      <c r="C16">
        <v>17</v>
      </c>
      <c r="D16">
        <v>17</v>
      </c>
      <c r="F16" t="s">
        <v>243</v>
      </c>
      <c r="H16" t="s">
        <v>407</v>
      </c>
      <c r="I16">
        <v>12</v>
      </c>
      <c r="J16">
        <v>12</v>
      </c>
      <c r="K16">
        <v>0</v>
      </c>
      <c r="L16">
        <v>45</v>
      </c>
      <c r="M16">
        <v>540</v>
      </c>
      <c r="N16">
        <v>346</v>
      </c>
      <c r="O16">
        <v>293</v>
      </c>
      <c r="P16">
        <v>3</v>
      </c>
      <c r="Q16">
        <v>50</v>
      </c>
      <c r="R16">
        <v>3</v>
      </c>
    </row>
    <row r="17" spans="1:18" x14ac:dyDescent="0.25">
      <c r="A17" t="s">
        <v>16</v>
      </c>
      <c r="B17" s="294">
        <v>0</v>
      </c>
      <c r="C17">
        <v>0</v>
      </c>
      <c r="F17" t="s">
        <v>303</v>
      </c>
      <c r="H17" t="s">
        <v>407</v>
      </c>
      <c r="I17">
        <v>11</v>
      </c>
      <c r="J17">
        <v>11</v>
      </c>
      <c r="K17">
        <v>0</v>
      </c>
      <c r="L17">
        <v>30</v>
      </c>
      <c r="M17">
        <v>330</v>
      </c>
      <c r="N17">
        <v>311</v>
      </c>
      <c r="O17">
        <v>228</v>
      </c>
      <c r="P17">
        <v>17</v>
      </c>
      <c r="Q17">
        <v>66</v>
      </c>
      <c r="R17">
        <v>11</v>
      </c>
    </row>
    <row r="18" spans="1:18" x14ac:dyDescent="0.25">
      <c r="A18" t="s">
        <v>17</v>
      </c>
      <c r="B18" s="294">
        <v>48</v>
      </c>
      <c r="C18">
        <v>42</v>
      </c>
      <c r="D18">
        <v>42</v>
      </c>
      <c r="F18" t="s">
        <v>317</v>
      </c>
      <c r="H18" t="s">
        <v>407</v>
      </c>
      <c r="I18">
        <v>10</v>
      </c>
      <c r="J18">
        <v>10</v>
      </c>
      <c r="K18">
        <v>0</v>
      </c>
      <c r="L18">
        <v>100</v>
      </c>
      <c r="M18">
        <v>1000</v>
      </c>
      <c r="N18">
        <v>1044</v>
      </c>
      <c r="O18">
        <v>834</v>
      </c>
      <c r="P18">
        <v>30</v>
      </c>
      <c r="Q18">
        <v>180</v>
      </c>
      <c r="R18">
        <v>18</v>
      </c>
    </row>
    <row r="19" spans="1:18" x14ac:dyDescent="0.25">
      <c r="A19" t="s">
        <v>18</v>
      </c>
      <c r="B19" s="294">
        <v>27</v>
      </c>
      <c r="C19">
        <v>19</v>
      </c>
      <c r="D19">
        <v>19</v>
      </c>
      <c r="F19" t="s">
        <v>6</v>
      </c>
      <c r="H19" t="s">
        <v>407</v>
      </c>
      <c r="I19">
        <v>1</v>
      </c>
      <c r="J19">
        <v>0</v>
      </c>
      <c r="K19">
        <v>1</v>
      </c>
      <c r="L19">
        <v>25</v>
      </c>
      <c r="M19">
        <v>25</v>
      </c>
      <c r="N19">
        <v>18</v>
      </c>
      <c r="O19">
        <v>17</v>
      </c>
      <c r="P19">
        <v>0</v>
      </c>
      <c r="Q19">
        <v>1</v>
      </c>
      <c r="R19">
        <v>2</v>
      </c>
    </row>
    <row r="20" spans="1:18" x14ac:dyDescent="0.25">
      <c r="A20" t="s">
        <v>19</v>
      </c>
      <c r="B20" s="294">
        <v>77</v>
      </c>
      <c r="C20">
        <v>77</v>
      </c>
      <c r="D20">
        <v>77</v>
      </c>
      <c r="F20" t="s">
        <v>7</v>
      </c>
      <c r="H20" t="s">
        <v>407</v>
      </c>
      <c r="I20">
        <v>2</v>
      </c>
      <c r="J20">
        <v>1</v>
      </c>
      <c r="K20">
        <v>1</v>
      </c>
      <c r="L20">
        <v>30</v>
      </c>
      <c r="M20">
        <v>60</v>
      </c>
      <c r="N20">
        <v>48</v>
      </c>
      <c r="O20">
        <v>46</v>
      </c>
      <c r="P20">
        <v>0</v>
      </c>
      <c r="Q20">
        <v>2</v>
      </c>
      <c r="R20">
        <v>0</v>
      </c>
    </row>
    <row r="21" spans="1:18" x14ac:dyDescent="0.25">
      <c r="A21" t="s">
        <v>20</v>
      </c>
      <c r="B21" s="294">
        <v>34</v>
      </c>
      <c r="C21">
        <v>19</v>
      </c>
      <c r="D21">
        <v>19</v>
      </c>
      <c r="F21" t="s">
        <v>8</v>
      </c>
      <c r="H21" t="s">
        <v>407</v>
      </c>
      <c r="I21">
        <v>1</v>
      </c>
      <c r="J21">
        <v>0</v>
      </c>
      <c r="K21">
        <v>1</v>
      </c>
      <c r="L21">
        <v>25</v>
      </c>
      <c r="M21">
        <v>25</v>
      </c>
      <c r="N21">
        <v>11</v>
      </c>
      <c r="O21">
        <v>11</v>
      </c>
      <c r="P21">
        <v>0</v>
      </c>
      <c r="Q21">
        <v>0</v>
      </c>
      <c r="R21">
        <v>2</v>
      </c>
    </row>
    <row r="22" spans="1:18" x14ac:dyDescent="0.25">
      <c r="A22" t="s">
        <v>243</v>
      </c>
      <c r="B22" s="294">
        <v>68</v>
      </c>
      <c r="C22">
        <v>50</v>
      </c>
      <c r="D22">
        <v>50</v>
      </c>
      <c r="F22" t="s">
        <v>9</v>
      </c>
      <c r="H22" t="s">
        <v>407</v>
      </c>
      <c r="I22">
        <v>2</v>
      </c>
      <c r="J22">
        <v>1</v>
      </c>
      <c r="K22">
        <v>1</v>
      </c>
      <c r="L22">
        <v>30</v>
      </c>
      <c r="M22">
        <v>60</v>
      </c>
      <c r="N22">
        <v>25</v>
      </c>
      <c r="O22">
        <v>24</v>
      </c>
      <c r="P22">
        <v>0</v>
      </c>
      <c r="Q22">
        <v>1</v>
      </c>
      <c r="R22">
        <v>0</v>
      </c>
    </row>
    <row r="23" spans="1:18" x14ac:dyDescent="0.25">
      <c r="A23" t="s">
        <v>249</v>
      </c>
      <c r="B23" s="294">
        <v>101</v>
      </c>
      <c r="C23">
        <v>84</v>
      </c>
      <c r="F23" t="s">
        <v>10</v>
      </c>
      <c r="H23" t="s">
        <v>407</v>
      </c>
      <c r="I23">
        <v>1</v>
      </c>
      <c r="J23">
        <v>0</v>
      </c>
      <c r="K23">
        <v>1</v>
      </c>
      <c r="L23">
        <v>25</v>
      </c>
      <c r="M23">
        <v>25</v>
      </c>
      <c r="N23">
        <v>10</v>
      </c>
      <c r="O23">
        <v>7</v>
      </c>
      <c r="P23">
        <v>0</v>
      </c>
      <c r="Q23">
        <v>3</v>
      </c>
      <c r="R23">
        <v>1</v>
      </c>
    </row>
    <row r="24" spans="1:18" x14ac:dyDescent="0.25">
      <c r="A24" t="s">
        <v>23</v>
      </c>
      <c r="B24" s="294">
        <v>40</v>
      </c>
      <c r="C24">
        <v>25</v>
      </c>
      <c r="D24">
        <v>25</v>
      </c>
      <c r="F24" t="s">
        <v>11</v>
      </c>
      <c r="H24" t="s">
        <v>407</v>
      </c>
      <c r="I24">
        <v>2</v>
      </c>
      <c r="J24">
        <v>1</v>
      </c>
      <c r="K24">
        <v>1</v>
      </c>
      <c r="L24">
        <v>30</v>
      </c>
      <c r="M24">
        <v>60</v>
      </c>
      <c r="N24">
        <v>38</v>
      </c>
      <c r="O24">
        <v>36</v>
      </c>
      <c r="P24">
        <v>0</v>
      </c>
      <c r="Q24">
        <v>2</v>
      </c>
      <c r="R24">
        <v>0</v>
      </c>
    </row>
    <row r="25" spans="1:18" x14ac:dyDescent="0.25">
      <c r="A25" t="s">
        <v>24</v>
      </c>
      <c r="B25" s="294">
        <v>83</v>
      </c>
      <c r="C25">
        <v>47</v>
      </c>
      <c r="D25">
        <v>47</v>
      </c>
      <c r="F25" t="s">
        <v>14</v>
      </c>
      <c r="G25" t="s">
        <v>53</v>
      </c>
      <c r="H25" t="s">
        <v>407</v>
      </c>
      <c r="I25">
        <v>8</v>
      </c>
      <c r="J25">
        <v>2</v>
      </c>
      <c r="K25">
        <v>6</v>
      </c>
      <c r="L25">
        <v>25</v>
      </c>
      <c r="M25">
        <v>200</v>
      </c>
      <c r="N25">
        <v>127</v>
      </c>
      <c r="O25">
        <v>81</v>
      </c>
      <c r="P25">
        <v>7</v>
      </c>
      <c r="Q25">
        <v>39</v>
      </c>
      <c r="R25">
        <v>9</v>
      </c>
    </row>
    <row r="26" spans="1:18" x14ac:dyDescent="0.25">
      <c r="A26" t="s">
        <v>334</v>
      </c>
      <c r="B26" s="294">
        <v>0</v>
      </c>
      <c r="F26" t="s">
        <v>16</v>
      </c>
      <c r="H26" t="s">
        <v>407</v>
      </c>
      <c r="I26">
        <v>0</v>
      </c>
      <c r="J26">
        <v>0</v>
      </c>
      <c r="K26">
        <v>0</v>
      </c>
      <c r="L26">
        <v>25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</row>
    <row r="27" spans="1:18" x14ac:dyDescent="0.25">
      <c r="A27" t="s">
        <v>25</v>
      </c>
      <c r="B27" s="294">
        <v>39</v>
      </c>
      <c r="C27">
        <v>39</v>
      </c>
      <c r="D27">
        <v>39</v>
      </c>
      <c r="F27" t="s">
        <v>28</v>
      </c>
      <c r="H27" t="s">
        <v>407</v>
      </c>
      <c r="I27">
        <v>5</v>
      </c>
      <c r="J27">
        <v>0</v>
      </c>
      <c r="K27">
        <v>5</v>
      </c>
      <c r="L27">
        <v>25</v>
      </c>
      <c r="M27">
        <v>125</v>
      </c>
      <c r="N27">
        <v>67</v>
      </c>
      <c r="O27">
        <v>60</v>
      </c>
      <c r="P27">
        <v>0</v>
      </c>
      <c r="Q27">
        <v>7</v>
      </c>
      <c r="R27">
        <v>3</v>
      </c>
    </row>
    <row r="28" spans="1:18" x14ac:dyDescent="0.25">
      <c r="A28" t="s">
        <v>26</v>
      </c>
      <c r="B28" s="294">
        <v>16</v>
      </c>
      <c r="C28">
        <v>15</v>
      </c>
      <c r="D28">
        <v>15</v>
      </c>
      <c r="F28" t="s">
        <v>270</v>
      </c>
      <c r="H28" t="s">
        <v>407</v>
      </c>
      <c r="I28">
        <v>11</v>
      </c>
      <c r="J28">
        <v>11</v>
      </c>
      <c r="K28">
        <v>0</v>
      </c>
      <c r="L28">
        <v>40</v>
      </c>
      <c r="M28">
        <v>440</v>
      </c>
      <c r="N28">
        <v>424</v>
      </c>
      <c r="O28">
        <v>341</v>
      </c>
      <c r="P28">
        <v>6</v>
      </c>
      <c r="Q28">
        <v>77</v>
      </c>
      <c r="R28">
        <v>6</v>
      </c>
    </row>
    <row r="29" spans="1:18" x14ac:dyDescent="0.25">
      <c r="A29" t="s">
        <v>27</v>
      </c>
      <c r="B29" s="294">
        <v>31</v>
      </c>
      <c r="C29">
        <v>31</v>
      </c>
      <c r="D29">
        <v>31</v>
      </c>
      <c r="F29" t="s">
        <v>274</v>
      </c>
      <c r="H29" t="s">
        <v>407</v>
      </c>
      <c r="I29">
        <v>7</v>
      </c>
      <c r="J29">
        <v>7</v>
      </c>
      <c r="K29">
        <v>0</v>
      </c>
      <c r="L29">
        <v>30</v>
      </c>
      <c r="M29">
        <v>210</v>
      </c>
      <c r="N29">
        <v>188</v>
      </c>
      <c r="O29">
        <v>157</v>
      </c>
      <c r="P29">
        <v>6</v>
      </c>
      <c r="Q29">
        <v>25</v>
      </c>
      <c r="R29">
        <v>0</v>
      </c>
    </row>
    <row r="30" spans="1:18" x14ac:dyDescent="0.25">
      <c r="A30" t="s">
        <v>28</v>
      </c>
      <c r="B30" s="294">
        <v>8</v>
      </c>
      <c r="C30">
        <v>7</v>
      </c>
      <c r="D30">
        <v>7</v>
      </c>
      <c r="F30" t="s">
        <v>34</v>
      </c>
      <c r="H30" t="s">
        <v>407</v>
      </c>
      <c r="I30">
        <v>8</v>
      </c>
      <c r="J30">
        <v>8</v>
      </c>
      <c r="K30">
        <v>0</v>
      </c>
      <c r="L30">
        <v>30</v>
      </c>
      <c r="M30">
        <v>240</v>
      </c>
      <c r="N30">
        <v>238</v>
      </c>
      <c r="O30">
        <v>202</v>
      </c>
      <c r="P30">
        <v>6</v>
      </c>
      <c r="Q30">
        <v>30</v>
      </c>
      <c r="R30">
        <v>5</v>
      </c>
    </row>
    <row r="31" spans="1:18" x14ac:dyDescent="0.25">
      <c r="A31" t="s">
        <v>270</v>
      </c>
      <c r="B31" s="294">
        <v>99</v>
      </c>
      <c r="C31">
        <v>77</v>
      </c>
      <c r="D31">
        <v>77</v>
      </c>
      <c r="F31" t="s">
        <v>38</v>
      </c>
      <c r="H31" t="s">
        <v>407</v>
      </c>
      <c r="I31">
        <v>17</v>
      </c>
      <c r="J31">
        <v>0</v>
      </c>
      <c r="K31">
        <v>17</v>
      </c>
      <c r="L31">
        <v>30</v>
      </c>
      <c r="M31">
        <v>510</v>
      </c>
      <c r="N31">
        <v>444</v>
      </c>
      <c r="O31">
        <v>382</v>
      </c>
      <c r="P31">
        <v>1</v>
      </c>
      <c r="Q31">
        <v>61</v>
      </c>
      <c r="R31">
        <v>20</v>
      </c>
    </row>
    <row r="32" spans="1:18" x14ac:dyDescent="0.25">
      <c r="A32" t="s">
        <v>274</v>
      </c>
      <c r="B32" s="294">
        <v>32</v>
      </c>
      <c r="C32">
        <v>25</v>
      </c>
      <c r="D32">
        <v>25</v>
      </c>
      <c r="F32" t="s">
        <v>327</v>
      </c>
      <c r="H32" t="s">
        <v>407</v>
      </c>
      <c r="I32">
        <v>3</v>
      </c>
      <c r="J32">
        <v>3</v>
      </c>
      <c r="K32">
        <v>0</v>
      </c>
      <c r="L32">
        <v>25</v>
      </c>
      <c r="M32">
        <v>75</v>
      </c>
      <c r="N32">
        <v>28</v>
      </c>
      <c r="O32">
        <v>22</v>
      </c>
      <c r="P32">
        <v>0</v>
      </c>
      <c r="Q32">
        <v>6</v>
      </c>
      <c r="R32">
        <v>1</v>
      </c>
    </row>
    <row r="33" spans="1:18" x14ac:dyDescent="0.25">
      <c r="A33" t="s">
        <v>281</v>
      </c>
      <c r="B33" s="294">
        <v>150</v>
      </c>
      <c r="C33">
        <v>115</v>
      </c>
      <c r="D33">
        <v>115</v>
      </c>
      <c r="F33" t="s">
        <v>236</v>
      </c>
      <c r="G33" t="s">
        <v>53</v>
      </c>
      <c r="H33" t="s">
        <v>407</v>
      </c>
      <c r="I33">
        <v>21</v>
      </c>
      <c r="J33">
        <v>0</v>
      </c>
      <c r="K33">
        <v>21</v>
      </c>
      <c r="L33">
        <v>25</v>
      </c>
      <c r="M33">
        <v>525</v>
      </c>
      <c r="N33">
        <v>432</v>
      </c>
      <c r="O33">
        <v>324</v>
      </c>
      <c r="P33">
        <v>0</v>
      </c>
      <c r="Q33">
        <v>108</v>
      </c>
      <c r="R33">
        <v>11</v>
      </c>
    </row>
    <row r="34" spans="1:18" x14ac:dyDescent="0.25">
      <c r="A34" t="s">
        <v>288</v>
      </c>
      <c r="B34" s="294">
        <v>39</v>
      </c>
      <c r="C34">
        <v>29</v>
      </c>
      <c r="D34">
        <v>29</v>
      </c>
      <c r="F34" t="s">
        <v>15</v>
      </c>
      <c r="G34" t="s">
        <v>53</v>
      </c>
      <c r="H34" t="s">
        <v>407</v>
      </c>
      <c r="I34">
        <v>4</v>
      </c>
      <c r="J34">
        <v>0</v>
      </c>
      <c r="K34">
        <v>4</v>
      </c>
      <c r="L34">
        <v>35</v>
      </c>
      <c r="M34">
        <v>140</v>
      </c>
      <c r="N34">
        <v>80</v>
      </c>
      <c r="O34">
        <v>63</v>
      </c>
      <c r="P34">
        <v>0</v>
      </c>
      <c r="Q34">
        <v>17</v>
      </c>
      <c r="R34">
        <v>10</v>
      </c>
    </row>
    <row r="35" spans="1:18" x14ac:dyDescent="0.25">
      <c r="A35" t="s">
        <v>292</v>
      </c>
      <c r="B35" s="294">
        <v>87</v>
      </c>
      <c r="C35">
        <v>67</v>
      </c>
      <c r="D35">
        <v>67</v>
      </c>
      <c r="F35" t="s">
        <v>19</v>
      </c>
      <c r="H35" t="s">
        <v>407</v>
      </c>
      <c r="I35">
        <v>15</v>
      </c>
      <c r="J35">
        <v>15</v>
      </c>
      <c r="K35">
        <v>0</v>
      </c>
      <c r="L35">
        <v>45</v>
      </c>
      <c r="M35">
        <v>675</v>
      </c>
      <c r="N35">
        <v>527</v>
      </c>
      <c r="O35">
        <v>448</v>
      </c>
      <c r="P35">
        <v>2</v>
      </c>
      <c r="Q35">
        <v>77</v>
      </c>
      <c r="R35">
        <v>1</v>
      </c>
    </row>
    <row r="36" spans="1:18" x14ac:dyDescent="0.25">
      <c r="A36" t="s">
        <v>34</v>
      </c>
      <c r="B36" s="294">
        <v>46</v>
      </c>
      <c r="C36">
        <v>30</v>
      </c>
      <c r="D36">
        <v>30</v>
      </c>
      <c r="F36" t="s">
        <v>20</v>
      </c>
      <c r="G36" t="s">
        <v>53</v>
      </c>
      <c r="H36" t="s">
        <v>407</v>
      </c>
      <c r="I36">
        <v>6</v>
      </c>
      <c r="J36">
        <v>0</v>
      </c>
      <c r="K36">
        <v>6</v>
      </c>
      <c r="L36">
        <v>30</v>
      </c>
      <c r="M36">
        <v>180</v>
      </c>
      <c r="N36">
        <v>94</v>
      </c>
      <c r="O36">
        <v>75</v>
      </c>
      <c r="P36">
        <v>0</v>
      </c>
      <c r="Q36">
        <v>19</v>
      </c>
      <c r="R36">
        <v>0</v>
      </c>
    </row>
    <row r="37" spans="1:18" x14ac:dyDescent="0.25">
      <c r="A37" t="s">
        <v>35</v>
      </c>
      <c r="B37" s="294">
        <v>44</v>
      </c>
      <c r="C37">
        <v>32</v>
      </c>
      <c r="D37">
        <v>32</v>
      </c>
      <c r="F37" t="s">
        <v>243</v>
      </c>
      <c r="H37" t="s">
        <v>407</v>
      </c>
      <c r="I37">
        <v>12</v>
      </c>
      <c r="J37">
        <v>12</v>
      </c>
      <c r="K37">
        <v>0</v>
      </c>
      <c r="L37">
        <v>45</v>
      </c>
      <c r="M37">
        <v>540</v>
      </c>
      <c r="N37">
        <v>346</v>
      </c>
      <c r="O37">
        <v>293</v>
      </c>
      <c r="P37">
        <v>3</v>
      </c>
      <c r="Q37">
        <v>50</v>
      </c>
      <c r="R37">
        <v>3</v>
      </c>
    </row>
    <row r="38" spans="1:18" x14ac:dyDescent="0.25">
      <c r="A38" t="s">
        <v>303</v>
      </c>
      <c r="B38" s="294">
        <v>79</v>
      </c>
      <c r="C38">
        <v>66</v>
      </c>
      <c r="D38">
        <v>66</v>
      </c>
      <c r="F38" t="s">
        <v>281</v>
      </c>
      <c r="H38" t="s">
        <v>407</v>
      </c>
      <c r="I38">
        <v>15</v>
      </c>
      <c r="J38">
        <v>15</v>
      </c>
      <c r="K38">
        <v>0</v>
      </c>
      <c r="L38">
        <v>45</v>
      </c>
      <c r="M38">
        <v>675</v>
      </c>
      <c r="N38">
        <v>623</v>
      </c>
      <c r="O38">
        <v>500</v>
      </c>
      <c r="P38">
        <v>8</v>
      </c>
      <c r="Q38">
        <v>115</v>
      </c>
      <c r="R38">
        <v>16</v>
      </c>
    </row>
    <row r="39" spans="1:18" x14ac:dyDescent="0.25">
      <c r="A39" t="s">
        <v>332</v>
      </c>
      <c r="B39" s="294">
        <v>0</v>
      </c>
      <c r="F39" t="s">
        <v>288</v>
      </c>
      <c r="G39" t="s">
        <v>53</v>
      </c>
      <c r="H39" t="s">
        <v>407</v>
      </c>
      <c r="I39">
        <v>6</v>
      </c>
      <c r="J39">
        <v>6</v>
      </c>
      <c r="K39">
        <v>0</v>
      </c>
      <c r="L39">
        <v>30</v>
      </c>
      <c r="M39">
        <v>180</v>
      </c>
      <c r="N39">
        <v>148</v>
      </c>
      <c r="O39">
        <v>119</v>
      </c>
      <c r="P39">
        <v>0</v>
      </c>
      <c r="Q39">
        <v>29</v>
      </c>
      <c r="R39">
        <v>0</v>
      </c>
    </row>
    <row r="40" spans="1:18" x14ac:dyDescent="0.25">
      <c r="A40" t="s">
        <v>38</v>
      </c>
      <c r="B40" s="294">
        <v>76</v>
      </c>
      <c r="C40">
        <v>61</v>
      </c>
      <c r="D40">
        <v>61</v>
      </c>
      <c r="F40" t="s">
        <v>292</v>
      </c>
      <c r="H40" t="s">
        <v>407</v>
      </c>
      <c r="I40">
        <v>17</v>
      </c>
      <c r="J40">
        <v>17</v>
      </c>
      <c r="K40">
        <v>0</v>
      </c>
      <c r="L40">
        <v>45</v>
      </c>
      <c r="M40">
        <v>765</v>
      </c>
      <c r="N40">
        <v>611</v>
      </c>
      <c r="O40">
        <v>541</v>
      </c>
      <c r="P40">
        <v>3</v>
      </c>
      <c r="Q40">
        <v>67</v>
      </c>
      <c r="R40">
        <v>2</v>
      </c>
    </row>
    <row r="41" spans="1:18" x14ac:dyDescent="0.25">
      <c r="A41" t="s">
        <v>310</v>
      </c>
      <c r="B41" s="294">
        <v>0</v>
      </c>
    </row>
    <row r="42" spans="1:18" x14ac:dyDescent="0.25">
      <c r="A42" t="s">
        <v>317</v>
      </c>
      <c r="B42" s="294">
        <v>239</v>
      </c>
      <c r="C42">
        <v>180</v>
      </c>
      <c r="D42">
        <v>180</v>
      </c>
    </row>
    <row r="43" spans="1:18" x14ac:dyDescent="0.25">
      <c r="A43" t="s">
        <v>313</v>
      </c>
      <c r="B43" s="294">
        <v>0</v>
      </c>
    </row>
    <row r="44" spans="1:18" x14ac:dyDescent="0.25">
      <c r="A44" t="s">
        <v>327</v>
      </c>
      <c r="B44" s="294">
        <v>6</v>
      </c>
      <c r="C44">
        <v>6</v>
      </c>
      <c r="D44">
        <v>6</v>
      </c>
    </row>
    <row r="45" spans="1:18" x14ac:dyDescent="0.25">
      <c r="A45" t="s">
        <v>40</v>
      </c>
      <c r="B45" s="294">
        <v>12</v>
      </c>
      <c r="C45">
        <v>12</v>
      </c>
      <c r="D45">
        <v>12</v>
      </c>
    </row>
    <row r="46" spans="1:18" x14ac:dyDescent="0.25">
      <c r="A46" t="s">
        <v>41</v>
      </c>
      <c r="B46" s="294">
        <v>1781</v>
      </c>
      <c r="C46">
        <f>SUM(C4:C45)</f>
        <v>1387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tabColor rgb="FF92D050"/>
    <pageSetUpPr fitToPage="1"/>
  </sheetPr>
  <dimension ref="A1:AO483"/>
  <sheetViews>
    <sheetView zoomScale="70" zoomScaleNormal="70" workbookViewId="0">
      <selection activeCell="AF1" sqref="AF1:AI1048576"/>
    </sheetView>
  </sheetViews>
  <sheetFormatPr defaultColWidth="8.7109375" defaultRowHeight="15" customHeight="1" x14ac:dyDescent="0.25"/>
  <cols>
    <col min="1" max="1" width="14.85546875" style="9" customWidth="1"/>
    <col min="2" max="2" width="64.28515625" style="10" customWidth="1"/>
    <col min="3" max="3" width="14.28515625" style="2" customWidth="1"/>
    <col min="4" max="4" width="16.28515625" style="12" customWidth="1"/>
    <col min="5" max="5" width="21.7109375" style="10" customWidth="1"/>
    <col min="6" max="6" width="17" style="11" bestFit="1" customWidth="1"/>
    <col min="7" max="7" width="13.7109375" style="11" customWidth="1"/>
    <col min="8" max="8" width="9.85546875" style="73" customWidth="1"/>
    <col min="9" max="9" width="12" style="73" customWidth="1"/>
    <col min="10" max="14" width="9.7109375" style="73" customWidth="1"/>
    <col min="15" max="15" width="16.5703125" style="10" hidden="1" customWidth="1"/>
    <col min="16" max="16" width="14.7109375" style="10" hidden="1" customWidth="1"/>
    <col min="17" max="17" width="11.85546875" style="9" hidden="1" customWidth="1"/>
    <col min="18" max="18" width="16.5703125" style="9" hidden="1" customWidth="1"/>
    <col min="19" max="19" width="14.5703125" style="9" hidden="1" customWidth="1"/>
    <col min="20" max="20" width="11.85546875" style="9" hidden="1" customWidth="1"/>
    <col min="21" max="21" width="12.140625" style="9" hidden="1" customWidth="1"/>
    <col min="22" max="22" width="8.7109375" style="9" customWidth="1"/>
    <col min="23" max="26" width="22.42578125" style="9" customWidth="1"/>
    <col min="27" max="27" width="20.28515625" style="15" customWidth="1"/>
    <col min="28" max="28" width="16" style="72" customWidth="1"/>
    <col min="29" max="29" width="12.28515625" style="72" customWidth="1"/>
    <col min="30" max="30" width="16.42578125" style="72" customWidth="1"/>
    <col min="31" max="31" width="15.85546875" style="72" customWidth="1"/>
    <col min="32" max="32" width="16.5703125" style="9" hidden="1" customWidth="1"/>
    <col min="33" max="33" width="16" style="72" hidden="1" customWidth="1"/>
    <col min="34" max="35" width="11" style="9" hidden="1" customWidth="1"/>
    <col min="36" max="16384" width="8.7109375" style="9"/>
  </cols>
  <sheetData>
    <row r="1" spans="1:35" x14ac:dyDescent="0.25">
      <c r="A1" s="9" t="s">
        <v>42</v>
      </c>
      <c r="B1" s="9"/>
      <c r="H1" s="11"/>
      <c r="I1" s="11"/>
      <c r="J1" s="11"/>
      <c r="K1" s="11"/>
      <c r="L1" s="11"/>
      <c r="M1" s="11"/>
      <c r="N1" s="11"/>
    </row>
    <row r="2" spans="1:35" x14ac:dyDescent="0.25">
      <c r="A2" s="10"/>
    </row>
    <row r="3" spans="1:35" s="66" customFormat="1" ht="59.25" customHeight="1" thickBot="1" x14ac:dyDescent="0.3">
      <c r="A3" s="62" t="s">
        <v>388</v>
      </c>
      <c r="B3" s="62" t="s">
        <v>461</v>
      </c>
      <c r="C3" s="62" t="s">
        <v>167</v>
      </c>
      <c r="D3" s="209" t="s">
        <v>416</v>
      </c>
      <c r="E3" s="62" t="s">
        <v>175</v>
      </c>
      <c r="F3" s="63" t="s">
        <v>417</v>
      </c>
      <c r="G3" s="63" t="s">
        <v>418</v>
      </c>
      <c r="H3" s="119" t="s">
        <v>419</v>
      </c>
      <c r="I3" s="119" t="s">
        <v>462</v>
      </c>
      <c r="J3" s="119" t="s">
        <v>463</v>
      </c>
      <c r="K3" s="119" t="s">
        <v>464</v>
      </c>
      <c r="L3" s="119" t="s">
        <v>465</v>
      </c>
      <c r="M3" s="119" t="s">
        <v>466</v>
      </c>
      <c r="N3" s="119" t="s">
        <v>467</v>
      </c>
      <c r="O3" s="62" t="s">
        <v>75</v>
      </c>
      <c r="P3" s="62" t="s">
        <v>76</v>
      </c>
      <c r="Q3" s="64" t="s">
        <v>468</v>
      </c>
      <c r="R3" s="62" t="s">
        <v>469</v>
      </c>
      <c r="S3" s="64" t="s">
        <v>470</v>
      </c>
      <c r="T3" s="64" t="s">
        <v>471</v>
      </c>
      <c r="U3" s="64" t="s">
        <v>472</v>
      </c>
      <c r="V3" s="65" t="s">
        <v>169</v>
      </c>
      <c r="W3" s="65" t="s">
        <v>473</v>
      </c>
      <c r="X3" s="65" t="s">
        <v>474</v>
      </c>
      <c r="Y3" s="65" t="s">
        <v>475</v>
      </c>
      <c r="Z3" s="65" t="s">
        <v>476</v>
      </c>
      <c r="AA3" s="64" t="s">
        <v>477</v>
      </c>
      <c r="AB3" s="64" t="s">
        <v>478</v>
      </c>
      <c r="AC3" s="64" t="s">
        <v>376</v>
      </c>
      <c r="AD3" s="64" t="s">
        <v>396</v>
      </c>
      <c r="AE3" s="64" t="s">
        <v>479</v>
      </c>
      <c r="AF3" s="64" t="s">
        <v>177</v>
      </c>
      <c r="AG3" s="64" t="s">
        <v>480</v>
      </c>
      <c r="AH3" s="64" t="s">
        <v>481</v>
      </c>
      <c r="AI3" s="64" t="s">
        <v>482</v>
      </c>
    </row>
    <row r="4" spans="1:35" s="157" customFormat="1" x14ac:dyDescent="0.25">
      <c r="A4" s="270"/>
      <c r="B4" s="271" t="s">
        <v>184</v>
      </c>
      <c r="C4" s="272" t="str">
        <f>VLOOKUP(Table2[[#This Row],[Course]],Data!$A$1:$E$56,2,FALSE)</f>
        <v>A-4J-0022</v>
      </c>
      <c r="D4" s="272" t="str">
        <f>VLOOKUP(Table2[[#This Row],[Course]],Data!$A$1:$E$56,3,FALSE)</f>
        <v>09ER</v>
      </c>
      <c r="E4" s="271" t="s">
        <v>116</v>
      </c>
      <c r="F4" s="273">
        <v>45201</v>
      </c>
      <c r="G4" s="327">
        <v>45205</v>
      </c>
      <c r="H4" s="327"/>
      <c r="I4" s="274">
        <v>0.54166666666666663</v>
      </c>
      <c r="J4" s="344">
        <v>0.41666666666666669</v>
      </c>
      <c r="K4" s="344">
        <v>0.83333333333333337</v>
      </c>
      <c r="L4" s="344">
        <v>0.79166666666666663</v>
      </c>
      <c r="M4" s="344">
        <v>0.29166666666666669</v>
      </c>
      <c r="N4" s="344">
        <v>8.3333333333333329E-2</v>
      </c>
      <c r="O4" s="270" t="s">
        <v>89</v>
      </c>
      <c r="P4" s="270" t="s">
        <v>187</v>
      </c>
      <c r="Q4" s="331" t="e">
        <v>#REF!</v>
      </c>
      <c r="R4" s="331" t="e">
        <v>#REF!</v>
      </c>
      <c r="S4" s="332"/>
      <c r="T4" s="270"/>
      <c r="U4" s="270"/>
      <c r="V4" s="275">
        <f>VLOOKUP(Table2[[#This Row],[Course]],Data!$A$1:$E$56,4,FALSE)</f>
        <v>45</v>
      </c>
      <c r="W4" s="275">
        <f>VLOOKUP(Table2[[#This Row],[Course]],Data!$A$1:$E$56,5,FALSE)</f>
        <v>5</v>
      </c>
      <c r="X4" s="275">
        <v>282</v>
      </c>
      <c r="Y4" s="275">
        <v>26</v>
      </c>
      <c r="Z4" s="275">
        <v>0</v>
      </c>
      <c r="AA4" s="275">
        <v>20</v>
      </c>
      <c r="AB4" s="276">
        <v>0</v>
      </c>
      <c r="AC4" s="275">
        <v>7</v>
      </c>
      <c r="AD4" s="275">
        <v>1</v>
      </c>
      <c r="AE4" s="275">
        <v>0</v>
      </c>
      <c r="AF4" s="271" t="s">
        <v>183</v>
      </c>
      <c r="AG4" s="277">
        <f ca="1">Table2[[#This Row],[End Date]]+2-TODAY()</f>
        <v>-325</v>
      </c>
      <c r="AH4" s="275">
        <f>IF(ISBLANK(Table2[[#This Row],[Roster Received By]]),1,0)</f>
        <v>0</v>
      </c>
      <c r="AI4" s="275">
        <f ca="1">IF(Table2[[#This Row],[Start Date]]&gt;TODAY(),1,)</f>
        <v>0</v>
      </c>
    </row>
    <row r="5" spans="1:35" s="157" customFormat="1" x14ac:dyDescent="0.25">
      <c r="A5" s="270" t="s">
        <v>483</v>
      </c>
      <c r="B5" s="271" t="s">
        <v>236</v>
      </c>
      <c r="C5" s="272" t="str">
        <f>VLOOKUP(Table2[[#This Row],[Course]],Data!$A$1:$E$56,2,FALSE)</f>
        <v>A-493-0103</v>
      </c>
      <c r="D5" s="272" t="str">
        <f>VLOOKUP(Table2[[#This Row],[Course]],Data!$A$1:$E$56,3,FALSE)</f>
        <v>12JY</v>
      </c>
      <c r="E5" s="346" t="s">
        <v>141</v>
      </c>
      <c r="F5" s="327">
        <v>45201</v>
      </c>
      <c r="G5" s="327">
        <v>45205</v>
      </c>
      <c r="H5" s="344">
        <v>0.33333333333333331</v>
      </c>
      <c r="I5" s="344"/>
      <c r="J5" s="327"/>
      <c r="K5" s="327"/>
      <c r="L5" s="327"/>
      <c r="M5" s="327"/>
      <c r="N5" s="327"/>
      <c r="O5" s="271" t="s">
        <v>94</v>
      </c>
      <c r="P5" s="271"/>
      <c r="Q5" s="331" t="e">
        <v>#REF!</v>
      </c>
      <c r="R5" s="331" t="e">
        <v>#REF!</v>
      </c>
      <c r="S5" s="332"/>
      <c r="T5" s="270"/>
      <c r="U5" s="270"/>
      <c r="V5" s="275">
        <f>VLOOKUP(Table2[[#This Row],[Course]],Data!$A$1:$E$56,4,FALSE)</f>
        <v>25</v>
      </c>
      <c r="W5" s="275">
        <f>VLOOKUP(Table2[[#This Row],[Course]],Data!$A$1:$E$56,5,FALSE)</f>
        <v>5</v>
      </c>
      <c r="X5" s="275">
        <v>388</v>
      </c>
      <c r="Y5" s="275">
        <v>25</v>
      </c>
      <c r="Z5" s="275">
        <v>4</v>
      </c>
      <c r="AA5" s="275">
        <v>17</v>
      </c>
      <c r="AB5" s="276">
        <v>0</v>
      </c>
      <c r="AC5" s="275">
        <v>10</v>
      </c>
      <c r="AD5" s="275">
        <v>3</v>
      </c>
      <c r="AE5" s="272">
        <v>0</v>
      </c>
      <c r="AF5" s="271" t="s">
        <v>189</v>
      </c>
      <c r="AG5" s="277">
        <f ca="1">Table2[[#This Row],[End Date]]+2-TODAY()</f>
        <v>-325</v>
      </c>
      <c r="AH5" s="275">
        <f>IF(ISBLANK(Table2[[#This Row],[Roster Received By]]),1,0)</f>
        <v>0</v>
      </c>
      <c r="AI5" s="275">
        <f ca="1">IF(Table2[[#This Row],[Start Date]]&gt;TODAY(),1,)</f>
        <v>0</v>
      </c>
    </row>
    <row r="6" spans="1:35" s="157" customFormat="1" x14ac:dyDescent="0.25">
      <c r="A6" s="270"/>
      <c r="B6" s="271" t="s">
        <v>14</v>
      </c>
      <c r="C6" s="272" t="str">
        <f>VLOOKUP(Table2[[#This Row],[Course]],Data!$A$1:$E$56,2,FALSE)</f>
        <v>A-493-0030</v>
      </c>
      <c r="D6" s="272" t="str">
        <f>VLOOKUP(Table2[[#This Row],[Course]],Data!$A$1:$E$56,3,FALSE)</f>
        <v>286X</v>
      </c>
      <c r="E6" s="346" t="s">
        <v>140</v>
      </c>
      <c r="F6" s="327">
        <v>45201</v>
      </c>
      <c r="G6" s="327">
        <v>45205</v>
      </c>
      <c r="H6" s="344">
        <v>0.33333333333333331</v>
      </c>
      <c r="I6" s="344"/>
      <c r="J6" s="327"/>
      <c r="K6" s="327"/>
      <c r="L6" s="327"/>
      <c r="M6" s="327"/>
      <c r="N6" s="327"/>
      <c r="O6" s="271" t="s">
        <v>95</v>
      </c>
      <c r="P6" s="271"/>
      <c r="Q6" s="331" t="e">
        <v>#REF!</v>
      </c>
      <c r="R6" s="331" t="e">
        <v>#REF!</v>
      </c>
      <c r="S6" s="332"/>
      <c r="T6" s="270"/>
      <c r="U6" s="270"/>
      <c r="V6" s="275">
        <f>VLOOKUP(Table2[[#This Row],[Course]],Data!$A$1:$E$56,4,FALSE)</f>
        <v>25</v>
      </c>
      <c r="W6" s="275">
        <f>VLOOKUP(Table2[[#This Row],[Course]],Data!$A$1:$E$56,5,FALSE)</f>
        <v>5</v>
      </c>
      <c r="X6" s="275">
        <v>155</v>
      </c>
      <c r="Y6" s="275">
        <v>25</v>
      </c>
      <c r="Z6" s="275">
        <v>2</v>
      </c>
      <c r="AA6" s="275">
        <v>8</v>
      </c>
      <c r="AB6" s="276">
        <v>1</v>
      </c>
      <c r="AC6" s="275">
        <v>14</v>
      </c>
      <c r="AD6" s="275">
        <v>1</v>
      </c>
      <c r="AE6" s="272">
        <v>0</v>
      </c>
      <c r="AF6" s="271" t="s">
        <v>205</v>
      </c>
      <c r="AG6" s="277">
        <f ca="1">Table2[[#This Row],[End Date]]+2-TODAY()</f>
        <v>-325</v>
      </c>
      <c r="AH6" s="275">
        <f>IF(ISBLANK(Table2[[#This Row],[Roster Received By]]),1,0)</f>
        <v>0</v>
      </c>
      <c r="AI6" s="275">
        <f ca="1">IF(Table2[[#This Row],[Start Date]]&gt;TODAY(),1,)</f>
        <v>0</v>
      </c>
    </row>
    <row r="7" spans="1:35" s="157" customFormat="1" x14ac:dyDescent="0.25">
      <c r="A7" s="347"/>
      <c r="B7" s="340" t="s">
        <v>23</v>
      </c>
      <c r="C7" s="348" t="str">
        <f>VLOOKUP(Table2[[#This Row],[Course]],Data!$A$1:$E$56,2,FALSE)</f>
        <v>A-493-0077</v>
      </c>
      <c r="D7" s="348" t="str">
        <f>VLOOKUP(Table2[[#This Row],[Course]],Data!$A$1:$E$56,3,FALSE)</f>
        <v>0381</v>
      </c>
      <c r="E7" s="340" t="s">
        <v>158</v>
      </c>
      <c r="F7" s="349">
        <v>45201</v>
      </c>
      <c r="G7" s="349">
        <v>45203</v>
      </c>
      <c r="H7" s="350">
        <v>0.33333333333333331</v>
      </c>
      <c r="I7" s="351"/>
      <c r="J7" s="352"/>
      <c r="K7" s="352"/>
      <c r="L7" s="352"/>
      <c r="M7" s="352"/>
      <c r="N7" s="352"/>
      <c r="O7" s="340" t="s">
        <v>78</v>
      </c>
      <c r="P7" s="340"/>
      <c r="Q7" s="338"/>
      <c r="R7" s="353"/>
      <c r="S7" s="338"/>
      <c r="T7" s="347"/>
      <c r="U7" s="347"/>
      <c r="V7" s="338">
        <v>25</v>
      </c>
      <c r="W7" s="353">
        <v>3</v>
      </c>
      <c r="X7" s="353">
        <v>20</v>
      </c>
      <c r="Y7" s="353">
        <v>8</v>
      </c>
      <c r="Z7" s="353">
        <v>0</v>
      </c>
      <c r="AA7" s="338">
        <v>25</v>
      </c>
      <c r="AB7" s="338">
        <v>1</v>
      </c>
      <c r="AC7" s="339">
        <v>5</v>
      </c>
      <c r="AD7" s="339">
        <v>23</v>
      </c>
      <c r="AE7" s="339">
        <v>0</v>
      </c>
      <c r="AF7" s="340" t="s">
        <v>191</v>
      </c>
      <c r="AG7" s="341">
        <f ca="1">Table2[[#This Row],[End Date]]+2-TODAY()</f>
        <v>-327</v>
      </c>
      <c r="AH7" s="339">
        <f>IF(ISBLANK(Table2[[#This Row],[Roster Received By]]),1,0)</f>
        <v>0</v>
      </c>
      <c r="AI7" s="339">
        <f ca="1">IF(Table2[[#This Row],[Start Date]]&gt;TODAY(),1,)</f>
        <v>0</v>
      </c>
    </row>
    <row r="8" spans="1:35" s="157" customFormat="1" x14ac:dyDescent="0.25">
      <c r="A8" s="270"/>
      <c r="B8" s="325" t="s">
        <v>281</v>
      </c>
      <c r="C8" s="272" t="str">
        <f>VLOOKUP(Table2[[#This Row],[Course]],Data!$A$1:$E$56,2,FALSE)</f>
        <v>A-493-0550</v>
      </c>
      <c r="D8" s="272" t="str">
        <f>VLOOKUP(Table2[[#This Row],[Course]],Data!$A$1:$E$56,3,FALSE)</f>
        <v>09K5</v>
      </c>
      <c r="E8" s="271" t="s">
        <v>116</v>
      </c>
      <c r="F8" s="326">
        <v>45201</v>
      </c>
      <c r="G8" s="326">
        <v>45205</v>
      </c>
      <c r="H8" s="327"/>
      <c r="I8" s="274">
        <v>0.54166666666666663</v>
      </c>
      <c r="J8" s="344">
        <v>0.41666666666666669</v>
      </c>
      <c r="K8" s="344">
        <v>0.83333333333333337</v>
      </c>
      <c r="L8" s="344">
        <v>0.79166666666666663</v>
      </c>
      <c r="M8" s="344">
        <v>0.29166666666666669</v>
      </c>
      <c r="N8" s="344">
        <v>8.3333333333333329E-2</v>
      </c>
      <c r="O8" s="271" t="s">
        <v>85</v>
      </c>
      <c r="P8" s="271"/>
      <c r="Q8" s="331" t="e">
        <v>#REF!</v>
      </c>
      <c r="R8" s="331" t="e">
        <v>#REF!</v>
      </c>
      <c r="S8" s="332"/>
      <c r="T8" s="270"/>
      <c r="U8" s="270"/>
      <c r="V8" s="275">
        <f>VLOOKUP(Table2[[#This Row],[Course]],Data!$A$1:$E$56,4,FALSE)</f>
        <v>45</v>
      </c>
      <c r="W8" s="275">
        <f>VLOOKUP(Table2[[#This Row],[Course]],Data!$A$1:$E$56,5,FALSE)</f>
        <v>4</v>
      </c>
      <c r="X8" s="275">
        <v>746</v>
      </c>
      <c r="Y8" s="275">
        <v>45</v>
      </c>
      <c r="Z8" s="275">
        <v>0</v>
      </c>
      <c r="AA8" s="275">
        <v>39</v>
      </c>
      <c r="AB8" s="276">
        <v>0</v>
      </c>
      <c r="AC8" s="275">
        <v>7</v>
      </c>
      <c r="AD8" s="275">
        <v>2</v>
      </c>
      <c r="AE8" s="275">
        <v>0</v>
      </c>
      <c r="AF8" s="271" t="s">
        <v>205</v>
      </c>
      <c r="AG8" s="277">
        <f ca="1">Table2[[#This Row],[End Date]]+2-TODAY()</f>
        <v>-325</v>
      </c>
      <c r="AH8" s="275">
        <f>IF(ISBLANK(Table2[[#This Row],[Roster Received By]]),1,0)</f>
        <v>0</v>
      </c>
      <c r="AI8" s="275">
        <f ca="1">IF(Table2[[#This Row],[Start Date]]&gt;TODAY(),1,)</f>
        <v>0</v>
      </c>
    </row>
    <row r="9" spans="1:35" s="157" customFormat="1" x14ac:dyDescent="0.25">
      <c r="A9" s="270"/>
      <c r="B9" s="325" t="s">
        <v>292</v>
      </c>
      <c r="C9" s="272" t="str">
        <f>VLOOKUP(Table2[[#This Row],[Course]],Data!$A$1:$E$56,2,FALSE)</f>
        <v>A-493-0078</v>
      </c>
      <c r="D9" s="272">
        <f>VLOOKUP(Table2[[#This Row],[Course]],Data!$A$1:$E$56,3,FALSE)</f>
        <v>1228</v>
      </c>
      <c r="E9" s="325" t="s">
        <v>116</v>
      </c>
      <c r="F9" s="326">
        <v>45201</v>
      </c>
      <c r="G9" s="326">
        <v>45205</v>
      </c>
      <c r="H9" s="327"/>
      <c r="I9" s="274">
        <v>0.33333333333333331</v>
      </c>
      <c r="J9" s="344">
        <v>0.20833333333333334</v>
      </c>
      <c r="K9" s="344">
        <v>0.625</v>
      </c>
      <c r="L9" s="344">
        <v>0.58333333333333337</v>
      </c>
      <c r="M9" s="344">
        <v>8.3333333333333329E-2</v>
      </c>
      <c r="N9" s="344">
        <v>0.875</v>
      </c>
      <c r="O9" s="271" t="s">
        <v>80</v>
      </c>
      <c r="P9" s="271"/>
      <c r="Q9" s="331" t="e">
        <v>#REF!</v>
      </c>
      <c r="R9" s="331" t="e">
        <v>#REF!</v>
      </c>
      <c r="S9" s="332"/>
      <c r="T9" s="270"/>
      <c r="U9" s="270"/>
      <c r="V9" s="275">
        <f>VLOOKUP(Table2[[#This Row],[Course]],Data!$A$1:$E$56,4,FALSE)</f>
        <v>45</v>
      </c>
      <c r="W9" s="275">
        <f>VLOOKUP(Table2[[#This Row],[Course]],Data!$A$1:$E$56,5,FALSE)</f>
        <v>5</v>
      </c>
      <c r="X9" s="275">
        <v>600</v>
      </c>
      <c r="Y9" s="275">
        <v>45</v>
      </c>
      <c r="Z9" s="275">
        <v>0</v>
      </c>
      <c r="AA9" s="275">
        <v>38</v>
      </c>
      <c r="AB9" s="276">
        <v>1</v>
      </c>
      <c r="AC9" s="275">
        <v>6</v>
      </c>
      <c r="AD9" s="275">
        <v>0</v>
      </c>
      <c r="AE9" s="275">
        <v>0</v>
      </c>
      <c r="AF9" s="271" t="s">
        <v>205</v>
      </c>
      <c r="AG9" s="277">
        <f ca="1">Table2[[#This Row],[End Date]]+2-TODAY()</f>
        <v>-325</v>
      </c>
      <c r="AH9" s="275">
        <f>IF(ISBLANK(Table2[[#This Row],[Roster Received By]]),1,0)</f>
        <v>0</v>
      </c>
      <c r="AI9" s="275">
        <f ca="1">IF(Table2[[#This Row],[Start Date]]&gt;TODAY(),1,)</f>
        <v>0</v>
      </c>
    </row>
    <row r="10" spans="1:35" s="157" customFormat="1" x14ac:dyDescent="0.25">
      <c r="A10" s="270"/>
      <c r="B10" s="325" t="s">
        <v>34</v>
      </c>
      <c r="C10" s="272" t="str">
        <f>VLOOKUP(Table2[[#This Row],[Course]],Data!$A$1:$E$56,2,FALSE)</f>
        <v>A-493-0085</v>
      </c>
      <c r="D10" s="272">
        <f>VLOOKUP(Table2[[#This Row],[Course]],Data!$A$1:$E$56,3,FALSE)</f>
        <v>3555</v>
      </c>
      <c r="E10" s="271" t="s">
        <v>116</v>
      </c>
      <c r="F10" s="327">
        <v>45201</v>
      </c>
      <c r="G10" s="327">
        <v>45204</v>
      </c>
      <c r="H10" s="327"/>
      <c r="I10" s="274">
        <v>0.5</v>
      </c>
      <c r="J10" s="274">
        <v>0.375</v>
      </c>
      <c r="K10" s="274">
        <v>0.79166666666666663</v>
      </c>
      <c r="L10" s="274">
        <v>0.70833333333333337</v>
      </c>
      <c r="M10" s="274">
        <v>0.25</v>
      </c>
      <c r="N10" s="274">
        <v>4.1666666666666664E-2</v>
      </c>
      <c r="O10" s="271" t="s">
        <v>81</v>
      </c>
      <c r="P10" s="271" t="s">
        <v>84</v>
      </c>
      <c r="Q10" s="331" t="e">
        <v>#REF!</v>
      </c>
      <c r="R10" s="331" t="e">
        <v>#REF!</v>
      </c>
      <c r="S10" s="331"/>
      <c r="T10" s="270"/>
      <c r="U10" s="270"/>
      <c r="V10" s="275">
        <f>VLOOKUP(Table2[[#This Row],[Course]],Data!$A$1:$E$56,4,FALSE)</f>
        <v>30</v>
      </c>
      <c r="W10" s="275">
        <f>VLOOKUP(Table2[[#This Row],[Course]],Data!$A$1:$E$56,5,FALSE)</f>
        <v>4</v>
      </c>
      <c r="X10" s="275">
        <v>464</v>
      </c>
      <c r="Y10" s="275">
        <v>30</v>
      </c>
      <c r="Z10" s="275">
        <v>1</v>
      </c>
      <c r="AA10" s="275">
        <v>22</v>
      </c>
      <c r="AB10" s="276">
        <v>1</v>
      </c>
      <c r="AC10" s="275">
        <v>7</v>
      </c>
      <c r="AD10" s="275">
        <v>0</v>
      </c>
      <c r="AE10" s="275">
        <v>0</v>
      </c>
      <c r="AF10" s="271" t="s">
        <v>208</v>
      </c>
      <c r="AG10" s="277">
        <f ca="1">Table2[[#This Row],[End Date]]+2-TODAY()</f>
        <v>-326</v>
      </c>
      <c r="AH10" s="275">
        <f>IF(ISBLANK(Table2[[#This Row],[Roster Received By]]),1,0)</f>
        <v>0</v>
      </c>
      <c r="AI10" s="275">
        <f ca="1">IF(Table2[[#This Row],[Start Date]]&gt;TODAY(),1,)</f>
        <v>0</v>
      </c>
    </row>
    <row r="11" spans="1:35" s="345" customFormat="1" x14ac:dyDescent="0.25">
      <c r="A11" s="270"/>
      <c r="B11" s="271" t="s">
        <v>38</v>
      </c>
      <c r="C11" s="272" t="str">
        <f>VLOOKUP(Table2[[#This Row],[Course]],Data!$A$1:$E$56,2,FALSE)</f>
        <v>A-493-0072</v>
      </c>
      <c r="D11" s="272" t="str">
        <f>VLOOKUP(Table2[[#This Row],[Course]],Data!$A$1:$E$56,3,FALSE)</f>
        <v>713U</v>
      </c>
      <c r="E11" s="356" t="s">
        <v>341</v>
      </c>
      <c r="F11" s="326">
        <v>45201</v>
      </c>
      <c r="G11" s="326">
        <v>45204</v>
      </c>
      <c r="H11" s="350">
        <v>0.33333333333333331</v>
      </c>
      <c r="I11" s="350"/>
      <c r="J11" s="327"/>
      <c r="K11" s="327"/>
      <c r="L11" s="327"/>
      <c r="M11" s="327"/>
      <c r="N11" s="327"/>
      <c r="O11" s="271" t="s">
        <v>86</v>
      </c>
      <c r="P11" s="271" t="s">
        <v>187</v>
      </c>
      <c r="Q11" s="331" t="e">
        <v>#REF!</v>
      </c>
      <c r="R11" s="331" t="e">
        <v>#REF!</v>
      </c>
      <c r="S11" s="332"/>
      <c r="T11" s="270"/>
      <c r="U11" s="270"/>
      <c r="V11" s="275">
        <f>VLOOKUP(Table2[[#This Row],[Course]],Data!$A$1:$E$56,4,FALSE)</f>
        <v>30</v>
      </c>
      <c r="W11" s="275">
        <f>VLOOKUP(Table2[[#This Row],[Course]],Data!$A$1:$E$56,5,FALSE)</f>
        <v>4</v>
      </c>
      <c r="X11" s="275">
        <v>235</v>
      </c>
      <c r="Y11" s="275">
        <v>30</v>
      </c>
      <c r="Z11" s="275">
        <v>0</v>
      </c>
      <c r="AA11" s="275">
        <v>23</v>
      </c>
      <c r="AB11" s="276">
        <v>0</v>
      </c>
      <c r="AC11" s="275">
        <v>10</v>
      </c>
      <c r="AD11" s="275">
        <v>3</v>
      </c>
      <c r="AE11" s="275">
        <v>0</v>
      </c>
      <c r="AF11" s="271" t="s">
        <v>208</v>
      </c>
      <c r="AG11" s="277">
        <f ca="1">Table2[[#This Row],[End Date]]+2-TODAY()</f>
        <v>-326</v>
      </c>
      <c r="AH11" s="275">
        <f>IF(ISBLANK(Table2[[#This Row],[Roster Received By]]),1,0)</f>
        <v>0</v>
      </c>
      <c r="AI11" s="275">
        <f ca="1">IF(Table2[[#This Row],[Start Date]]&gt;TODAY(),1,)</f>
        <v>0</v>
      </c>
    </row>
    <row r="12" spans="1:35" s="345" customFormat="1" x14ac:dyDescent="0.25">
      <c r="A12" s="347"/>
      <c r="B12" s="340" t="s">
        <v>24</v>
      </c>
      <c r="C12" s="348" t="str">
        <f>VLOOKUP(Table2[[#This Row],[Course]],Data!$A$1:$E$56,2,FALSE)</f>
        <v>A-493-0083</v>
      </c>
      <c r="D12" s="348" t="str">
        <f>VLOOKUP(Table2[[#This Row],[Course]],Data!$A$1:$E$56,3,FALSE)</f>
        <v>339E</v>
      </c>
      <c r="E12" s="340" t="s">
        <v>158</v>
      </c>
      <c r="F12" s="352">
        <v>45204</v>
      </c>
      <c r="G12" s="352">
        <v>45204</v>
      </c>
      <c r="H12" s="350">
        <v>0.33333333333333331</v>
      </c>
      <c r="I12" s="351"/>
      <c r="J12" s="352"/>
      <c r="K12" s="352"/>
      <c r="L12" s="352"/>
      <c r="M12" s="352"/>
      <c r="N12" s="352"/>
      <c r="O12" s="340" t="s">
        <v>78</v>
      </c>
      <c r="P12" s="340"/>
      <c r="Q12" s="338"/>
      <c r="R12" s="353"/>
      <c r="S12" s="338"/>
      <c r="T12" s="347"/>
      <c r="U12" s="347"/>
      <c r="V12" s="338">
        <v>30</v>
      </c>
      <c r="W12" s="353">
        <v>1</v>
      </c>
      <c r="X12" s="353">
        <v>20</v>
      </c>
      <c r="Y12" s="353">
        <v>2</v>
      </c>
      <c r="Z12" s="353">
        <v>0</v>
      </c>
      <c r="AA12" s="338">
        <v>6</v>
      </c>
      <c r="AB12" s="338">
        <v>0</v>
      </c>
      <c r="AC12" s="339">
        <v>0</v>
      </c>
      <c r="AD12" s="339">
        <v>5</v>
      </c>
      <c r="AE12" s="348">
        <v>0</v>
      </c>
      <c r="AF12" s="340" t="s">
        <v>183</v>
      </c>
      <c r="AG12" s="341">
        <f ca="1">Table2[[#This Row],[End Date]]+2-TODAY()</f>
        <v>-326</v>
      </c>
      <c r="AH12" s="339">
        <f>IF(ISBLANK(Table2[[#This Row],[Roster Received By]]),1,0)</f>
        <v>0</v>
      </c>
      <c r="AI12" s="339">
        <f ca="1">IF(Table2[[#This Row],[Start Date]]&gt;TODAY(),1,)</f>
        <v>0</v>
      </c>
    </row>
    <row r="13" spans="1:35" s="345" customFormat="1" x14ac:dyDescent="0.25">
      <c r="A13" s="271" t="s">
        <v>484</v>
      </c>
      <c r="B13" s="271" t="s">
        <v>334</v>
      </c>
      <c r="C13" s="272" t="str">
        <f>VLOOKUP(Table2[[#This Row],[Course]],Data!$A$1:$E$56,2,FALSE)</f>
        <v>Holiday</v>
      </c>
      <c r="D13" s="272" t="str">
        <f>VLOOKUP(Table2[[#This Row],[Course]],Data!$A$1:$E$56,3,FALSE)</f>
        <v>Holiday</v>
      </c>
      <c r="E13" s="271"/>
      <c r="F13" s="327">
        <v>45208</v>
      </c>
      <c r="G13" s="327">
        <v>45208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271"/>
      <c r="P13" s="271"/>
      <c r="Q13" s="331" t="e">
        <v>#REF!</v>
      </c>
      <c r="R13" s="331" t="e">
        <v>#REF!</v>
      </c>
      <c r="S13" s="332">
        <v>0</v>
      </c>
      <c r="T13" s="270">
        <v>0</v>
      </c>
      <c r="U13" s="270">
        <v>0</v>
      </c>
      <c r="V13" s="275">
        <f>VLOOKUP(Table2[[#This Row],[Course]],Data!$A$1:$E$56,4,FALSE)</f>
        <v>0</v>
      </c>
      <c r="W13" s="275">
        <f>VLOOKUP(Table2[[#This Row],[Course]],Data!$A$1:$E$56,5,FALSE)</f>
        <v>0</v>
      </c>
      <c r="X13" s="275">
        <v>0</v>
      </c>
      <c r="Y13" s="275">
        <v>0</v>
      </c>
      <c r="Z13" s="275">
        <v>0</v>
      </c>
      <c r="AA13" s="275">
        <v>0</v>
      </c>
      <c r="AB13" s="276">
        <v>0</v>
      </c>
      <c r="AC13" s="275">
        <v>0</v>
      </c>
      <c r="AD13" s="275">
        <v>0</v>
      </c>
      <c r="AE13" s="275">
        <v>0</v>
      </c>
      <c r="AF13" s="271" t="s">
        <v>194</v>
      </c>
      <c r="AG13" s="277">
        <f ca="1">Table2[[#This Row],[End Date]]+2-TODAY()</f>
        <v>-322</v>
      </c>
      <c r="AH13" s="275">
        <f>IF(ISBLANK(Table2[[#This Row],[Roster Received By]]),1,0)</f>
        <v>0</v>
      </c>
      <c r="AI13" s="275">
        <f ca="1">IF(Table2[[#This Row],[Start Date]]&gt;TODAY(),1,)</f>
        <v>0</v>
      </c>
    </row>
    <row r="14" spans="1:35" s="345" customFormat="1" x14ac:dyDescent="0.25">
      <c r="A14" s="270"/>
      <c r="B14" s="271" t="s">
        <v>11</v>
      </c>
      <c r="C14" s="272" t="str">
        <f>VLOOKUP(Table2[[#This Row],[Course]],Data!$A$1:$E$56,2,FALSE)</f>
        <v>A-493-0070</v>
      </c>
      <c r="D14" s="272" t="str">
        <f>VLOOKUP(Table2[[#This Row],[Course]],Data!$A$1:$E$56,3,FALSE)</f>
        <v>450V</v>
      </c>
      <c r="E14" s="346" t="s">
        <v>141</v>
      </c>
      <c r="F14" s="327">
        <v>45210</v>
      </c>
      <c r="G14" s="327">
        <v>45210</v>
      </c>
      <c r="H14" s="350">
        <v>0.33333333333333331</v>
      </c>
      <c r="I14" s="350"/>
      <c r="J14" s="327"/>
      <c r="K14" s="327"/>
      <c r="L14" s="327"/>
      <c r="M14" s="327"/>
      <c r="N14" s="327"/>
      <c r="O14" s="271" t="s">
        <v>90</v>
      </c>
      <c r="P14" s="271" t="s">
        <v>86</v>
      </c>
      <c r="Q14" s="331" t="e">
        <v>#REF!</v>
      </c>
      <c r="R14" s="331" t="e">
        <v>#REF!</v>
      </c>
      <c r="S14" s="331"/>
      <c r="T14" s="270"/>
      <c r="U14" s="270"/>
      <c r="V14" s="275">
        <f>VLOOKUP(Table2[[#This Row],[Course]],Data!$A$1:$E$56,4,FALSE)</f>
        <v>30</v>
      </c>
      <c r="W14" s="275">
        <f>VLOOKUP(Table2[[#This Row],[Course]],Data!$A$1:$E$56,5,FALSE)</f>
        <v>1</v>
      </c>
      <c r="X14" s="275">
        <v>32</v>
      </c>
      <c r="Y14" s="275">
        <v>16</v>
      </c>
      <c r="Z14" s="275">
        <v>0</v>
      </c>
      <c r="AA14" s="275">
        <v>14</v>
      </c>
      <c r="AB14" s="276">
        <v>0</v>
      </c>
      <c r="AC14" s="275">
        <v>2</v>
      </c>
      <c r="AD14" s="275">
        <v>0</v>
      </c>
      <c r="AE14" s="275">
        <v>0</v>
      </c>
      <c r="AF14" s="271" t="s">
        <v>208</v>
      </c>
      <c r="AG14" s="277">
        <f ca="1">Table2[[#This Row],[End Date]]+2-TODAY()</f>
        <v>-320</v>
      </c>
      <c r="AH14" s="275">
        <f>IF(ISBLANK(Table2[[#This Row],[Roster Received By]]),1,0)</f>
        <v>0</v>
      </c>
      <c r="AI14" s="275">
        <f ca="1">IF(Table2[[#This Row],[Start Date]]&gt;TODAY(),1,)</f>
        <v>0</v>
      </c>
    </row>
    <row r="15" spans="1:35" s="354" customFormat="1" x14ac:dyDescent="0.25">
      <c r="A15" s="270"/>
      <c r="B15" s="271" t="s">
        <v>7</v>
      </c>
      <c r="C15" s="272" t="str">
        <f>VLOOKUP(Table2[[#This Row],[Course]],Data!$A$1:$E$56,2,FALSE)</f>
        <v>A-493-0015</v>
      </c>
      <c r="D15" s="272">
        <f>VLOOKUP(Table2[[#This Row],[Course]],Data!$A$1:$E$56,3,FALSE)</f>
        <v>3879</v>
      </c>
      <c r="E15" s="346" t="s">
        <v>141</v>
      </c>
      <c r="F15" s="327">
        <v>45211</v>
      </c>
      <c r="G15" s="327">
        <v>45211</v>
      </c>
      <c r="H15" s="350">
        <v>0.33333333333333331</v>
      </c>
      <c r="I15" s="350"/>
      <c r="J15" s="327"/>
      <c r="K15" s="327"/>
      <c r="L15" s="327"/>
      <c r="M15" s="327"/>
      <c r="N15" s="327"/>
      <c r="O15" s="271" t="s">
        <v>90</v>
      </c>
      <c r="P15" s="271" t="s">
        <v>86</v>
      </c>
      <c r="Q15" s="331" t="e">
        <v>#REF!</v>
      </c>
      <c r="R15" s="331" t="e">
        <v>#REF!</v>
      </c>
      <c r="S15" s="276"/>
      <c r="T15" s="270"/>
      <c r="U15" s="270"/>
      <c r="V15" s="275">
        <f>VLOOKUP(Table2[[#This Row],[Course]],Data!$A$1:$E$56,4,FALSE)</f>
        <v>30</v>
      </c>
      <c r="W15" s="275">
        <f>VLOOKUP(Table2[[#This Row],[Course]],Data!$A$1:$E$56,5,FALSE)</f>
        <v>1</v>
      </c>
      <c r="X15" s="275">
        <v>48</v>
      </c>
      <c r="Y15" s="275">
        <v>17</v>
      </c>
      <c r="Z15" s="275">
        <v>0</v>
      </c>
      <c r="AA15" s="275">
        <v>17</v>
      </c>
      <c r="AB15" s="276">
        <v>0</v>
      </c>
      <c r="AC15" s="275">
        <v>0</v>
      </c>
      <c r="AD15" s="275">
        <v>0</v>
      </c>
      <c r="AE15" s="275">
        <v>0</v>
      </c>
      <c r="AF15" s="271" t="s">
        <v>208</v>
      </c>
      <c r="AG15" s="277">
        <f ca="1">Table2[[#This Row],[End Date]]+2-TODAY()</f>
        <v>-319</v>
      </c>
      <c r="AH15" s="275">
        <f>IF(ISBLANK(Table2[[#This Row],[Roster Received By]]),1,0)</f>
        <v>0</v>
      </c>
      <c r="AI15" s="275">
        <f ca="1">IF(Table2[[#This Row],[Start Date]]&gt;TODAY(),1,)</f>
        <v>0</v>
      </c>
    </row>
    <row r="16" spans="1:35" s="354" customFormat="1" x14ac:dyDescent="0.25">
      <c r="A16" s="270"/>
      <c r="B16" s="271" t="s">
        <v>9</v>
      </c>
      <c r="C16" s="272" t="str">
        <f>VLOOKUP(Table2[[#This Row],[Course]],Data!$A$1:$E$56,2,FALSE)</f>
        <v>A-493-0020</v>
      </c>
      <c r="D16" s="272">
        <f>VLOOKUP(Table2[[#This Row],[Course]],Data!$A$1:$E$56,3,FALSE)</f>
        <v>3888</v>
      </c>
      <c r="E16" s="346" t="s">
        <v>141</v>
      </c>
      <c r="F16" s="327">
        <v>45211</v>
      </c>
      <c r="G16" s="327">
        <v>45211</v>
      </c>
      <c r="H16" s="350">
        <v>0.5</v>
      </c>
      <c r="I16" s="350"/>
      <c r="J16" s="327"/>
      <c r="K16" s="327"/>
      <c r="L16" s="327"/>
      <c r="M16" s="327"/>
      <c r="N16" s="327"/>
      <c r="O16" s="271" t="s">
        <v>81</v>
      </c>
      <c r="P16" s="271" t="s">
        <v>86</v>
      </c>
      <c r="Q16" s="331" t="e">
        <v>#REF!</v>
      </c>
      <c r="R16" s="331" t="e">
        <v>#REF!</v>
      </c>
      <c r="S16" s="332"/>
      <c r="T16" s="270"/>
      <c r="U16" s="270"/>
      <c r="V16" s="275">
        <f>VLOOKUP(Table2[[#This Row],[Course]],Data!$A$1:$E$56,4,FALSE)</f>
        <v>30</v>
      </c>
      <c r="W16" s="275">
        <f>VLOOKUP(Table2[[#This Row],[Course]],Data!$A$1:$E$56,5,FALSE)</f>
        <v>1</v>
      </c>
      <c r="X16" s="275">
        <v>6</v>
      </c>
      <c r="Y16" s="275">
        <v>4</v>
      </c>
      <c r="Z16" s="275">
        <v>0</v>
      </c>
      <c r="AA16" s="275">
        <v>6</v>
      </c>
      <c r="AB16" s="276">
        <v>0</v>
      </c>
      <c r="AC16" s="275">
        <v>0</v>
      </c>
      <c r="AD16" s="275">
        <v>0</v>
      </c>
      <c r="AE16" s="275">
        <v>0</v>
      </c>
      <c r="AF16" s="271" t="s">
        <v>208</v>
      </c>
      <c r="AG16" s="277">
        <f ca="1">Table2[[#This Row],[End Date]]+2-TODAY()</f>
        <v>-319</v>
      </c>
      <c r="AH16" s="275">
        <f>IF(ISBLANK(Table2[[#This Row],[Roster Received By]]),1,0)</f>
        <v>0</v>
      </c>
      <c r="AI16" s="275">
        <f ca="1">IF(Table2[[#This Row],[Start Date]]&gt;TODAY(),1,)</f>
        <v>0</v>
      </c>
    </row>
    <row r="17" spans="1:35" s="355" customFormat="1" ht="13.5" customHeight="1" x14ac:dyDescent="0.25">
      <c r="A17" s="347" t="s">
        <v>485</v>
      </c>
      <c r="B17" s="340" t="s">
        <v>336</v>
      </c>
      <c r="C17" s="348" t="str">
        <f>VLOOKUP(Table2[[#This Row],[Course]],Data!$A$1:$E$56,2,FALSE)</f>
        <v>NA</v>
      </c>
      <c r="D17" s="348" t="str">
        <f>VLOOKUP(Table2[[#This Row],[Course]],Data!$A$1:$E$56,3,FALSE)</f>
        <v>NA</v>
      </c>
      <c r="E17" s="340" t="s">
        <v>140</v>
      </c>
      <c r="F17" s="352">
        <v>45211</v>
      </c>
      <c r="G17" s="352">
        <v>45211</v>
      </c>
      <c r="H17" s="351">
        <v>0</v>
      </c>
      <c r="I17" s="351">
        <v>0</v>
      </c>
      <c r="J17" s="351">
        <v>0</v>
      </c>
      <c r="K17" s="351">
        <v>0</v>
      </c>
      <c r="L17" s="351">
        <v>0</v>
      </c>
      <c r="M17" s="351">
        <v>0</v>
      </c>
      <c r="N17" s="351">
        <v>0</v>
      </c>
      <c r="O17" s="340"/>
      <c r="P17" s="340"/>
      <c r="Q17" s="338"/>
      <c r="R17" s="353"/>
      <c r="S17" s="338"/>
      <c r="T17" s="347"/>
      <c r="U17" s="347"/>
      <c r="V17" s="338">
        <v>0</v>
      </c>
      <c r="W17" s="353">
        <v>0</v>
      </c>
      <c r="X17" s="353">
        <v>0</v>
      </c>
      <c r="Y17" s="353">
        <v>0</v>
      </c>
      <c r="Z17" s="353">
        <v>0</v>
      </c>
      <c r="AA17" s="338">
        <v>0</v>
      </c>
      <c r="AB17" s="338">
        <v>0</v>
      </c>
      <c r="AC17" s="339">
        <v>0</v>
      </c>
      <c r="AD17" s="339">
        <v>0</v>
      </c>
      <c r="AE17" s="339">
        <v>0</v>
      </c>
      <c r="AF17" s="340" t="s">
        <v>194</v>
      </c>
      <c r="AG17" s="341">
        <f ca="1">Table2[[#This Row],[End Date]]+2-TODAY()</f>
        <v>-319</v>
      </c>
      <c r="AH17" s="339">
        <f>IF(ISBLANK(Table2[[#This Row],[Roster Received By]]),1,0)</f>
        <v>0</v>
      </c>
      <c r="AI17" s="339">
        <f ca="1">IF(Table2[[#This Row],[Start Date]]&gt;TODAY(),1,)</f>
        <v>0</v>
      </c>
    </row>
    <row r="18" spans="1:35" s="345" customFormat="1" x14ac:dyDescent="0.25">
      <c r="A18" s="271"/>
      <c r="B18" s="271" t="s">
        <v>10</v>
      </c>
      <c r="C18" s="272" t="str">
        <f>VLOOKUP(Table2[[#This Row],[Course]],Data!$A$1:$E$56,2,FALSE)</f>
        <v>A-493-0069</v>
      </c>
      <c r="D18" s="272" t="str">
        <f>VLOOKUP(Table2[[#This Row],[Course]],Data!$A$1:$E$56,3,FALSE)</f>
        <v>450U</v>
      </c>
      <c r="E18" s="346" t="s">
        <v>141</v>
      </c>
      <c r="F18" s="327">
        <v>45215</v>
      </c>
      <c r="G18" s="327">
        <v>45219</v>
      </c>
      <c r="H18" s="350">
        <v>0.33333333333333331</v>
      </c>
      <c r="I18" s="350"/>
      <c r="J18" s="327"/>
      <c r="K18" s="327"/>
      <c r="L18" s="327"/>
      <c r="M18" s="327"/>
      <c r="N18" s="327"/>
      <c r="O18" s="271" t="s">
        <v>90</v>
      </c>
      <c r="P18" s="271" t="s">
        <v>86</v>
      </c>
      <c r="Q18" s="331" t="e">
        <v>#REF!</v>
      </c>
      <c r="R18" s="331" t="e">
        <v>#REF!</v>
      </c>
      <c r="S18" s="331"/>
      <c r="T18" s="270"/>
      <c r="U18" s="270"/>
      <c r="V18" s="275">
        <f>VLOOKUP(Table2[[#This Row],[Course]],Data!$A$1:$E$56,4,FALSE)</f>
        <v>25</v>
      </c>
      <c r="W18" s="275">
        <f>VLOOKUP(Table2[[#This Row],[Course]],Data!$A$1:$E$56,5,FALSE)</f>
        <v>5</v>
      </c>
      <c r="X18" s="275">
        <v>32</v>
      </c>
      <c r="Y18" s="275">
        <v>9</v>
      </c>
      <c r="Z18" s="275">
        <v>0</v>
      </c>
      <c r="AA18" s="275">
        <v>7</v>
      </c>
      <c r="AB18" s="276">
        <v>0</v>
      </c>
      <c r="AC18" s="275">
        <v>3</v>
      </c>
      <c r="AD18" s="275">
        <v>1</v>
      </c>
      <c r="AE18" s="272">
        <v>0</v>
      </c>
      <c r="AF18" s="271" t="s">
        <v>208</v>
      </c>
      <c r="AG18" s="277">
        <f ca="1">Table2[[#This Row],[End Date]]+2-TODAY()</f>
        <v>-311</v>
      </c>
      <c r="AH18" s="275">
        <f>IF(ISBLANK(Table2[[#This Row],[Roster Received By]]),1,0)</f>
        <v>0</v>
      </c>
      <c r="AI18" s="275">
        <f ca="1">IF(Table2[[#This Row],[Start Date]]&gt;TODAY(),1,)</f>
        <v>0</v>
      </c>
    </row>
    <row r="19" spans="1:35" s="345" customFormat="1" x14ac:dyDescent="0.25">
      <c r="A19" s="270" t="s">
        <v>486</v>
      </c>
      <c r="B19" s="271" t="s">
        <v>236</v>
      </c>
      <c r="C19" s="272" t="str">
        <f>VLOOKUP(Table2[[#This Row],[Course]],Data!$A$1:$E$56,2,FALSE)</f>
        <v>A-493-0103</v>
      </c>
      <c r="D19" s="272" t="str">
        <f>VLOOKUP(Table2[[#This Row],[Course]],Data!$A$1:$E$56,3,FALSE)</f>
        <v>12JY</v>
      </c>
      <c r="E19" s="346" t="s">
        <v>141</v>
      </c>
      <c r="F19" s="327">
        <v>45215</v>
      </c>
      <c r="G19" s="327">
        <v>45219</v>
      </c>
      <c r="H19" s="344">
        <v>0.33333333333333331</v>
      </c>
      <c r="I19" s="344"/>
      <c r="J19" s="327"/>
      <c r="K19" s="327"/>
      <c r="L19" s="327"/>
      <c r="M19" s="327"/>
      <c r="N19" s="327"/>
      <c r="O19" s="271" t="s">
        <v>94</v>
      </c>
      <c r="P19" s="271"/>
      <c r="Q19" s="328" t="e">
        <v>#REF!</v>
      </c>
      <c r="R19" s="328" t="e">
        <v>#REF!</v>
      </c>
      <c r="S19" s="332"/>
      <c r="T19" s="270"/>
      <c r="U19" s="270"/>
      <c r="V19" s="275">
        <f>VLOOKUP(Table2[[#This Row],[Course]],Data!$A$1:$E$56,4,FALSE)</f>
        <v>25</v>
      </c>
      <c r="W19" s="275">
        <f>VLOOKUP(Table2[[#This Row],[Course]],Data!$A$1:$E$56,5,FALSE)</f>
        <v>5</v>
      </c>
      <c r="X19" s="275">
        <v>388</v>
      </c>
      <c r="Y19" s="275">
        <v>24</v>
      </c>
      <c r="Z19" s="275">
        <v>5</v>
      </c>
      <c r="AA19" s="275">
        <v>22</v>
      </c>
      <c r="AB19" s="276">
        <v>0</v>
      </c>
      <c r="AC19" s="275">
        <v>9</v>
      </c>
      <c r="AD19" s="275">
        <v>0</v>
      </c>
      <c r="AE19" s="275">
        <v>0</v>
      </c>
      <c r="AF19" s="271" t="s">
        <v>189</v>
      </c>
      <c r="AG19" s="277">
        <f ca="1">Table2[[#This Row],[End Date]]+2-TODAY()</f>
        <v>-311</v>
      </c>
      <c r="AH19" s="275">
        <f>IF(ISBLANK(Table2[[#This Row],[Roster Received By]]),1,0)</f>
        <v>0</v>
      </c>
      <c r="AI19" s="275">
        <f ca="1">IF(Table2[[#This Row],[Start Date]]&gt;TODAY(),1,)</f>
        <v>0</v>
      </c>
    </row>
    <row r="20" spans="1:35" s="354" customFormat="1" x14ac:dyDescent="0.25">
      <c r="A20" s="270"/>
      <c r="B20" s="325" t="s">
        <v>281</v>
      </c>
      <c r="C20" s="272" t="str">
        <f>VLOOKUP(Table2[[#This Row],[Course]],Data!$A$1:$E$56,2,FALSE)</f>
        <v>A-493-0550</v>
      </c>
      <c r="D20" s="272" t="str">
        <f>VLOOKUP(Table2[[#This Row],[Course]],Data!$A$1:$E$56,3,FALSE)</f>
        <v>09K5</v>
      </c>
      <c r="E20" s="271" t="s">
        <v>116</v>
      </c>
      <c r="F20" s="326">
        <v>45215</v>
      </c>
      <c r="G20" s="326">
        <v>45219</v>
      </c>
      <c r="H20" s="327"/>
      <c r="I20" s="274">
        <v>0.41666666666666669</v>
      </c>
      <c r="J20" s="344">
        <v>0.29166666666666669</v>
      </c>
      <c r="K20" s="344">
        <v>0.70833333333333337</v>
      </c>
      <c r="L20" s="344">
        <v>0.66666666666666663</v>
      </c>
      <c r="M20" s="344">
        <v>0.16666666666666666</v>
      </c>
      <c r="N20" s="344">
        <v>0.95833333333333337</v>
      </c>
      <c r="O20" s="271" t="s">
        <v>85</v>
      </c>
      <c r="P20" s="271"/>
      <c r="Q20" s="331" t="e">
        <v>#REF!</v>
      </c>
      <c r="R20" s="331" t="e">
        <v>#REF!</v>
      </c>
      <c r="S20" s="332"/>
      <c r="T20" s="270"/>
      <c r="U20" s="270"/>
      <c r="V20" s="275">
        <f>VLOOKUP(Table2[[#This Row],[Course]],Data!$A$1:$E$56,4,FALSE)</f>
        <v>45</v>
      </c>
      <c r="W20" s="275">
        <f>VLOOKUP(Table2[[#This Row],[Course]],Data!$A$1:$E$56,5,FALSE)</f>
        <v>4</v>
      </c>
      <c r="X20" s="275">
        <v>429</v>
      </c>
      <c r="Y20" s="275">
        <v>45</v>
      </c>
      <c r="Z20" s="275">
        <v>4</v>
      </c>
      <c r="AA20" s="275">
        <v>40</v>
      </c>
      <c r="AB20" s="276">
        <v>2</v>
      </c>
      <c r="AC20" s="275">
        <v>5</v>
      </c>
      <c r="AD20" s="275">
        <v>0</v>
      </c>
      <c r="AE20" s="275">
        <v>0</v>
      </c>
      <c r="AF20" s="271" t="s">
        <v>205</v>
      </c>
      <c r="AG20" s="277">
        <f ca="1">Table2[[#This Row],[End Date]]+2-TODAY()</f>
        <v>-311</v>
      </c>
      <c r="AH20" s="275">
        <f>IF(ISBLANK(Table2[[#This Row],[Roster Received By]]),1,0)</f>
        <v>0</v>
      </c>
      <c r="AI20" s="275">
        <f ca="1">IF(Table2[[#This Row],[Start Date]]&gt;TODAY(),1,)</f>
        <v>0</v>
      </c>
    </row>
    <row r="21" spans="1:35" s="345" customFormat="1" ht="14.25" customHeight="1" x14ac:dyDescent="0.25">
      <c r="A21" s="270"/>
      <c r="B21" s="325" t="s">
        <v>292</v>
      </c>
      <c r="C21" s="272" t="str">
        <f>VLOOKUP(Table2[[#This Row],[Course]],Data!$A$1:$E$56,2,FALSE)</f>
        <v>A-493-0078</v>
      </c>
      <c r="D21" s="272">
        <f>VLOOKUP(Table2[[#This Row],[Course]],Data!$A$1:$E$56,3,FALSE)</f>
        <v>1228</v>
      </c>
      <c r="E21" s="271" t="s">
        <v>116</v>
      </c>
      <c r="F21" s="326">
        <v>45215</v>
      </c>
      <c r="G21" s="326">
        <v>45219</v>
      </c>
      <c r="H21" s="327"/>
      <c r="I21" s="274">
        <v>0.25</v>
      </c>
      <c r="J21" s="344">
        <v>0.125</v>
      </c>
      <c r="K21" s="344">
        <v>0.54166666666666663</v>
      </c>
      <c r="L21" s="344">
        <v>0.5</v>
      </c>
      <c r="M21" s="344">
        <v>0</v>
      </c>
      <c r="N21" s="344">
        <v>0.79166666666666663</v>
      </c>
      <c r="O21" s="271" t="s">
        <v>80</v>
      </c>
      <c r="P21" s="271"/>
      <c r="Q21" s="331" t="e">
        <v>#REF!</v>
      </c>
      <c r="R21" s="331" t="e">
        <v>#REF!</v>
      </c>
      <c r="S21" s="332"/>
      <c r="T21" s="270"/>
      <c r="U21" s="270"/>
      <c r="V21" s="275">
        <f>VLOOKUP(Table2[[#This Row],[Course]],Data!$A$1:$E$56,4,FALSE)</f>
        <v>45</v>
      </c>
      <c r="W21" s="275">
        <f>VLOOKUP(Table2[[#This Row],[Course]],Data!$A$1:$E$56,5,FALSE)</f>
        <v>5</v>
      </c>
      <c r="X21" s="275">
        <v>83</v>
      </c>
      <c r="Y21" s="275">
        <v>45</v>
      </c>
      <c r="Z21" s="275">
        <v>1</v>
      </c>
      <c r="AA21" s="275">
        <v>42</v>
      </c>
      <c r="AB21" s="276">
        <v>0</v>
      </c>
      <c r="AC21" s="275">
        <v>4</v>
      </c>
      <c r="AD21" s="275">
        <v>0</v>
      </c>
      <c r="AE21" s="275">
        <v>0</v>
      </c>
      <c r="AF21" s="271" t="s">
        <v>205</v>
      </c>
      <c r="AG21" s="277">
        <f ca="1">Table2[[#This Row],[End Date]]+2-TODAY()</f>
        <v>-311</v>
      </c>
      <c r="AH21" s="275">
        <f>IF(ISBLANK(Table2[[#This Row],[Roster Received By]]),1,0)</f>
        <v>0</v>
      </c>
      <c r="AI21" s="275">
        <f ca="1">IF(Table2[[#This Row],[Start Date]]&gt;TODAY(),1,)</f>
        <v>0</v>
      </c>
    </row>
    <row r="22" spans="1:35" s="345" customFormat="1" ht="14.25" customHeight="1" x14ac:dyDescent="0.25">
      <c r="A22" s="270"/>
      <c r="B22" s="271" t="s">
        <v>303</v>
      </c>
      <c r="C22" s="272" t="str">
        <f>VLOOKUP(Table2[[#This Row],[Course]],Data!$A$1:$E$56,2,FALSE)</f>
        <v>A-570-0100</v>
      </c>
      <c r="D22" s="272" t="str">
        <f>VLOOKUP(Table2[[#This Row],[Course]],Data!$A$1:$E$56,3,FALSE)</f>
        <v>18B7</v>
      </c>
      <c r="E22" s="325" t="s">
        <v>116</v>
      </c>
      <c r="F22" s="327">
        <v>45215</v>
      </c>
      <c r="G22" s="327">
        <v>45218</v>
      </c>
      <c r="H22" s="327"/>
      <c r="I22" s="274">
        <v>0.54166666666666663</v>
      </c>
      <c r="J22" s="344">
        <v>0.41666666666666669</v>
      </c>
      <c r="K22" s="344">
        <v>0.83333333333333337</v>
      </c>
      <c r="L22" s="344">
        <v>0.79166666666666663</v>
      </c>
      <c r="M22" s="344">
        <v>0.29166666666666669</v>
      </c>
      <c r="N22" s="344">
        <v>8.3333333333333329E-2</v>
      </c>
      <c r="O22" s="271" t="s">
        <v>89</v>
      </c>
      <c r="P22" s="271"/>
      <c r="Q22" s="276" t="e">
        <v>#REF!</v>
      </c>
      <c r="R22" s="331" t="e">
        <v>#REF!</v>
      </c>
      <c r="S22" s="276"/>
      <c r="T22" s="270"/>
      <c r="U22" s="270"/>
      <c r="V22" s="275">
        <f>VLOOKUP(Table2[[#This Row],[Course]],Data!$A$1:$E$56,4,FALSE)</f>
        <v>30</v>
      </c>
      <c r="W22" s="275">
        <f>VLOOKUP(Table2[[#This Row],[Course]],Data!$A$1:$E$56,5,FALSE)</f>
        <v>4</v>
      </c>
      <c r="X22" s="275">
        <v>459</v>
      </c>
      <c r="Y22" s="275">
        <v>30</v>
      </c>
      <c r="Z22" s="275">
        <v>4</v>
      </c>
      <c r="AA22" s="275">
        <v>25</v>
      </c>
      <c r="AB22" s="276">
        <v>1</v>
      </c>
      <c r="AC22" s="275">
        <v>4</v>
      </c>
      <c r="AD22" s="275">
        <v>2</v>
      </c>
      <c r="AE22" s="275">
        <v>0</v>
      </c>
      <c r="AF22" s="271" t="s">
        <v>208</v>
      </c>
      <c r="AG22" s="277">
        <f ca="1">Table2[[#This Row],[End Date]]+2-TODAY()</f>
        <v>-312</v>
      </c>
      <c r="AH22" s="275">
        <f>IF(ISBLANK(Table2[[#This Row],[Roster Received By]]),1,0)</f>
        <v>0</v>
      </c>
      <c r="AI22" s="275">
        <f ca="1">IF(Table2[[#This Row],[Start Date]]&gt;TODAY(),1,)</f>
        <v>0</v>
      </c>
    </row>
    <row r="23" spans="1:35" s="345" customFormat="1" ht="14.25" customHeight="1" x14ac:dyDescent="0.25">
      <c r="A23" s="270"/>
      <c r="B23" s="271" t="s">
        <v>19</v>
      </c>
      <c r="C23" s="272" t="str">
        <f>VLOOKUP(Table2[[#This Row],[Course]],Data!$A$1:$E$56,2,FALSE)</f>
        <v>A-493-0099</v>
      </c>
      <c r="D23" s="272" t="str">
        <f>VLOOKUP(Table2[[#This Row],[Course]],Data!$A$1:$E$56,3,FALSE)</f>
        <v>12JW</v>
      </c>
      <c r="E23" s="271" t="s">
        <v>116</v>
      </c>
      <c r="F23" s="327">
        <v>45216</v>
      </c>
      <c r="G23" s="327">
        <v>45218</v>
      </c>
      <c r="H23" s="327"/>
      <c r="I23" s="274">
        <v>0.41666666666666669</v>
      </c>
      <c r="J23" s="344">
        <v>0.29166666666666669</v>
      </c>
      <c r="K23" s="344">
        <v>0.70833333333333337</v>
      </c>
      <c r="L23" s="344">
        <v>0.66666666666666663</v>
      </c>
      <c r="M23" s="344">
        <v>0.16666666666666666</v>
      </c>
      <c r="N23" s="344">
        <v>0.95833333333333337</v>
      </c>
      <c r="O23" s="271" t="s">
        <v>88</v>
      </c>
      <c r="P23" s="271"/>
      <c r="Q23" s="331" t="e">
        <v>#REF!</v>
      </c>
      <c r="R23" s="331" t="e">
        <v>#REF!</v>
      </c>
      <c r="S23" s="332"/>
      <c r="T23" s="270"/>
      <c r="U23" s="270"/>
      <c r="V23" s="275">
        <f>VLOOKUP(Table2[[#This Row],[Course]],Data!$A$1:$E$56,4,FALSE)</f>
        <v>45</v>
      </c>
      <c r="W23" s="275">
        <f>VLOOKUP(Table2[[#This Row],[Course]],Data!$A$1:$E$56,5,FALSE)</f>
        <v>3</v>
      </c>
      <c r="X23" s="275">
        <v>381</v>
      </c>
      <c r="Y23" s="275">
        <v>44</v>
      </c>
      <c r="Z23" s="275">
        <v>0</v>
      </c>
      <c r="AA23" s="275">
        <v>32</v>
      </c>
      <c r="AB23" s="276">
        <v>0</v>
      </c>
      <c r="AC23" s="275" t="s">
        <v>73</v>
      </c>
      <c r="AD23" s="275">
        <v>0</v>
      </c>
      <c r="AE23" s="275">
        <v>0</v>
      </c>
      <c r="AF23" s="271" t="s">
        <v>189</v>
      </c>
      <c r="AG23" s="277">
        <f ca="1">Table2[[#This Row],[End Date]]+2-TODAY()</f>
        <v>-312</v>
      </c>
      <c r="AH23" s="275">
        <f>IF(ISBLANK(Table2[[#This Row],[Roster Received By]]),1,0)</f>
        <v>0</v>
      </c>
      <c r="AI23" s="275">
        <f ca="1">IF(Table2[[#This Row],[Start Date]]&gt;TODAY(),1,)</f>
        <v>0</v>
      </c>
    </row>
    <row r="24" spans="1:35" s="355" customFormat="1" ht="14.25" customHeight="1" x14ac:dyDescent="0.25">
      <c r="A24" s="270"/>
      <c r="B24" s="271" t="s">
        <v>6</v>
      </c>
      <c r="C24" s="272" t="str">
        <f>VLOOKUP(Table2[[#This Row],[Course]],Data!$A$1:$E$56,2,FALSE)</f>
        <v>A-493-0014</v>
      </c>
      <c r="D24" s="272">
        <f>VLOOKUP(Table2[[#This Row],[Course]],Data!$A$1:$E$56,3,FALSE)</f>
        <v>3878</v>
      </c>
      <c r="E24" s="346" t="s">
        <v>140</v>
      </c>
      <c r="F24" s="327">
        <v>45222</v>
      </c>
      <c r="G24" s="327">
        <v>45224</v>
      </c>
      <c r="H24" s="350">
        <v>0.33333333333333331</v>
      </c>
      <c r="I24" s="350"/>
      <c r="J24" s="327"/>
      <c r="K24" s="327"/>
      <c r="L24" s="327"/>
      <c r="M24" s="327"/>
      <c r="N24" s="327"/>
      <c r="O24" s="271" t="s">
        <v>81</v>
      </c>
      <c r="P24" s="271" t="s">
        <v>86</v>
      </c>
      <c r="Q24" s="328" t="e">
        <v>#REF!</v>
      </c>
      <c r="R24" s="328" t="e">
        <v>#REF!</v>
      </c>
      <c r="S24" s="357"/>
      <c r="T24" s="301"/>
      <c r="U24" s="301"/>
      <c r="V24" s="275">
        <f>VLOOKUP(Table2[[#This Row],[Course]],Data!$A$1:$E$56,4,FALSE)</f>
        <v>25</v>
      </c>
      <c r="W24" s="275">
        <f>VLOOKUP(Table2[[#This Row],[Course]],Data!$A$1:$E$56,5,FALSE)</f>
        <v>3</v>
      </c>
      <c r="X24" s="275">
        <v>42</v>
      </c>
      <c r="Y24" s="275">
        <v>15</v>
      </c>
      <c r="Z24" s="275">
        <v>0</v>
      </c>
      <c r="AA24" s="275">
        <v>17</v>
      </c>
      <c r="AB24" s="276">
        <v>0</v>
      </c>
      <c r="AC24" s="275">
        <v>1</v>
      </c>
      <c r="AD24" s="275">
        <v>2</v>
      </c>
      <c r="AE24" s="275">
        <v>0</v>
      </c>
      <c r="AF24" s="271" t="s">
        <v>208</v>
      </c>
      <c r="AG24" s="277">
        <f ca="1">Table2[[#This Row],[End Date]]+2-TODAY()</f>
        <v>-306</v>
      </c>
      <c r="AH24" s="275">
        <f>IF(ISBLANK(Table2[[#This Row],[Roster Received By]]),1,0)</f>
        <v>0</v>
      </c>
      <c r="AI24" s="275">
        <f ca="1">IF(Table2[[#This Row],[Start Date]]&gt;TODAY(),1,)</f>
        <v>0</v>
      </c>
    </row>
    <row r="25" spans="1:35" s="345" customFormat="1" ht="14.25" customHeight="1" x14ac:dyDescent="0.25">
      <c r="A25" s="270"/>
      <c r="B25" s="343" t="s">
        <v>327</v>
      </c>
      <c r="C25" s="272" t="str">
        <f>VLOOKUP(Table2[[#This Row],[Course]],Data!$A$1:$E$56,2,FALSE)</f>
        <v>F-4J-0023</v>
      </c>
      <c r="D25" s="272" t="str">
        <f>VLOOKUP(Table2[[#This Row],[Course]],Data!$A$1:$E$56,3,FALSE)</f>
        <v>11A2</v>
      </c>
      <c r="E25" s="271" t="s">
        <v>116</v>
      </c>
      <c r="F25" s="327">
        <v>45222</v>
      </c>
      <c r="G25" s="327">
        <v>45226</v>
      </c>
      <c r="H25" s="327"/>
      <c r="I25" s="274">
        <v>0.33333333333333331</v>
      </c>
      <c r="J25" s="344">
        <v>0.20833333333333334</v>
      </c>
      <c r="K25" s="344">
        <v>0.625</v>
      </c>
      <c r="L25" s="344">
        <v>0.58333333333333337</v>
      </c>
      <c r="M25" s="344">
        <v>8.3333333333333329E-2</v>
      </c>
      <c r="N25" s="344">
        <v>0.875</v>
      </c>
      <c r="O25" s="271" t="s">
        <v>227</v>
      </c>
      <c r="P25" s="271" t="s">
        <v>223</v>
      </c>
      <c r="Q25" s="276" t="e">
        <v>#REF!</v>
      </c>
      <c r="R25" s="331" t="e">
        <v>#REF!</v>
      </c>
      <c r="S25" s="276"/>
      <c r="T25" s="270"/>
      <c r="U25" s="270"/>
      <c r="V25" s="275">
        <f>VLOOKUP(Table2[[#This Row],[Course]],Data!$A$1:$E$56,4,FALSE)</f>
        <v>25</v>
      </c>
      <c r="W25" s="275">
        <f>VLOOKUP(Table2[[#This Row],[Course]],Data!$A$1:$E$56,5,FALSE)</f>
        <v>2</v>
      </c>
      <c r="X25" s="275">
        <v>33</v>
      </c>
      <c r="Y25" s="275">
        <v>7</v>
      </c>
      <c r="Z25" s="275">
        <v>0</v>
      </c>
      <c r="AA25" s="275">
        <v>6</v>
      </c>
      <c r="AB25" s="276">
        <v>0</v>
      </c>
      <c r="AC25" s="275">
        <v>1</v>
      </c>
      <c r="AD25" s="275">
        <v>0</v>
      </c>
      <c r="AE25" s="275">
        <v>0</v>
      </c>
      <c r="AF25" s="271" t="s">
        <v>208</v>
      </c>
      <c r="AG25" s="277">
        <f ca="1">Table2[[#This Row],[End Date]]+2-TODAY()</f>
        <v>-304</v>
      </c>
      <c r="AH25" s="275">
        <f>IF(ISBLANK(Table2[[#This Row],[Roster Received By]]),1,0)</f>
        <v>0</v>
      </c>
      <c r="AI25" s="275">
        <f ca="1">IF(Table2[[#This Row],[Start Date]]&gt;TODAY(),1,)</f>
        <v>0</v>
      </c>
    </row>
    <row r="26" spans="1:35" s="345" customFormat="1" ht="14.25" customHeight="1" x14ac:dyDescent="0.25">
      <c r="A26" s="270"/>
      <c r="B26" s="271" t="s">
        <v>20</v>
      </c>
      <c r="C26" s="272" t="str">
        <f>VLOOKUP(Table2[[#This Row],[Course]],Data!$A$1:$E$56,2,FALSE)</f>
        <v xml:space="preserve">A-493-0075 </v>
      </c>
      <c r="D26" s="272" t="str">
        <f>VLOOKUP(Table2[[#This Row],[Course]],Data!$A$1:$E$56,3,FALSE)</f>
        <v>714U</v>
      </c>
      <c r="E26" s="346" t="s">
        <v>141</v>
      </c>
      <c r="F26" s="327">
        <v>45223</v>
      </c>
      <c r="G26" s="327">
        <v>45226</v>
      </c>
      <c r="H26" s="344">
        <v>0.33333333333333331</v>
      </c>
      <c r="I26" s="344"/>
      <c r="J26" s="327"/>
      <c r="K26" s="327"/>
      <c r="L26" s="327"/>
      <c r="M26" s="327"/>
      <c r="N26" s="327"/>
      <c r="O26" s="271" t="s">
        <v>94</v>
      </c>
      <c r="P26" s="271"/>
      <c r="Q26" s="331" t="e">
        <v>#REF!</v>
      </c>
      <c r="R26" s="331" t="e">
        <v>#REF!</v>
      </c>
      <c r="S26" s="331"/>
      <c r="T26" s="270"/>
      <c r="U26" s="270"/>
      <c r="V26" s="275">
        <f>VLOOKUP(Table2[[#This Row],[Course]],Data!$A$1:$E$56,4,FALSE)</f>
        <v>30</v>
      </c>
      <c r="W26" s="275">
        <f>VLOOKUP(Table2[[#This Row],[Course]],Data!$A$1:$E$56,5,FALSE)</f>
        <v>4</v>
      </c>
      <c r="X26" s="275">
        <v>81</v>
      </c>
      <c r="Y26" s="275">
        <v>8</v>
      </c>
      <c r="Z26" s="275">
        <v>0</v>
      </c>
      <c r="AA26" s="275">
        <v>6</v>
      </c>
      <c r="AB26" s="276">
        <v>0</v>
      </c>
      <c r="AC26" s="275">
        <v>2</v>
      </c>
      <c r="AD26" s="275">
        <v>0</v>
      </c>
      <c r="AE26" s="275">
        <v>0</v>
      </c>
      <c r="AF26" s="271" t="s">
        <v>189</v>
      </c>
      <c r="AG26" s="277">
        <f ca="1">Table2[[#This Row],[End Date]]+2-TODAY()</f>
        <v>-304</v>
      </c>
      <c r="AH26" s="275">
        <f>IF(ISBLANK(Table2[[#This Row],[Roster Received By]]),1,0)</f>
        <v>0</v>
      </c>
      <c r="AI26" s="275">
        <f ca="1">IF(Table2[[#This Row],[Start Date]]&gt;TODAY(),1,)</f>
        <v>0</v>
      </c>
    </row>
    <row r="27" spans="1:35" s="345" customFormat="1" ht="14.25" customHeight="1" x14ac:dyDescent="0.25">
      <c r="A27" s="270"/>
      <c r="B27" s="325" t="s">
        <v>270</v>
      </c>
      <c r="C27" s="272" t="str">
        <f>VLOOKUP(Table2[[#This Row],[Course]],Data!$A$1:$E$56,2,FALSE)</f>
        <v>A-493-0331</v>
      </c>
      <c r="D27" s="272" t="str">
        <f>VLOOKUP(Table2[[#This Row],[Course]],Data!$A$1:$E$56,3,FALSE)</f>
        <v>10UG</v>
      </c>
      <c r="E27" s="271" t="s">
        <v>116</v>
      </c>
      <c r="F27" s="327">
        <v>45223</v>
      </c>
      <c r="G27" s="327">
        <v>45225</v>
      </c>
      <c r="H27" s="327"/>
      <c r="I27" s="274">
        <v>0.33333333333333331</v>
      </c>
      <c r="J27" s="344">
        <v>0.20833333333333334</v>
      </c>
      <c r="K27" s="344">
        <v>0.625</v>
      </c>
      <c r="L27" s="344">
        <v>0.58333333333333337</v>
      </c>
      <c r="M27" s="344">
        <v>8.3333333333333329E-2</v>
      </c>
      <c r="N27" s="344">
        <v>0.875</v>
      </c>
      <c r="O27" s="271" t="s">
        <v>84</v>
      </c>
      <c r="P27" s="271" t="s">
        <v>90</v>
      </c>
      <c r="Q27" s="331" t="e">
        <v>#REF!</v>
      </c>
      <c r="R27" s="331" t="e">
        <v>#REF!</v>
      </c>
      <c r="S27" s="332"/>
      <c r="T27" s="270"/>
      <c r="U27" s="270"/>
      <c r="V27" s="275">
        <f>VLOOKUP(Table2[[#This Row],[Course]],Data!$A$1:$E$56,4,FALSE)</f>
        <v>40</v>
      </c>
      <c r="W27" s="275">
        <f>VLOOKUP(Table2[[#This Row],[Course]],Data!$A$1:$E$56,5,FALSE)</f>
        <v>3</v>
      </c>
      <c r="X27" s="275">
        <v>499</v>
      </c>
      <c r="Y27" s="275">
        <v>39</v>
      </c>
      <c r="Z27" s="275">
        <v>5</v>
      </c>
      <c r="AA27" s="275">
        <v>35</v>
      </c>
      <c r="AB27" s="276">
        <v>2</v>
      </c>
      <c r="AC27" s="275">
        <v>6</v>
      </c>
      <c r="AD27" s="275">
        <v>0</v>
      </c>
      <c r="AE27" s="272">
        <v>0</v>
      </c>
      <c r="AF27" s="271" t="s">
        <v>208</v>
      </c>
      <c r="AG27" s="277">
        <f ca="1">Table2[[#This Row],[End Date]]+2-TODAY()</f>
        <v>-305</v>
      </c>
      <c r="AH27" s="275">
        <f>IF(ISBLANK(Table2[[#This Row],[Roster Received By]]),1,0)</f>
        <v>0</v>
      </c>
      <c r="AI27" s="275">
        <f ca="1">IF(Table2[[#This Row],[Start Date]]&gt;TODAY(),1,)</f>
        <v>0</v>
      </c>
    </row>
    <row r="28" spans="1:35" s="345" customFormat="1" ht="14.25" customHeight="1" x14ac:dyDescent="0.25">
      <c r="A28" s="270"/>
      <c r="B28" s="271" t="s">
        <v>8</v>
      </c>
      <c r="C28" s="272" t="str">
        <f>VLOOKUP(Table2[[#This Row],[Course]],Data!$A$1:$E$56,2,FALSE)</f>
        <v>A-493-0019</v>
      </c>
      <c r="D28" s="272">
        <f>VLOOKUP(Table2[[#This Row],[Course]],Data!$A$1:$E$56,3,FALSE)</f>
        <v>3882</v>
      </c>
      <c r="E28" s="346" t="s">
        <v>140</v>
      </c>
      <c r="F28" s="327">
        <v>45225</v>
      </c>
      <c r="G28" s="327">
        <v>45226</v>
      </c>
      <c r="H28" s="350">
        <v>0.33333333333333331</v>
      </c>
      <c r="I28" s="350"/>
      <c r="J28" s="327"/>
      <c r="K28" s="327"/>
      <c r="L28" s="327"/>
      <c r="M28" s="327"/>
      <c r="N28" s="327"/>
      <c r="O28" s="271" t="s">
        <v>81</v>
      </c>
      <c r="P28" s="271" t="s">
        <v>86</v>
      </c>
      <c r="Q28" s="331" t="e">
        <v>#REF!</v>
      </c>
      <c r="R28" s="331" t="e">
        <v>#REF!</v>
      </c>
      <c r="S28" s="332"/>
      <c r="T28" s="270"/>
      <c r="U28" s="270"/>
      <c r="V28" s="275">
        <f>VLOOKUP(Table2[[#This Row],[Course]],Data!$A$1:$E$56,4,FALSE)</f>
        <v>25</v>
      </c>
      <c r="W28" s="275">
        <f>VLOOKUP(Table2[[#This Row],[Course]],Data!$A$1:$E$56,5,FALSE)</f>
        <v>2</v>
      </c>
      <c r="X28" s="275">
        <v>9</v>
      </c>
      <c r="Y28" s="275">
        <v>9</v>
      </c>
      <c r="Z28" s="275">
        <v>0</v>
      </c>
      <c r="AA28" s="275">
        <v>11</v>
      </c>
      <c r="AB28" s="276">
        <v>0</v>
      </c>
      <c r="AC28" s="275">
        <v>0</v>
      </c>
      <c r="AD28" s="275">
        <v>2</v>
      </c>
      <c r="AE28" s="275">
        <v>0</v>
      </c>
      <c r="AF28" s="271" t="s">
        <v>208</v>
      </c>
      <c r="AG28" s="277">
        <f ca="1">Table2[[#This Row],[End Date]]+2-TODAY()</f>
        <v>-304</v>
      </c>
      <c r="AH28" s="275">
        <f>IF(ISBLANK(Table2[[#This Row],[Roster Received By]]),1,0)</f>
        <v>0</v>
      </c>
      <c r="AI28" s="275">
        <f ca="1">IF(Table2[[#This Row],[Start Date]]&gt;TODAY(),1,)</f>
        <v>0</v>
      </c>
    </row>
    <row r="29" spans="1:35" s="345" customFormat="1" ht="14.25" customHeight="1" x14ac:dyDescent="0.25">
      <c r="A29" s="270"/>
      <c r="B29" s="271" t="s">
        <v>243</v>
      </c>
      <c r="C29" s="272" t="str">
        <f>VLOOKUP(Table2[[#This Row],[Course]],Data!$A$1:$E$56,2,FALSE)</f>
        <v>A-493-0061</v>
      </c>
      <c r="D29" s="272" t="str">
        <f>VLOOKUP(Table2[[#This Row],[Course]],Data!$A$1:$E$56,3,FALSE)</f>
        <v>288E</v>
      </c>
      <c r="E29" s="271" t="s">
        <v>116</v>
      </c>
      <c r="F29" s="327">
        <v>45229</v>
      </c>
      <c r="G29" s="327">
        <v>45233</v>
      </c>
      <c r="H29" s="327"/>
      <c r="I29" s="274">
        <v>0.25</v>
      </c>
      <c r="J29" s="344">
        <v>0.125</v>
      </c>
      <c r="K29" s="344">
        <v>0.54166666666666663</v>
      </c>
      <c r="L29" s="344">
        <v>0.5</v>
      </c>
      <c r="M29" s="344">
        <v>0</v>
      </c>
      <c r="N29" s="344">
        <v>0.79166666666666663</v>
      </c>
      <c r="O29" s="271" t="s">
        <v>92</v>
      </c>
      <c r="P29" s="271"/>
      <c r="Q29" s="331" t="e">
        <v>#REF!</v>
      </c>
      <c r="R29" s="331" t="e">
        <v>#REF!</v>
      </c>
      <c r="S29" s="358"/>
      <c r="T29" s="270"/>
      <c r="U29" s="271"/>
      <c r="V29" s="275">
        <f>VLOOKUP(Table2[[#This Row],[Course]],Data!$A$1:$E$56,4,FALSE)</f>
        <v>45</v>
      </c>
      <c r="W29" s="275">
        <f>VLOOKUP(Table2[[#This Row],[Course]],Data!$A$1:$E$56,5,FALSE)</f>
        <v>5</v>
      </c>
      <c r="X29" s="275">
        <v>68</v>
      </c>
      <c r="Y29" s="275">
        <v>45</v>
      </c>
      <c r="Z29" s="275">
        <v>0</v>
      </c>
      <c r="AA29" s="275">
        <v>37</v>
      </c>
      <c r="AB29" s="276">
        <v>1</v>
      </c>
      <c r="AC29" s="275">
        <v>6</v>
      </c>
      <c r="AD29" s="275">
        <v>0</v>
      </c>
      <c r="AE29" s="275">
        <v>0</v>
      </c>
      <c r="AF29" s="271" t="s">
        <v>189</v>
      </c>
      <c r="AG29" s="277">
        <f ca="1">Table2[[#This Row],[End Date]]+2-TODAY()</f>
        <v>-297</v>
      </c>
      <c r="AH29" s="275">
        <f>IF(ISBLANK(Table2[[#This Row],[Roster Received By]]),1,0)</f>
        <v>0</v>
      </c>
      <c r="AI29" s="275">
        <f ca="1">IF(Table2[[#This Row],[Start Date]]&gt;TODAY(),1,)</f>
        <v>0</v>
      </c>
    </row>
    <row r="30" spans="1:35" s="345" customFormat="1" ht="14.25" customHeight="1" x14ac:dyDescent="0.25">
      <c r="A30" s="270"/>
      <c r="B30" s="325" t="s">
        <v>274</v>
      </c>
      <c r="C30" s="272" t="str">
        <f>VLOOKUP(Table2[[#This Row],[Course]],Data!$A$1:$E$56,2,FALSE)</f>
        <v>A-493-0335</v>
      </c>
      <c r="D30" s="272" t="str">
        <f>VLOOKUP(Table2[[#This Row],[Course]],Data!$A$1:$E$56,3,FALSE)</f>
        <v>09ND</v>
      </c>
      <c r="E30" s="271" t="s">
        <v>116</v>
      </c>
      <c r="F30" s="327">
        <v>45229</v>
      </c>
      <c r="G30" s="327">
        <v>45232</v>
      </c>
      <c r="H30" s="327"/>
      <c r="I30" s="274">
        <v>0.5</v>
      </c>
      <c r="J30" s="344">
        <v>0.375</v>
      </c>
      <c r="K30" s="344">
        <v>0.79166666666666663</v>
      </c>
      <c r="L30" s="344">
        <v>0.75</v>
      </c>
      <c r="M30" s="344">
        <v>0.25</v>
      </c>
      <c r="N30" s="344">
        <v>4.1666666666666664E-2</v>
      </c>
      <c r="O30" s="271" t="s">
        <v>90</v>
      </c>
      <c r="P30" s="271"/>
      <c r="Q30" s="328" t="e">
        <v>#REF!</v>
      </c>
      <c r="R30" s="328" t="e">
        <v>#REF!</v>
      </c>
      <c r="S30" s="328"/>
      <c r="T30" s="301"/>
      <c r="U30" s="301"/>
      <c r="V30" s="275">
        <f>VLOOKUP(Table2[[#This Row],[Course]],Data!$A$1:$E$56,4,FALSE)</f>
        <v>30</v>
      </c>
      <c r="W30" s="275">
        <f>VLOOKUP(Table2[[#This Row],[Course]],Data!$A$1:$E$56,5,FALSE)</f>
        <v>4</v>
      </c>
      <c r="X30" s="275">
        <v>709</v>
      </c>
      <c r="Y30" s="275">
        <v>30</v>
      </c>
      <c r="Z30" s="275">
        <v>5</v>
      </c>
      <c r="AA30" s="275">
        <v>25</v>
      </c>
      <c r="AB30" s="276">
        <v>0</v>
      </c>
      <c r="AC30" s="275">
        <v>6</v>
      </c>
      <c r="AD30" s="275">
        <v>0</v>
      </c>
      <c r="AE30" s="275">
        <v>0</v>
      </c>
      <c r="AF30" s="271" t="s">
        <v>208</v>
      </c>
      <c r="AG30" s="277">
        <f ca="1">Table2[[#This Row],[End Date]]+2-TODAY()</f>
        <v>-298</v>
      </c>
      <c r="AH30" s="275">
        <f>IF(ISBLANK(Table2[[#This Row],[Roster Received By]]),1,0)</f>
        <v>0</v>
      </c>
      <c r="AI30" s="275">
        <f ca="1">IF(Table2[[#This Row],[Start Date]]&gt;TODAY(),1,)</f>
        <v>0</v>
      </c>
    </row>
    <row r="31" spans="1:35" s="345" customFormat="1" ht="14.25" customHeight="1" x14ac:dyDescent="0.25">
      <c r="A31" s="270"/>
      <c r="B31" s="325" t="s">
        <v>281</v>
      </c>
      <c r="C31" s="272" t="str">
        <f>VLOOKUP(Table2[[#This Row],[Course]],Data!$A$1:$E$56,2,FALSE)</f>
        <v>A-493-0550</v>
      </c>
      <c r="D31" s="272" t="str">
        <f>VLOOKUP(Table2[[#This Row],[Course]],Data!$A$1:$E$56,3,FALSE)</f>
        <v>09K5</v>
      </c>
      <c r="E31" s="271" t="s">
        <v>116</v>
      </c>
      <c r="F31" s="326">
        <v>45229</v>
      </c>
      <c r="G31" s="326">
        <v>45233</v>
      </c>
      <c r="H31" s="327"/>
      <c r="I31" s="274">
        <v>0.25</v>
      </c>
      <c r="J31" s="344">
        <v>0.125</v>
      </c>
      <c r="K31" s="344">
        <v>0.54166666666666663</v>
      </c>
      <c r="L31" s="344">
        <v>0.5</v>
      </c>
      <c r="M31" s="344">
        <v>0</v>
      </c>
      <c r="N31" s="344">
        <v>0.79166666666666663</v>
      </c>
      <c r="O31" s="271" t="s">
        <v>85</v>
      </c>
      <c r="P31" s="271"/>
      <c r="Q31" s="331" t="e">
        <v>#REF!</v>
      </c>
      <c r="R31" s="331" t="e">
        <v>#REF!</v>
      </c>
      <c r="S31" s="332"/>
      <c r="T31" s="270"/>
      <c r="U31" s="270"/>
      <c r="V31" s="275">
        <f>VLOOKUP(Table2[[#This Row],[Course]],Data!$A$1:$E$56,4,FALSE)</f>
        <v>45</v>
      </c>
      <c r="W31" s="275">
        <f>VLOOKUP(Table2[[#This Row],[Course]],Data!$A$1:$E$56,5,FALSE)</f>
        <v>4</v>
      </c>
      <c r="X31" s="275">
        <v>77</v>
      </c>
      <c r="Y31" s="275">
        <v>45</v>
      </c>
      <c r="Z31" s="275">
        <v>0</v>
      </c>
      <c r="AA31" s="275">
        <v>31</v>
      </c>
      <c r="AB31" s="276">
        <v>0</v>
      </c>
      <c r="AC31" s="275">
        <v>14</v>
      </c>
      <c r="AD31" s="275">
        <v>0</v>
      </c>
      <c r="AE31" s="275">
        <v>0</v>
      </c>
      <c r="AF31" s="271" t="s">
        <v>189</v>
      </c>
      <c r="AG31" s="277">
        <f ca="1">Table2[[#This Row],[End Date]]+2-TODAY()</f>
        <v>-297</v>
      </c>
      <c r="AH31" s="275">
        <f>IF(ISBLANK(Table2[[#This Row],[Roster Received By]]),1,0)</f>
        <v>0</v>
      </c>
      <c r="AI31" s="275">
        <f ca="1">IF(Table2[[#This Row],[Start Date]]&gt;TODAY(),1,)</f>
        <v>0</v>
      </c>
    </row>
    <row r="32" spans="1:35" s="345" customFormat="1" ht="14.25" customHeight="1" x14ac:dyDescent="0.25">
      <c r="A32" s="270"/>
      <c r="B32" s="325" t="s">
        <v>292</v>
      </c>
      <c r="C32" s="272" t="str">
        <f>VLOOKUP(Table2[[#This Row],[Course]],Data!$A$1:$E$56,2,FALSE)</f>
        <v>A-493-0078</v>
      </c>
      <c r="D32" s="272">
        <f>VLOOKUP(Table2[[#This Row],[Course]],Data!$A$1:$E$56,3,FALSE)</f>
        <v>1228</v>
      </c>
      <c r="E32" s="325" t="s">
        <v>116</v>
      </c>
      <c r="F32" s="326">
        <v>45229</v>
      </c>
      <c r="G32" s="326">
        <v>45233</v>
      </c>
      <c r="H32" s="327"/>
      <c r="I32" s="274">
        <v>0.41666666666666669</v>
      </c>
      <c r="J32" s="344">
        <v>0.29166666666666669</v>
      </c>
      <c r="K32" s="344">
        <v>0.70833333333333337</v>
      </c>
      <c r="L32" s="344">
        <v>0.66666666666666663</v>
      </c>
      <c r="M32" s="344">
        <v>0.16666666666666666</v>
      </c>
      <c r="N32" s="344">
        <v>0.95833333333333337</v>
      </c>
      <c r="O32" s="271" t="s">
        <v>80</v>
      </c>
      <c r="P32" s="271"/>
      <c r="Q32" s="331" t="e">
        <v>#REF!</v>
      </c>
      <c r="R32" s="331" t="e">
        <v>#REF!</v>
      </c>
      <c r="S32" s="332"/>
      <c r="T32" s="270"/>
      <c r="U32" s="270"/>
      <c r="V32" s="275">
        <f>VLOOKUP(Table2[[#This Row],[Course]],Data!$A$1:$E$56,4,FALSE)</f>
        <v>45</v>
      </c>
      <c r="W32" s="275">
        <f>VLOOKUP(Table2[[#This Row],[Course]],Data!$A$1:$E$56,5,FALSE)</f>
        <v>5</v>
      </c>
      <c r="X32" s="275">
        <v>543</v>
      </c>
      <c r="Y32" s="275">
        <v>45</v>
      </c>
      <c r="Z32" s="275">
        <v>0</v>
      </c>
      <c r="AA32" s="275">
        <v>39</v>
      </c>
      <c r="AB32" s="276">
        <v>1</v>
      </c>
      <c r="AC32" s="275">
        <v>5</v>
      </c>
      <c r="AD32" s="275">
        <v>0</v>
      </c>
      <c r="AE32" s="275">
        <v>0</v>
      </c>
      <c r="AF32" s="271" t="s">
        <v>189</v>
      </c>
      <c r="AG32" s="277">
        <f ca="1">Table2[[#This Row],[End Date]]+2-TODAY()</f>
        <v>-297</v>
      </c>
      <c r="AH32" s="275">
        <f>IF(ISBLANK(Table2[[#This Row],[Roster Received By]]),1,0)</f>
        <v>0</v>
      </c>
      <c r="AI32" s="275">
        <f ca="1">IF(Table2[[#This Row],[Start Date]]&gt;TODAY(),1,)</f>
        <v>0</v>
      </c>
    </row>
    <row r="33" spans="1:35" s="345" customFormat="1" ht="16.5" customHeight="1" x14ac:dyDescent="0.25">
      <c r="A33" s="270"/>
      <c r="B33" s="271" t="s">
        <v>38</v>
      </c>
      <c r="C33" s="272" t="str">
        <f>VLOOKUP(Table2[[#This Row],[Course]],Data!$A$1:$E$56,2,FALSE)</f>
        <v>A-493-0072</v>
      </c>
      <c r="D33" s="272" t="str">
        <f>VLOOKUP(Table2[[#This Row],[Course]],Data!$A$1:$E$56,3,FALSE)</f>
        <v>713U</v>
      </c>
      <c r="E33" s="356" t="s">
        <v>140</v>
      </c>
      <c r="F33" s="326">
        <v>45229</v>
      </c>
      <c r="G33" s="326">
        <v>45232</v>
      </c>
      <c r="H33" s="350">
        <v>0.33333333333333331</v>
      </c>
      <c r="I33" s="350"/>
      <c r="J33" s="327"/>
      <c r="K33" s="327"/>
      <c r="L33" s="327"/>
      <c r="M33" s="327"/>
      <c r="N33" s="327"/>
      <c r="O33" s="271" t="s">
        <v>86</v>
      </c>
      <c r="P33" s="271" t="s">
        <v>84</v>
      </c>
      <c r="Q33" s="331" t="e">
        <v>#REF!</v>
      </c>
      <c r="R33" s="331" t="e">
        <v>#REF!</v>
      </c>
      <c r="S33" s="331"/>
      <c r="T33" s="270"/>
      <c r="U33" s="270"/>
      <c r="V33" s="275">
        <f>VLOOKUP(Table2[[#This Row],[Course]],Data!$A$1:$E$56,4,FALSE)</f>
        <v>30</v>
      </c>
      <c r="W33" s="275">
        <f>VLOOKUP(Table2[[#This Row],[Course]],Data!$A$1:$E$56,5,FALSE)</f>
        <v>4</v>
      </c>
      <c r="X33" s="275">
        <v>235</v>
      </c>
      <c r="Y33" s="275">
        <v>29</v>
      </c>
      <c r="Z33" s="275">
        <v>3</v>
      </c>
      <c r="AA33" s="275">
        <v>26</v>
      </c>
      <c r="AB33" s="276">
        <v>0</v>
      </c>
      <c r="AC33" s="275">
        <v>4</v>
      </c>
      <c r="AD33" s="275">
        <v>3</v>
      </c>
      <c r="AE33" s="276">
        <v>0</v>
      </c>
      <c r="AF33" s="271" t="s">
        <v>208</v>
      </c>
      <c r="AG33" s="277">
        <f ca="1">Table2[[#This Row],[End Date]]+2-TODAY()</f>
        <v>-298</v>
      </c>
      <c r="AH33" s="275">
        <f>IF(ISBLANK(Table2[[#This Row],[Roster Received By]]),1,0)</f>
        <v>0</v>
      </c>
      <c r="AI33" s="275">
        <f ca="1">IF(Table2[[#This Row],[Start Date]]&gt;TODAY(),1,)</f>
        <v>0</v>
      </c>
    </row>
    <row r="34" spans="1:35" s="345" customFormat="1" ht="16.5" customHeight="1" x14ac:dyDescent="0.25">
      <c r="A34" s="270"/>
      <c r="B34" s="271" t="s">
        <v>19</v>
      </c>
      <c r="C34" s="272" t="str">
        <f>VLOOKUP(Table2[[#This Row],[Course]],Data!$A$1:$E$56,2,FALSE)</f>
        <v>A-493-0099</v>
      </c>
      <c r="D34" s="272" t="str">
        <f>VLOOKUP(Table2[[#This Row],[Course]],Data!$A$1:$E$56,3,FALSE)</f>
        <v>12JW</v>
      </c>
      <c r="E34" s="271" t="s">
        <v>116</v>
      </c>
      <c r="F34" s="327">
        <v>45230</v>
      </c>
      <c r="G34" s="327">
        <v>45232</v>
      </c>
      <c r="H34" s="327"/>
      <c r="I34" s="274">
        <v>0.54166666666666663</v>
      </c>
      <c r="J34" s="344">
        <v>0.41666666666666669</v>
      </c>
      <c r="K34" s="344">
        <v>0.83333333333333337</v>
      </c>
      <c r="L34" s="344">
        <v>0.79166666666666663</v>
      </c>
      <c r="M34" s="344">
        <v>0.29166666666666669</v>
      </c>
      <c r="N34" s="344">
        <v>8.3333333333333329E-2</v>
      </c>
      <c r="O34" s="271" t="s">
        <v>88</v>
      </c>
      <c r="P34" s="271"/>
      <c r="Q34" s="331" t="e">
        <v>#REF!</v>
      </c>
      <c r="R34" s="331" t="e">
        <v>#REF!</v>
      </c>
      <c r="S34" s="332"/>
      <c r="T34" s="270"/>
      <c r="U34" s="270"/>
      <c r="V34" s="275">
        <f>VLOOKUP(Table2[[#This Row],[Course]],Data!$A$1:$E$56,4,FALSE)</f>
        <v>45</v>
      </c>
      <c r="W34" s="275">
        <f>VLOOKUP(Table2[[#This Row],[Course]],Data!$A$1:$E$56,5,FALSE)</f>
        <v>3</v>
      </c>
      <c r="X34" s="275">
        <v>682</v>
      </c>
      <c r="Y34" s="275">
        <v>45</v>
      </c>
      <c r="Z34" s="275">
        <v>0</v>
      </c>
      <c r="AA34" s="275">
        <v>32</v>
      </c>
      <c r="AB34" s="276">
        <v>0</v>
      </c>
      <c r="AC34" s="275">
        <v>13</v>
      </c>
      <c r="AD34" s="275">
        <v>0</v>
      </c>
      <c r="AE34" s="276">
        <v>0</v>
      </c>
      <c r="AF34" s="271" t="s">
        <v>189</v>
      </c>
      <c r="AG34" s="277">
        <f ca="1">Table2[[#This Row],[End Date]]+2-TODAY()</f>
        <v>-298</v>
      </c>
      <c r="AH34" s="275">
        <f>IF(ISBLANK(Table2[[#This Row],[Roster Received By]]),1,0)</f>
        <v>0</v>
      </c>
      <c r="AI34" s="275">
        <f ca="1">IF(Table2[[#This Row],[Start Date]]&gt;TODAY(),1,)</f>
        <v>0</v>
      </c>
    </row>
    <row r="35" spans="1:35" s="345" customFormat="1" ht="14.25" customHeight="1" x14ac:dyDescent="0.25">
      <c r="A35" s="270"/>
      <c r="B35" s="271" t="s">
        <v>184</v>
      </c>
      <c r="C35" s="272" t="str">
        <f>VLOOKUP(Table2[[#This Row],[Course]],Data!$A$1:$E$56,2,FALSE)</f>
        <v>A-4J-0022</v>
      </c>
      <c r="D35" s="272" t="str">
        <f>VLOOKUP(Table2[[#This Row],[Course]],Data!$A$1:$E$56,3,FALSE)</f>
        <v>09ER</v>
      </c>
      <c r="E35" s="271" t="s">
        <v>116</v>
      </c>
      <c r="F35" s="273">
        <v>45236</v>
      </c>
      <c r="G35" s="327">
        <v>45240</v>
      </c>
      <c r="H35" s="327"/>
      <c r="I35" s="274">
        <v>0.33333333333333331</v>
      </c>
      <c r="J35" s="274">
        <v>0.20833333333333334</v>
      </c>
      <c r="K35" s="274">
        <v>0.66666666666666663</v>
      </c>
      <c r="L35" s="274">
        <v>0.58333333333333337</v>
      </c>
      <c r="M35" s="274">
        <v>0.125</v>
      </c>
      <c r="N35" s="274">
        <v>0.91666666666666663</v>
      </c>
      <c r="O35" s="270" t="s">
        <v>89</v>
      </c>
      <c r="P35" s="270" t="s">
        <v>187</v>
      </c>
      <c r="Q35" s="276" t="e">
        <v>#REF!</v>
      </c>
      <c r="R35" s="331" t="e">
        <v>#REF!</v>
      </c>
      <c r="S35" s="276"/>
      <c r="T35" s="270"/>
      <c r="U35" s="270"/>
      <c r="V35" s="275">
        <f>VLOOKUP(Table2[[#This Row],[Course]],Data!$A$1:$E$56,4,FALSE)</f>
        <v>45</v>
      </c>
      <c r="W35" s="275">
        <f>VLOOKUP(Table2[[#This Row],[Course]],Data!$A$1:$E$56,5,FALSE)</f>
        <v>5</v>
      </c>
      <c r="X35" s="275">
        <v>159</v>
      </c>
      <c r="Y35" s="275">
        <v>30</v>
      </c>
      <c r="Z35" s="275">
        <v>0</v>
      </c>
      <c r="AA35" s="275">
        <v>24</v>
      </c>
      <c r="AB35" s="276">
        <v>1</v>
      </c>
      <c r="AC35" s="275">
        <v>5</v>
      </c>
      <c r="AD35" s="275">
        <v>0</v>
      </c>
      <c r="AE35" s="275">
        <v>0</v>
      </c>
      <c r="AF35" s="271" t="s">
        <v>191</v>
      </c>
      <c r="AG35" s="277">
        <f ca="1">Table2[[#This Row],[End Date]]+2-TODAY()</f>
        <v>-290</v>
      </c>
      <c r="AH35" s="275">
        <f>IF(ISBLANK(Table2[[#This Row],[Roster Received By]]),1,0)</f>
        <v>0</v>
      </c>
      <c r="AI35" s="275">
        <f ca="1">IF(Table2[[#This Row],[Start Date]]&gt;TODAY(),1,)</f>
        <v>0</v>
      </c>
    </row>
    <row r="36" spans="1:35" s="345" customFormat="1" ht="14.25" customHeight="1" x14ac:dyDescent="0.25">
      <c r="A36" s="360" t="s">
        <v>487</v>
      </c>
      <c r="B36" s="340" t="s">
        <v>336</v>
      </c>
      <c r="C36" s="348" t="str">
        <f>VLOOKUP(Table2[[#This Row],[Course]],Data!$A$1:$E$56,2,FALSE)</f>
        <v>NA</v>
      </c>
      <c r="D36" s="348" t="str">
        <f>VLOOKUP(Table2[[#This Row],[Course]],Data!$A$1:$E$56,3,FALSE)</f>
        <v>NA</v>
      </c>
      <c r="E36" s="340" t="s">
        <v>140</v>
      </c>
      <c r="F36" s="352">
        <v>45236</v>
      </c>
      <c r="G36" s="352">
        <v>45247</v>
      </c>
      <c r="H36" s="351">
        <v>0</v>
      </c>
      <c r="I36" s="351">
        <v>0</v>
      </c>
      <c r="J36" s="351">
        <v>0</v>
      </c>
      <c r="K36" s="351">
        <v>0</v>
      </c>
      <c r="L36" s="351">
        <v>0</v>
      </c>
      <c r="M36" s="351">
        <v>0</v>
      </c>
      <c r="N36" s="351">
        <v>0</v>
      </c>
      <c r="O36" s="340"/>
      <c r="P36" s="340"/>
      <c r="Q36" s="338"/>
      <c r="R36" s="353"/>
      <c r="S36" s="338"/>
      <c r="T36" s="347"/>
      <c r="U36" s="347"/>
      <c r="V36" s="338">
        <v>0</v>
      </c>
      <c r="W36" s="353">
        <v>0</v>
      </c>
      <c r="X36" s="353">
        <v>0</v>
      </c>
      <c r="Y36" s="353">
        <v>0</v>
      </c>
      <c r="Z36" s="353">
        <v>0</v>
      </c>
      <c r="AA36" s="338">
        <v>0</v>
      </c>
      <c r="AB36" s="338">
        <v>0</v>
      </c>
      <c r="AC36" s="339">
        <v>0</v>
      </c>
      <c r="AD36" s="339">
        <v>0</v>
      </c>
      <c r="AE36" s="348">
        <v>0</v>
      </c>
      <c r="AF36" s="340" t="s">
        <v>194</v>
      </c>
      <c r="AG36" s="341">
        <f ca="1">Table2[[#This Row],[End Date]]+2-TODAY()</f>
        <v>-283</v>
      </c>
      <c r="AH36" s="339">
        <f>IF(ISBLANK(Table2[[#This Row],[Roster Received By]]),1,0)</f>
        <v>0</v>
      </c>
      <c r="AI36" s="339">
        <f ca="1">IF(Table2[[#This Row],[Start Date]]&gt;TODAY(),1,)</f>
        <v>0</v>
      </c>
    </row>
    <row r="37" spans="1:35" s="345" customFormat="1" ht="14.25" customHeight="1" x14ac:dyDescent="0.25">
      <c r="A37" s="340"/>
      <c r="B37" s="361" t="s">
        <v>270</v>
      </c>
      <c r="C37" s="348" t="str">
        <f>VLOOKUP(Table2[[#This Row],[Course]],Data!$A$1:$E$56,2,FALSE)</f>
        <v>A-493-0331</v>
      </c>
      <c r="D37" s="348" t="str">
        <f>VLOOKUP(Table2[[#This Row],[Course]],Data!$A$1:$E$56,3,FALSE)</f>
        <v>10UG</v>
      </c>
      <c r="E37" s="340" t="s">
        <v>116</v>
      </c>
      <c r="F37" s="352">
        <v>45237</v>
      </c>
      <c r="G37" s="352">
        <v>45239</v>
      </c>
      <c r="H37" s="351"/>
      <c r="I37" s="274">
        <v>0.33333333333333331</v>
      </c>
      <c r="J37" s="344">
        <v>0.20833333333333334</v>
      </c>
      <c r="K37" s="344">
        <v>0.625</v>
      </c>
      <c r="L37" s="344">
        <v>0.58333333333333337</v>
      </c>
      <c r="M37" s="344">
        <v>8.3333333333333329E-2</v>
      </c>
      <c r="N37" s="344">
        <v>0.875</v>
      </c>
      <c r="O37" s="340" t="s">
        <v>84</v>
      </c>
      <c r="P37" s="340" t="s">
        <v>86</v>
      </c>
      <c r="Q37" s="338"/>
      <c r="R37" s="353"/>
      <c r="S37" s="338"/>
      <c r="T37" s="347"/>
      <c r="U37" s="347"/>
      <c r="V37" s="338">
        <f>VLOOKUP(Table2[[#This Row],[Course]],Data!$A$1:$E$56,4,FALSE)</f>
        <v>40</v>
      </c>
      <c r="W37" s="353">
        <f>VLOOKUP(Table2[[#This Row],[Course]],Data!$A$1:$E$56,5,FALSE)</f>
        <v>3</v>
      </c>
      <c r="X37" s="353">
        <v>499</v>
      </c>
      <c r="Y37" s="353">
        <v>40</v>
      </c>
      <c r="Z37" s="353">
        <v>5</v>
      </c>
      <c r="AA37" s="338">
        <v>39</v>
      </c>
      <c r="AB37" s="338">
        <v>0</v>
      </c>
      <c r="AC37" s="339">
        <v>4</v>
      </c>
      <c r="AD37" s="339">
        <v>3</v>
      </c>
      <c r="AE37" s="338">
        <v>0</v>
      </c>
      <c r="AF37" s="340" t="s">
        <v>208</v>
      </c>
      <c r="AG37" s="341">
        <f ca="1">Table2[[#This Row],[End Date]]+2-TODAY()</f>
        <v>-291</v>
      </c>
      <c r="AH37" s="339">
        <f>IF(ISBLANK(Table2[[#This Row],[Roster Received By]]),1,0)</f>
        <v>0</v>
      </c>
      <c r="AI37" s="339">
        <f ca="1">IF(Table2[[#This Row],[Start Date]]&gt;TODAY(),1,)</f>
        <v>0</v>
      </c>
    </row>
    <row r="38" spans="1:35" s="345" customFormat="1" ht="14.25" customHeight="1" x14ac:dyDescent="0.25">
      <c r="A38" s="270" t="s">
        <v>488</v>
      </c>
      <c r="B38" s="271" t="s">
        <v>334</v>
      </c>
      <c r="C38" s="272" t="str">
        <f>VLOOKUP(Table2[[#This Row],[Course]],Data!$A$1:$E$56,2,FALSE)</f>
        <v>Holiday</v>
      </c>
      <c r="D38" s="272" t="str">
        <f>VLOOKUP(Table2[[#This Row],[Course]],Data!$A$1:$E$56,3,FALSE)</f>
        <v>Holiday</v>
      </c>
      <c r="E38" s="271"/>
      <c r="F38" s="327">
        <v>45240</v>
      </c>
      <c r="G38" s="327">
        <v>45240</v>
      </c>
      <c r="H38" s="344">
        <v>0</v>
      </c>
      <c r="I38" s="274">
        <v>0.33333333333333331</v>
      </c>
      <c r="J38" s="344">
        <v>0.20833333333333334</v>
      </c>
      <c r="K38" s="344">
        <v>0.625</v>
      </c>
      <c r="L38" s="344">
        <v>0.58333333333333337</v>
      </c>
      <c r="M38" s="344">
        <v>8.3333333333333329E-2</v>
      </c>
      <c r="N38" s="344">
        <v>0.875</v>
      </c>
      <c r="O38" s="271"/>
      <c r="P38" s="271"/>
      <c r="Q38" s="331" t="e">
        <v>#REF!</v>
      </c>
      <c r="R38" s="331" t="e">
        <v>#REF!</v>
      </c>
      <c r="S38" s="332">
        <v>0</v>
      </c>
      <c r="T38" s="270">
        <v>0</v>
      </c>
      <c r="U38" s="270">
        <v>0</v>
      </c>
      <c r="V38" s="275">
        <f>VLOOKUP(Table2[[#This Row],[Course]],Data!$A$1:$E$56,4,FALSE)</f>
        <v>0</v>
      </c>
      <c r="W38" s="275">
        <f>VLOOKUP(Table2[[#This Row],[Course]],Data!$A$1:$E$56,5,FALSE)</f>
        <v>0</v>
      </c>
      <c r="X38" s="275">
        <v>0</v>
      </c>
      <c r="Y38" s="275">
        <v>0</v>
      </c>
      <c r="Z38" s="275">
        <v>0</v>
      </c>
      <c r="AA38" s="275">
        <v>0</v>
      </c>
      <c r="AB38" s="276">
        <v>0</v>
      </c>
      <c r="AC38" s="275">
        <v>0</v>
      </c>
      <c r="AD38" s="275">
        <v>0</v>
      </c>
      <c r="AE38" s="275">
        <v>0</v>
      </c>
      <c r="AF38" s="271" t="s">
        <v>194</v>
      </c>
      <c r="AG38" s="277">
        <f ca="1">Table2[[#This Row],[End Date]]+2-TODAY()</f>
        <v>-290</v>
      </c>
      <c r="AH38" s="275">
        <f>IF(ISBLANK(Table2[[#This Row],[Roster Received By]]),1,0)</f>
        <v>0</v>
      </c>
      <c r="AI38" s="275">
        <f ca="1">IF(Table2[[#This Row],[Start Date]]&gt;TODAY(),1,)</f>
        <v>0</v>
      </c>
    </row>
    <row r="39" spans="1:35" s="359" customFormat="1" ht="14.25" customHeight="1" x14ac:dyDescent="0.25">
      <c r="A39" s="270"/>
      <c r="B39" s="271" t="s">
        <v>236</v>
      </c>
      <c r="C39" s="272" t="str">
        <f>VLOOKUP(Table2[[#This Row],[Course]],Data!$A$1:$E$56,2,FALSE)</f>
        <v>A-493-0103</v>
      </c>
      <c r="D39" s="272" t="str">
        <f>VLOOKUP(Table2[[#This Row],[Course]],Data!$A$1:$E$56,3,FALSE)</f>
        <v>12JY</v>
      </c>
      <c r="E39" s="271" t="s">
        <v>109</v>
      </c>
      <c r="F39" s="327">
        <v>45243</v>
      </c>
      <c r="G39" s="327">
        <v>45247</v>
      </c>
      <c r="H39" s="344">
        <v>0.33333333333333331</v>
      </c>
      <c r="I39" s="344"/>
      <c r="J39" s="327"/>
      <c r="K39" s="327"/>
      <c r="L39" s="327"/>
      <c r="M39" s="327"/>
      <c r="N39" s="327"/>
      <c r="O39" s="271" t="s">
        <v>94</v>
      </c>
      <c r="P39" s="271"/>
      <c r="Q39" s="298" t="e">
        <v>#REF!</v>
      </c>
      <c r="R39" s="298" t="e">
        <v>#REF!</v>
      </c>
      <c r="S39" s="357"/>
      <c r="T39" s="301"/>
      <c r="U39" s="301"/>
      <c r="V39" s="275">
        <f>VLOOKUP(Table2[[#This Row],[Course]],Data!$A$1:$E$56,4,FALSE)</f>
        <v>25</v>
      </c>
      <c r="W39" s="275">
        <f>VLOOKUP(Table2[[#This Row],[Course]],Data!$A$1:$E$56,5,FALSE)</f>
        <v>5</v>
      </c>
      <c r="X39" s="275">
        <v>152</v>
      </c>
      <c r="Y39" s="275">
        <v>25</v>
      </c>
      <c r="Z39" s="275">
        <v>2</v>
      </c>
      <c r="AA39" s="275">
        <v>13</v>
      </c>
      <c r="AB39" s="276">
        <v>0</v>
      </c>
      <c r="AC39" s="275">
        <v>12</v>
      </c>
      <c r="AD39" s="275">
        <v>1</v>
      </c>
      <c r="AE39" s="275">
        <v>0</v>
      </c>
      <c r="AF39" s="271" t="s">
        <v>189</v>
      </c>
      <c r="AG39" s="277">
        <f ca="1">Table2[[#This Row],[End Date]]+2-TODAY()</f>
        <v>-283</v>
      </c>
      <c r="AH39" s="275">
        <f>IF(ISBLANK(Table2[[#This Row],[Roster Received By]]),1,0)</f>
        <v>0</v>
      </c>
      <c r="AI39" s="275">
        <f ca="1">IF(Table2[[#This Row],[Start Date]]&gt;TODAY(),1,)</f>
        <v>0</v>
      </c>
    </row>
    <row r="40" spans="1:35" s="345" customFormat="1" ht="16.5" customHeight="1" x14ac:dyDescent="0.25">
      <c r="A40" s="272"/>
      <c r="B40" s="271" t="s">
        <v>243</v>
      </c>
      <c r="C40" s="272" t="str">
        <f>VLOOKUP(Table2[[#This Row],[Course]],Data!$A$1:$E$56,2,FALSE)</f>
        <v>A-493-0061</v>
      </c>
      <c r="D40" s="272" t="str">
        <f>VLOOKUP(Table2[[#This Row],[Course]],Data!$A$1:$E$56,3,FALSE)</f>
        <v>288E</v>
      </c>
      <c r="E40" s="271" t="s">
        <v>116</v>
      </c>
      <c r="F40" s="336">
        <v>45243</v>
      </c>
      <c r="G40" s="336">
        <v>45247</v>
      </c>
      <c r="H40" s="273"/>
      <c r="I40" s="274">
        <v>0.41666666666666669</v>
      </c>
      <c r="J40" s="274">
        <v>0.29166666666666669</v>
      </c>
      <c r="K40" s="274">
        <v>0.75</v>
      </c>
      <c r="L40" s="274">
        <v>0.66666666666666663</v>
      </c>
      <c r="M40" s="274">
        <v>0.20833333333333334</v>
      </c>
      <c r="N40" s="274">
        <v>0</v>
      </c>
      <c r="O40" s="271" t="s">
        <v>92</v>
      </c>
      <c r="P40" s="271"/>
      <c r="Q40" s="362" t="e">
        <v>#REF!</v>
      </c>
      <c r="R40" s="328" t="e">
        <v>#REF!</v>
      </c>
      <c r="S40" s="362"/>
      <c r="T40" s="363"/>
      <c r="U40" s="363"/>
      <c r="V40" s="275">
        <f>VLOOKUP(Table2[[#This Row],[Course]],Data!$A$1:$E$56,4,FALSE)</f>
        <v>45</v>
      </c>
      <c r="W40" s="275">
        <f>VLOOKUP(Table2[[#This Row],[Course]],Data!$A$1:$E$56,5,FALSE)</f>
        <v>5</v>
      </c>
      <c r="X40" s="275">
        <v>430</v>
      </c>
      <c r="Y40" s="275">
        <v>44</v>
      </c>
      <c r="Z40" s="275">
        <v>0</v>
      </c>
      <c r="AA40" s="342">
        <v>39</v>
      </c>
      <c r="AB40" s="276">
        <v>0</v>
      </c>
      <c r="AC40" s="275">
        <v>5</v>
      </c>
      <c r="AD40" s="275">
        <v>0</v>
      </c>
      <c r="AE40" s="275">
        <v>0</v>
      </c>
      <c r="AF40" s="271" t="s">
        <v>189</v>
      </c>
      <c r="AG40" s="277">
        <f ca="1">Table2[[#This Row],[End Date]]+2-TODAY()</f>
        <v>-283</v>
      </c>
      <c r="AH40" s="275">
        <f>IF(ISBLANK(Table2[[#This Row],[Roster Received By]]),1,0)</f>
        <v>0</v>
      </c>
      <c r="AI40" s="275">
        <f ca="1">IF(Table2[[#This Row],[Start Date]]&gt;TODAY(),1,)</f>
        <v>0</v>
      </c>
    </row>
    <row r="41" spans="1:35" s="345" customFormat="1" ht="16.5" customHeight="1" x14ac:dyDescent="0.25">
      <c r="A41" s="270"/>
      <c r="B41" s="325" t="s">
        <v>281</v>
      </c>
      <c r="C41" s="272" t="str">
        <f>VLOOKUP(Table2[[#This Row],[Course]],Data!$A$1:$E$56,2,FALSE)</f>
        <v>A-493-0550</v>
      </c>
      <c r="D41" s="272" t="str">
        <f>VLOOKUP(Table2[[#This Row],[Course]],Data!$A$1:$E$56,3,FALSE)</f>
        <v>09K5</v>
      </c>
      <c r="E41" s="271" t="s">
        <v>116</v>
      </c>
      <c r="F41" s="336">
        <v>45243</v>
      </c>
      <c r="G41" s="336">
        <v>45247</v>
      </c>
      <c r="H41" s="273"/>
      <c r="I41" s="274">
        <v>0.33333333333333331</v>
      </c>
      <c r="J41" s="274">
        <v>0.20833333333333334</v>
      </c>
      <c r="K41" s="274">
        <v>0.66666666666666663</v>
      </c>
      <c r="L41" s="274">
        <v>0.58333333333333337</v>
      </c>
      <c r="M41" s="274">
        <v>0.125</v>
      </c>
      <c r="N41" s="274">
        <v>0.91666666666666663</v>
      </c>
      <c r="O41" s="271" t="s">
        <v>85</v>
      </c>
      <c r="P41" s="271"/>
      <c r="Q41" s="331" t="e">
        <v>#REF!</v>
      </c>
      <c r="R41" s="331" t="e">
        <v>#REF!</v>
      </c>
      <c r="S41" s="332"/>
      <c r="T41" s="270"/>
      <c r="U41" s="270"/>
      <c r="V41" s="275">
        <f>VLOOKUP(Table2[[#This Row],[Course]],Data!$A$1:$E$56,4,FALSE)</f>
        <v>45</v>
      </c>
      <c r="W41" s="275">
        <f>VLOOKUP(Table2[[#This Row],[Course]],Data!$A$1:$E$56,5,FALSE)</f>
        <v>4</v>
      </c>
      <c r="X41" s="275">
        <v>480</v>
      </c>
      <c r="Y41" s="275">
        <v>45</v>
      </c>
      <c r="Z41" s="275">
        <v>0</v>
      </c>
      <c r="AA41" s="275">
        <v>33</v>
      </c>
      <c r="AB41" s="276">
        <v>1</v>
      </c>
      <c r="AC41" s="275">
        <v>10</v>
      </c>
      <c r="AD41" s="275">
        <v>2</v>
      </c>
      <c r="AE41" s="275">
        <v>0</v>
      </c>
      <c r="AF41" s="271" t="s">
        <v>205</v>
      </c>
      <c r="AG41" s="277">
        <f ca="1">Table2[[#This Row],[End Date]]+2-TODAY()</f>
        <v>-283</v>
      </c>
      <c r="AH41" s="275">
        <f>IF(ISBLANK(Table2[[#This Row],[Roster Received By]]),1,0)</f>
        <v>0</v>
      </c>
      <c r="AI41" s="275">
        <f ca="1">IF(Table2[[#This Row],[Start Date]]&gt;TODAY(),1,)</f>
        <v>0</v>
      </c>
    </row>
    <row r="42" spans="1:35" s="345" customFormat="1" ht="14.25" customHeight="1" x14ac:dyDescent="0.25">
      <c r="A42" s="270"/>
      <c r="B42" s="271" t="s">
        <v>292</v>
      </c>
      <c r="C42" s="272" t="str">
        <f>VLOOKUP(Table2[[#This Row],[Course]],Data!$A$1:$E$56,2,FALSE)</f>
        <v>A-493-0078</v>
      </c>
      <c r="D42" s="272">
        <f>VLOOKUP(Table2[[#This Row],[Course]],Data!$A$1:$E$56,3,FALSE)</f>
        <v>1228</v>
      </c>
      <c r="E42" s="325" t="s">
        <v>116</v>
      </c>
      <c r="F42" s="336">
        <v>45243</v>
      </c>
      <c r="G42" s="336">
        <v>45247</v>
      </c>
      <c r="H42" s="273"/>
      <c r="I42" s="274">
        <v>0.54166666666666663</v>
      </c>
      <c r="J42" s="274">
        <v>0.41666666666666669</v>
      </c>
      <c r="K42" s="274">
        <v>0.875</v>
      </c>
      <c r="L42" s="274">
        <v>0.79166666666666663</v>
      </c>
      <c r="M42" s="274">
        <v>0.33333333333333331</v>
      </c>
      <c r="N42" s="274">
        <v>0.125</v>
      </c>
      <c r="O42" s="271" t="s">
        <v>80</v>
      </c>
      <c r="P42" s="271"/>
      <c r="Q42" s="331" t="e">
        <v>#REF!</v>
      </c>
      <c r="R42" s="331" t="e">
        <v>#REF!</v>
      </c>
      <c r="S42" s="332"/>
      <c r="T42" s="270"/>
      <c r="U42" s="270"/>
      <c r="V42" s="275">
        <f>VLOOKUP(Table2[[#This Row],[Course]],Data!$A$1:$E$56,4,FALSE)</f>
        <v>45</v>
      </c>
      <c r="W42" s="275">
        <f>VLOOKUP(Table2[[#This Row],[Course]],Data!$A$1:$E$56,5,FALSE)</f>
        <v>5</v>
      </c>
      <c r="X42" s="275">
        <v>836</v>
      </c>
      <c r="Y42" s="275">
        <v>42</v>
      </c>
      <c r="Z42" s="275">
        <v>0</v>
      </c>
      <c r="AA42" s="275">
        <v>36</v>
      </c>
      <c r="AB42" s="276">
        <v>0</v>
      </c>
      <c r="AC42" s="275">
        <v>4</v>
      </c>
      <c r="AD42" s="275">
        <v>0</v>
      </c>
      <c r="AE42" s="275">
        <v>0</v>
      </c>
      <c r="AF42" s="271" t="s">
        <v>205</v>
      </c>
      <c r="AG42" s="277">
        <f ca="1">Table2[[#This Row],[End Date]]+2-TODAY()</f>
        <v>-283</v>
      </c>
      <c r="AH42" s="275">
        <f>IF(ISBLANK(Table2[[#This Row],[Roster Received By]]),1,0)</f>
        <v>0</v>
      </c>
      <c r="AI42" s="275">
        <f ca="1">IF(Table2[[#This Row],[Start Date]]&gt;TODAY(),1,)</f>
        <v>0</v>
      </c>
    </row>
    <row r="43" spans="1:35" s="345" customFormat="1" ht="14.25" customHeight="1" x14ac:dyDescent="0.25">
      <c r="A43" s="270"/>
      <c r="B43" s="325" t="s">
        <v>34</v>
      </c>
      <c r="C43" s="272" t="str">
        <f>VLOOKUP(Table2[[#This Row],[Course]],Data!$A$1:$E$56,2,FALSE)</f>
        <v>A-493-0085</v>
      </c>
      <c r="D43" s="272">
        <f>VLOOKUP(Table2[[#This Row],[Course]],Data!$A$1:$E$56,3,FALSE)</f>
        <v>3555</v>
      </c>
      <c r="E43" s="325" t="s">
        <v>116</v>
      </c>
      <c r="F43" s="327">
        <v>45243</v>
      </c>
      <c r="G43" s="327">
        <v>45246</v>
      </c>
      <c r="H43" s="327"/>
      <c r="I43" s="274">
        <v>800.33333333333337</v>
      </c>
      <c r="J43" s="274">
        <v>0.375</v>
      </c>
      <c r="K43" s="274">
        <v>0.79166666666666663</v>
      </c>
      <c r="L43" s="274">
        <v>0.70833333333333337</v>
      </c>
      <c r="M43" s="274">
        <v>0.25</v>
      </c>
      <c r="N43" s="274">
        <v>4.1666666666666664E-2</v>
      </c>
      <c r="O43" s="271" t="s">
        <v>81</v>
      </c>
      <c r="P43" s="271" t="s">
        <v>86</v>
      </c>
      <c r="Q43" s="328" t="e">
        <v>#REF!</v>
      </c>
      <c r="R43" s="328" t="e">
        <v>#REF!</v>
      </c>
      <c r="S43" s="357"/>
      <c r="T43" s="301"/>
      <c r="U43" s="301"/>
      <c r="V43" s="275">
        <f>VLOOKUP(Table2[[#This Row],[Course]],Data!$A$1:$E$56,4,FALSE)</f>
        <v>30</v>
      </c>
      <c r="W43" s="275">
        <f>VLOOKUP(Table2[[#This Row],[Course]],Data!$A$1:$E$56,5,FALSE)</f>
        <v>4</v>
      </c>
      <c r="X43" s="275">
        <v>366</v>
      </c>
      <c r="Y43" s="275">
        <v>30</v>
      </c>
      <c r="Z43" s="275">
        <v>4</v>
      </c>
      <c r="AA43" s="275">
        <v>28</v>
      </c>
      <c r="AB43" s="276">
        <v>1</v>
      </c>
      <c r="AC43" s="275">
        <v>5</v>
      </c>
      <c r="AD43" s="275">
        <v>0</v>
      </c>
      <c r="AE43" s="275">
        <v>0</v>
      </c>
      <c r="AF43" s="271" t="s">
        <v>208</v>
      </c>
      <c r="AG43" s="277">
        <f ca="1">Table2[[#This Row],[End Date]]+2-TODAY()</f>
        <v>-284</v>
      </c>
      <c r="AH43" s="275">
        <f>IF(ISBLANK(Table2[[#This Row],[Roster Received By]]),1,0)</f>
        <v>0</v>
      </c>
      <c r="AI43" s="275">
        <f ca="1">IF(Table2[[#This Row],[Start Date]]&gt;TODAY(),1,)</f>
        <v>0</v>
      </c>
    </row>
    <row r="44" spans="1:35" s="345" customFormat="1" ht="14.25" customHeight="1" x14ac:dyDescent="0.25">
      <c r="A44" s="270"/>
      <c r="B44" s="271" t="s">
        <v>19</v>
      </c>
      <c r="C44" s="272" t="str">
        <f>VLOOKUP(Table2[[#This Row],[Course]],Data!$A$1:$E$56,2,FALSE)</f>
        <v>A-493-0099</v>
      </c>
      <c r="D44" s="272" t="str">
        <f>VLOOKUP(Table2[[#This Row],[Course]],Data!$A$1:$E$56,3,FALSE)</f>
        <v>12JW</v>
      </c>
      <c r="E44" s="271" t="s">
        <v>116</v>
      </c>
      <c r="F44" s="273">
        <v>45244</v>
      </c>
      <c r="G44" s="273">
        <v>45246</v>
      </c>
      <c r="H44" s="273"/>
      <c r="I44" s="274">
        <v>0.29166666666666669</v>
      </c>
      <c r="J44" s="274">
        <v>0.16666666666666666</v>
      </c>
      <c r="K44" s="274">
        <v>0.625</v>
      </c>
      <c r="L44" s="274">
        <v>0.54166666666666663</v>
      </c>
      <c r="M44" s="274">
        <v>8.3333333333333329E-2</v>
      </c>
      <c r="N44" s="274">
        <v>0.875</v>
      </c>
      <c r="O44" s="271" t="s">
        <v>88</v>
      </c>
      <c r="P44" s="271"/>
      <c r="Q44" s="331" t="e">
        <v>#REF!</v>
      </c>
      <c r="R44" s="331" t="e">
        <v>#REF!</v>
      </c>
      <c r="S44" s="332"/>
      <c r="T44" s="270"/>
      <c r="U44" s="270"/>
      <c r="V44" s="275">
        <f>VLOOKUP(Table2[[#This Row],[Course]],Data!$A$1:$E$56,4,FALSE)</f>
        <v>45</v>
      </c>
      <c r="W44" s="275">
        <f>VLOOKUP(Table2[[#This Row],[Course]],Data!$A$1:$E$56,5,FALSE)</f>
        <v>3</v>
      </c>
      <c r="X44" s="275">
        <v>50</v>
      </c>
      <c r="Y44" s="275">
        <v>45</v>
      </c>
      <c r="Z44" s="275">
        <v>0</v>
      </c>
      <c r="AA44" s="275">
        <v>41</v>
      </c>
      <c r="AB44" s="276">
        <v>0</v>
      </c>
      <c r="AC44" s="275">
        <v>4</v>
      </c>
      <c r="AD44" s="275">
        <v>0</v>
      </c>
      <c r="AE44" s="272">
        <v>0</v>
      </c>
      <c r="AF44" s="271" t="s">
        <v>189</v>
      </c>
      <c r="AG44" s="277">
        <f ca="1">Table2[[#This Row],[End Date]]+2-TODAY()</f>
        <v>-284</v>
      </c>
      <c r="AH44" s="275">
        <f>IF(ISBLANK(Table2[[#This Row],[Roster Received By]]),1,0)</f>
        <v>0</v>
      </c>
      <c r="AI44" s="275">
        <f ca="1">IF(Table2[[#This Row],[Start Date]]&gt;TODAY(),1,)</f>
        <v>0</v>
      </c>
    </row>
    <row r="45" spans="1:35" s="345" customFormat="1" ht="16.5" customHeight="1" x14ac:dyDescent="0.25">
      <c r="A45" s="270"/>
      <c r="B45" s="271" t="s">
        <v>24</v>
      </c>
      <c r="C45" s="272" t="str">
        <f>VLOOKUP(Table2[[#This Row],[Course]],Data!$A$1:$E$56,2,FALSE)</f>
        <v>A-493-0083</v>
      </c>
      <c r="D45" s="272" t="str">
        <f>VLOOKUP(Table2[[#This Row],[Course]],Data!$A$1:$E$56,3,FALSE)</f>
        <v>339E</v>
      </c>
      <c r="E45" s="325" t="s">
        <v>116</v>
      </c>
      <c r="F45" s="336">
        <v>45244</v>
      </c>
      <c r="G45" s="336">
        <v>45244</v>
      </c>
      <c r="H45" s="273"/>
      <c r="I45" s="274">
        <v>0.33333333333333331</v>
      </c>
      <c r="J45" s="274">
        <v>0.20833333333333334</v>
      </c>
      <c r="K45" s="274">
        <v>0.66666666666666663</v>
      </c>
      <c r="L45" s="274">
        <v>0.58333333333333337</v>
      </c>
      <c r="M45" s="274">
        <v>0.125</v>
      </c>
      <c r="N45" s="274">
        <v>0.91666666666666663</v>
      </c>
      <c r="O45" s="271" t="s">
        <v>78</v>
      </c>
      <c r="P45" s="271"/>
      <c r="Q45" s="298" t="e">
        <v>#REF!</v>
      </c>
      <c r="R45" s="328" t="e">
        <v>#REF!</v>
      </c>
      <c r="S45" s="298"/>
      <c r="T45" s="301"/>
      <c r="U45" s="301"/>
      <c r="V45" s="275">
        <f>VLOOKUP(Table2[[#This Row],[Course]],Data!$A$1:$E$56,4,FALSE)</f>
        <v>30</v>
      </c>
      <c r="W45" s="275">
        <f>VLOOKUP(Table2[[#This Row],[Course]],Data!$A$1:$E$56,5,FALSE)</f>
        <v>1</v>
      </c>
      <c r="X45" s="275">
        <v>0</v>
      </c>
      <c r="Y45" s="275">
        <v>27</v>
      </c>
      <c r="Z45" s="275">
        <v>0</v>
      </c>
      <c r="AA45" s="275">
        <v>27</v>
      </c>
      <c r="AB45" s="276">
        <v>0</v>
      </c>
      <c r="AC45" s="275">
        <v>5</v>
      </c>
      <c r="AD45" s="275">
        <v>5</v>
      </c>
      <c r="AE45" s="275">
        <v>0</v>
      </c>
      <c r="AF45" s="271" t="s">
        <v>191</v>
      </c>
      <c r="AG45" s="277">
        <f ca="1">Table2[[#This Row],[End Date]]+2-TODAY()</f>
        <v>-286</v>
      </c>
      <c r="AH45" s="275">
        <f>IF(ISBLANK(Table2[[#This Row],[Roster Received By]]),1,0)</f>
        <v>0</v>
      </c>
      <c r="AI45" s="275">
        <f ca="1">IF(Table2[[#This Row],[Start Date]]&gt;TODAY(),1,)</f>
        <v>0</v>
      </c>
    </row>
    <row r="46" spans="1:35" s="345" customFormat="1" ht="16.5" customHeight="1" x14ac:dyDescent="0.25">
      <c r="A46" s="270"/>
      <c r="B46" s="325" t="s">
        <v>28</v>
      </c>
      <c r="C46" s="272" t="str">
        <f>VLOOKUP(Table2[[#This Row],[Course]],Data!$A$1:$E$56,2,FALSE)</f>
        <v>A-493-0092</v>
      </c>
      <c r="D46" s="272">
        <f>VLOOKUP(Table2[[#This Row],[Course]],Data!$A$1:$E$56,3,FALSE)</f>
        <v>5891</v>
      </c>
      <c r="E46" s="346" t="s">
        <v>141</v>
      </c>
      <c r="F46" s="327">
        <v>45244</v>
      </c>
      <c r="G46" s="327">
        <v>45246</v>
      </c>
      <c r="H46" s="344">
        <v>0.33333333333333331</v>
      </c>
      <c r="I46" s="344"/>
      <c r="J46" s="327"/>
      <c r="K46" s="327"/>
      <c r="L46" s="327"/>
      <c r="M46" s="327"/>
      <c r="N46" s="327"/>
      <c r="O46" s="271" t="s">
        <v>84</v>
      </c>
      <c r="P46" s="271" t="s">
        <v>187</v>
      </c>
      <c r="Q46" s="331" t="e">
        <v>#REF!</v>
      </c>
      <c r="R46" s="331" t="e">
        <v>#REF!</v>
      </c>
      <c r="S46" s="332"/>
      <c r="T46" s="270"/>
      <c r="U46" s="270"/>
      <c r="V46" s="275">
        <f>VLOOKUP(Table2[[#This Row],[Course]],Data!$A$1:$E$56,4,FALSE)</f>
        <v>25</v>
      </c>
      <c r="W46" s="275">
        <f>VLOOKUP(Table2[[#This Row],[Course]],Data!$A$1:$E$56,5,FALSE)</f>
        <v>3</v>
      </c>
      <c r="X46" s="275">
        <v>192</v>
      </c>
      <c r="Y46" s="275">
        <v>12</v>
      </c>
      <c r="Z46" s="275">
        <v>0</v>
      </c>
      <c r="AA46" s="275">
        <v>10</v>
      </c>
      <c r="AB46" s="276">
        <v>0</v>
      </c>
      <c r="AC46" s="275">
        <v>2</v>
      </c>
      <c r="AD46" s="275">
        <v>0</v>
      </c>
      <c r="AE46" s="275">
        <v>0</v>
      </c>
      <c r="AF46" s="271" t="s">
        <v>205</v>
      </c>
      <c r="AG46" s="277">
        <f ca="1">Table2[[#This Row],[End Date]]+2-TODAY()</f>
        <v>-284</v>
      </c>
      <c r="AH46" s="275">
        <f>IF(ISBLANK(Table2[[#This Row],[Roster Received By]]),1,0)</f>
        <v>0</v>
      </c>
      <c r="AI46" s="275">
        <f ca="1">IF(Table2[[#This Row],[Start Date]]&gt;TODAY(),1,)</f>
        <v>0</v>
      </c>
    </row>
    <row r="47" spans="1:35" s="345" customFormat="1" ht="14.25" customHeight="1" x14ac:dyDescent="0.25">
      <c r="A47" s="347" t="s">
        <v>489</v>
      </c>
      <c r="B47" s="340" t="s">
        <v>339</v>
      </c>
      <c r="C47" s="348" t="str">
        <f>VLOOKUP(Table2[[#This Row],[Course]],Data!$A$1:$E$56,2,FALSE)</f>
        <v>NA</v>
      </c>
      <c r="D47" s="348" t="str">
        <f>VLOOKUP(Table2[[#This Row],[Course]],Data!$A$1:$E$56,3,FALSE)</f>
        <v>NA</v>
      </c>
      <c r="E47" s="340" t="s">
        <v>140</v>
      </c>
      <c r="F47" s="375">
        <v>45251</v>
      </c>
      <c r="G47" s="375">
        <v>45251</v>
      </c>
      <c r="H47" s="365" t="s">
        <v>490</v>
      </c>
      <c r="I47" s="351"/>
      <c r="J47" s="352"/>
      <c r="K47" s="352"/>
      <c r="L47" s="352"/>
      <c r="M47" s="352"/>
      <c r="N47" s="352"/>
      <c r="O47" s="340"/>
      <c r="P47" s="340"/>
      <c r="Q47" s="338"/>
      <c r="R47" s="353"/>
      <c r="S47" s="338"/>
      <c r="T47" s="347"/>
      <c r="U47" s="347"/>
      <c r="V47" s="338"/>
      <c r="W47" s="353"/>
      <c r="X47" s="353">
        <v>0</v>
      </c>
      <c r="Y47" s="353">
        <v>0</v>
      </c>
      <c r="Z47" s="353">
        <v>0</v>
      </c>
      <c r="AA47" s="338"/>
      <c r="AB47" s="338"/>
      <c r="AC47" s="339"/>
      <c r="AD47" s="339"/>
      <c r="AE47" s="339"/>
      <c r="AF47" s="340" t="s">
        <v>194</v>
      </c>
      <c r="AG47" s="341">
        <f ca="1">Table2[[#This Row],[End Date]]+2-TODAY()</f>
        <v>-279</v>
      </c>
      <c r="AH47" s="339">
        <f>IF(ISBLANK(Table2[[#This Row],[Roster Received By]]),1,0)</f>
        <v>0</v>
      </c>
      <c r="AI47" s="339">
        <f ca="1">IF(Table2[[#This Row],[Start Date]]&gt;TODAY(),1,)</f>
        <v>0</v>
      </c>
    </row>
    <row r="48" spans="1:35" s="345" customFormat="1" ht="14.25" customHeight="1" x14ac:dyDescent="0.25">
      <c r="A48" s="270" t="s">
        <v>491</v>
      </c>
      <c r="B48" s="271" t="s">
        <v>334</v>
      </c>
      <c r="C48" s="272" t="str">
        <f>VLOOKUP(Table2[[#This Row],[Course]],Data!$A$1:$E$56,2,FALSE)</f>
        <v>Holiday</v>
      </c>
      <c r="D48" s="272" t="str">
        <f>VLOOKUP(Table2[[#This Row],[Course]],Data!$A$1:$E$56,3,FALSE)</f>
        <v>Holiday</v>
      </c>
      <c r="E48" s="271"/>
      <c r="F48" s="327">
        <v>45253</v>
      </c>
      <c r="G48" s="327">
        <v>45253</v>
      </c>
      <c r="H48" s="344">
        <v>0</v>
      </c>
      <c r="I48" s="344">
        <v>0</v>
      </c>
      <c r="J48" s="344">
        <v>0</v>
      </c>
      <c r="K48" s="344">
        <v>0</v>
      </c>
      <c r="L48" s="344">
        <v>0</v>
      </c>
      <c r="M48" s="344">
        <v>0</v>
      </c>
      <c r="N48" s="344">
        <v>0</v>
      </c>
      <c r="O48" s="271"/>
      <c r="P48" s="271"/>
      <c r="Q48" s="331" t="e">
        <v>#REF!</v>
      </c>
      <c r="R48" s="331" t="e">
        <v>#REF!</v>
      </c>
      <c r="S48" s="332">
        <v>0</v>
      </c>
      <c r="T48" s="270">
        <v>0</v>
      </c>
      <c r="U48" s="270">
        <v>0</v>
      </c>
      <c r="V48" s="275">
        <f>VLOOKUP(Table2[[#This Row],[Course]],Data!$A$1:$E$56,4,FALSE)</f>
        <v>0</v>
      </c>
      <c r="W48" s="275">
        <f>VLOOKUP(Table2[[#This Row],[Course]],Data!$A$1:$E$56,5,FALSE)</f>
        <v>0</v>
      </c>
      <c r="X48" s="275">
        <v>0</v>
      </c>
      <c r="Y48" s="275">
        <v>0</v>
      </c>
      <c r="Z48" s="275">
        <v>0</v>
      </c>
      <c r="AA48" s="275">
        <v>0</v>
      </c>
      <c r="AB48" s="276">
        <v>0</v>
      </c>
      <c r="AC48" s="275">
        <v>0</v>
      </c>
      <c r="AD48" s="275">
        <v>0</v>
      </c>
      <c r="AE48" s="275">
        <v>0</v>
      </c>
      <c r="AF48" s="271" t="s">
        <v>194</v>
      </c>
      <c r="AG48" s="277">
        <f ca="1">Table2[[#This Row],[End Date]]+2-TODAY()</f>
        <v>-277</v>
      </c>
      <c r="AH48" s="275">
        <f>IF(ISBLANK(Table2[[#This Row],[Roster Received By]]),1,0)</f>
        <v>0</v>
      </c>
      <c r="AI48" s="275">
        <f ca="1">IF(Table2[[#This Row],[Start Date]]&gt;TODAY(),1,)</f>
        <v>0</v>
      </c>
    </row>
    <row r="49" spans="1:35" s="345" customFormat="1" ht="14.25" customHeight="1" x14ac:dyDescent="0.25">
      <c r="A49" s="347" t="s">
        <v>492</v>
      </c>
      <c r="B49" s="340" t="s">
        <v>336</v>
      </c>
      <c r="C49" s="348" t="str">
        <f>VLOOKUP(Table2[[#This Row],[Course]],Data!$A$1:$E$56,2,FALSE)</f>
        <v>NA</v>
      </c>
      <c r="D49" s="348" t="str">
        <f>VLOOKUP(Table2[[#This Row],[Course]],Data!$A$1:$E$56,3,FALSE)</f>
        <v>NA</v>
      </c>
      <c r="E49" s="340" t="s">
        <v>141</v>
      </c>
      <c r="F49" s="352">
        <v>45257</v>
      </c>
      <c r="G49" s="352">
        <v>45261</v>
      </c>
      <c r="H49" s="351">
        <v>0</v>
      </c>
      <c r="I49" s="351">
        <v>0</v>
      </c>
      <c r="J49" s="351">
        <v>0</v>
      </c>
      <c r="K49" s="351">
        <v>0</v>
      </c>
      <c r="L49" s="351">
        <v>0</v>
      </c>
      <c r="M49" s="351">
        <v>0</v>
      </c>
      <c r="N49" s="351">
        <v>0</v>
      </c>
      <c r="O49" s="340"/>
      <c r="P49" s="340"/>
      <c r="Q49" s="338"/>
      <c r="R49" s="353"/>
      <c r="S49" s="338"/>
      <c r="T49" s="347"/>
      <c r="U49" s="347"/>
      <c r="V49" s="338">
        <v>0</v>
      </c>
      <c r="W49" s="353">
        <v>0</v>
      </c>
      <c r="X49" s="353">
        <v>0</v>
      </c>
      <c r="Y49" s="353">
        <v>0</v>
      </c>
      <c r="Z49" s="353">
        <v>0</v>
      </c>
      <c r="AA49" s="338">
        <v>0</v>
      </c>
      <c r="AB49" s="338">
        <v>0</v>
      </c>
      <c r="AC49" s="339">
        <v>0</v>
      </c>
      <c r="AD49" s="339">
        <v>0</v>
      </c>
      <c r="AE49" s="339">
        <v>0</v>
      </c>
      <c r="AF49" s="340" t="s">
        <v>194</v>
      </c>
      <c r="AG49" s="341">
        <f ca="1">Table2[[#This Row],[End Date]]+2-TODAY()</f>
        <v>-269</v>
      </c>
      <c r="AH49" s="339">
        <f>IF(ISBLANK(Table2[[#This Row],[Roster Received By]]),1,0)</f>
        <v>0</v>
      </c>
      <c r="AI49" s="339">
        <f ca="1">IF(Table2[[#This Row],[Start Date]]&gt;TODAY(),1,)</f>
        <v>0</v>
      </c>
    </row>
    <row r="50" spans="1:35" s="345" customFormat="1" ht="14.25" customHeight="1" x14ac:dyDescent="0.25">
      <c r="A50" s="270" t="s">
        <v>493</v>
      </c>
      <c r="B50" s="271" t="s">
        <v>339</v>
      </c>
      <c r="C50" s="272" t="str">
        <f>VLOOKUP(Table2[[#This Row],[Course]],Data!$A$1:$E$56,2,FALSE)</f>
        <v>NA</v>
      </c>
      <c r="D50" s="272" t="str">
        <f>VLOOKUP(Table2[[#This Row],[Course]],Data!$A$1:$E$56,3,FALSE)</f>
        <v>NA</v>
      </c>
      <c r="E50" s="271" t="s">
        <v>140</v>
      </c>
      <c r="F50" s="327">
        <v>45257</v>
      </c>
      <c r="G50" s="327">
        <v>45257</v>
      </c>
      <c r="H50" s="344">
        <v>0.375</v>
      </c>
      <c r="I50" s="344"/>
      <c r="J50" s="327"/>
      <c r="K50" s="327"/>
      <c r="L50" s="327"/>
      <c r="M50" s="327"/>
      <c r="N50" s="327"/>
      <c r="O50" s="271"/>
      <c r="P50" s="271"/>
      <c r="Q50" s="331" t="e">
        <v>#REF!</v>
      </c>
      <c r="R50" s="331" t="e">
        <v>#REF!</v>
      </c>
      <c r="S50" s="332">
        <v>0</v>
      </c>
      <c r="T50" s="270">
        <v>0</v>
      </c>
      <c r="U50" s="270">
        <v>0</v>
      </c>
      <c r="V50" s="275">
        <f>VLOOKUP(Table2[[#This Row],[Course]],Data!$A$1:$E$56,4,FALSE)</f>
        <v>0</v>
      </c>
      <c r="W50" s="275">
        <f>VLOOKUP(Table2[[#This Row],[Course]],Data!$A$1:$E$56,5,FALSE)</f>
        <v>0</v>
      </c>
      <c r="X50" s="275">
        <v>0</v>
      </c>
      <c r="Y50" s="275">
        <v>0</v>
      </c>
      <c r="Z50" s="275">
        <v>0</v>
      </c>
      <c r="AA50" s="275">
        <v>0</v>
      </c>
      <c r="AB50" s="276">
        <v>0</v>
      </c>
      <c r="AC50" s="275">
        <v>0</v>
      </c>
      <c r="AD50" s="275">
        <v>0</v>
      </c>
      <c r="AE50" s="275">
        <v>0</v>
      </c>
      <c r="AF50" s="271" t="s">
        <v>194</v>
      </c>
      <c r="AG50" s="277">
        <f ca="1">Table2[[#This Row],[End Date]]+2-TODAY()</f>
        <v>-273</v>
      </c>
      <c r="AH50" s="275">
        <f>IF(ISBLANK(Table2[[#This Row],[Roster Received By]]),1,0)</f>
        <v>0</v>
      </c>
      <c r="AI50" s="275">
        <f ca="1">IF(Table2[[#This Row],[Start Date]]&gt;TODAY(),1,)</f>
        <v>0</v>
      </c>
    </row>
    <row r="51" spans="1:35" s="364" customFormat="1" ht="14.25" customHeight="1" x14ac:dyDescent="0.25">
      <c r="A51" s="270"/>
      <c r="B51" s="271" t="s">
        <v>303</v>
      </c>
      <c r="C51" s="272" t="str">
        <f>VLOOKUP(Table2[[#This Row],[Course]],Data!$A$1:$E$56,2,FALSE)</f>
        <v>A-570-0100</v>
      </c>
      <c r="D51" s="272" t="s">
        <v>305</v>
      </c>
      <c r="E51" s="325" t="s">
        <v>116</v>
      </c>
      <c r="F51" s="327">
        <v>45257</v>
      </c>
      <c r="G51" s="327">
        <v>45260</v>
      </c>
      <c r="H51" s="327"/>
      <c r="I51" s="274">
        <v>0.54166666666666663</v>
      </c>
      <c r="J51" s="274">
        <v>0.41666666666666669</v>
      </c>
      <c r="K51" s="274">
        <v>0.875</v>
      </c>
      <c r="L51" s="274">
        <v>0.79166666666666663</v>
      </c>
      <c r="M51" s="274">
        <v>0.33333333333333331</v>
      </c>
      <c r="N51" s="274">
        <v>0.125</v>
      </c>
      <c r="O51" s="271" t="s">
        <v>89</v>
      </c>
      <c r="P51" s="271"/>
      <c r="Q51" s="298" t="e">
        <v>#REF!</v>
      </c>
      <c r="R51" s="328" t="e">
        <v>#REF!</v>
      </c>
      <c r="S51" s="298"/>
      <c r="T51" s="301"/>
      <c r="U51" s="301"/>
      <c r="V51" s="275">
        <f>VLOOKUP(Table2[[#This Row],[Course]],Data!$A$1:$E$56,4,FALSE)</f>
        <v>30</v>
      </c>
      <c r="W51" s="275">
        <f>VLOOKUP(Table2[[#This Row],[Course]],Data!$A$1:$E$56,5,FALSE)</f>
        <v>4</v>
      </c>
      <c r="X51" s="275">
        <v>459</v>
      </c>
      <c r="Y51" s="275">
        <v>30</v>
      </c>
      <c r="Z51" s="275">
        <v>2</v>
      </c>
      <c r="AA51" s="275">
        <v>19</v>
      </c>
      <c r="AB51" s="276">
        <v>4</v>
      </c>
      <c r="AC51" s="275">
        <v>8</v>
      </c>
      <c r="AD51" s="275">
        <v>1</v>
      </c>
      <c r="AE51" s="275">
        <v>0</v>
      </c>
      <c r="AF51" s="271" t="s">
        <v>208</v>
      </c>
      <c r="AG51" s="277">
        <f ca="1">Table2[[#This Row],[End Date]]+2-TODAY()</f>
        <v>-270</v>
      </c>
      <c r="AH51" s="275">
        <f>IF(ISBLANK(Table2[[#This Row],[Roster Received By]]),1,0)</f>
        <v>0</v>
      </c>
      <c r="AI51" s="275">
        <f ca="1">IF(Table2[[#This Row],[Start Date]]&gt;TODAY(),1,)</f>
        <v>0</v>
      </c>
    </row>
    <row r="52" spans="1:35" s="354" customFormat="1" ht="14.25" customHeight="1" x14ac:dyDescent="0.25">
      <c r="A52" s="270"/>
      <c r="B52" s="271" t="s">
        <v>19</v>
      </c>
      <c r="C52" s="272" t="str">
        <f>VLOOKUP(Table2[[#This Row],[Course]],Data!$A$1:$E$56,2,FALSE)</f>
        <v>A-493-0099</v>
      </c>
      <c r="D52" s="272" t="str">
        <f>VLOOKUP(Table2[[#This Row],[Course]],Data!$A$1:$E$56,3,FALSE)</f>
        <v>12JW</v>
      </c>
      <c r="E52" s="271" t="s">
        <v>116</v>
      </c>
      <c r="F52" s="327">
        <v>45258</v>
      </c>
      <c r="G52" s="327">
        <v>45260</v>
      </c>
      <c r="H52" s="327"/>
      <c r="I52" s="274">
        <v>0.33333333333333331</v>
      </c>
      <c r="J52" s="274">
        <v>0.20833333333333334</v>
      </c>
      <c r="K52" s="274">
        <v>0.66666666666666663</v>
      </c>
      <c r="L52" s="274">
        <v>0.58333333333333337</v>
      </c>
      <c r="M52" s="274">
        <v>0.125</v>
      </c>
      <c r="N52" s="274">
        <v>0.91666666666666663</v>
      </c>
      <c r="O52" s="271" t="s">
        <v>88</v>
      </c>
      <c r="P52" s="271"/>
      <c r="Q52" s="331" t="e">
        <v>#REF!</v>
      </c>
      <c r="R52" s="331" t="e">
        <v>#REF!</v>
      </c>
      <c r="S52" s="332"/>
      <c r="T52" s="270"/>
      <c r="U52" s="270"/>
      <c r="V52" s="275">
        <f>VLOOKUP(Table2[[#This Row],[Course]],Data!$A$1:$E$56,4,FALSE)</f>
        <v>45</v>
      </c>
      <c r="W52" s="275">
        <f>VLOOKUP(Table2[[#This Row],[Course]],Data!$A$1:$E$56,5,FALSE)</f>
        <v>3</v>
      </c>
      <c r="X52" s="275">
        <v>431</v>
      </c>
      <c r="Y52" s="275">
        <v>45</v>
      </c>
      <c r="Z52" s="275">
        <v>0</v>
      </c>
      <c r="AA52" s="275">
        <v>40</v>
      </c>
      <c r="AB52" s="276">
        <v>0</v>
      </c>
      <c r="AC52" s="275">
        <v>2</v>
      </c>
      <c r="AD52" s="275">
        <v>0</v>
      </c>
      <c r="AE52" s="276">
        <v>0</v>
      </c>
      <c r="AF52" s="271" t="s">
        <v>189</v>
      </c>
      <c r="AG52" s="277">
        <f ca="1">Table2[[#This Row],[End Date]]+2-TODAY()</f>
        <v>-270</v>
      </c>
      <c r="AH52" s="275">
        <f>IF(ISBLANK(Table2[[#This Row],[Roster Received By]]),1,0)</f>
        <v>0</v>
      </c>
      <c r="AI52" s="275">
        <f ca="1">IF(Table2[[#This Row],[Start Date]]&gt;TODAY(),1,)</f>
        <v>0</v>
      </c>
    </row>
    <row r="53" spans="1:35" s="354" customFormat="1" ht="14.25" customHeight="1" x14ac:dyDescent="0.25">
      <c r="A53" s="270"/>
      <c r="B53" s="271" t="s">
        <v>38</v>
      </c>
      <c r="C53" s="272" t="str">
        <f>VLOOKUP(Table2[[#This Row],[Course]],Data!$A$1:$E$56,2,FALSE)</f>
        <v>A-493-0072</v>
      </c>
      <c r="D53" s="272" t="s">
        <v>308</v>
      </c>
      <c r="E53" s="356" t="s">
        <v>140</v>
      </c>
      <c r="F53" s="366">
        <v>45258</v>
      </c>
      <c r="G53" s="326">
        <v>45261</v>
      </c>
      <c r="H53" s="350">
        <v>0.33333333333333331</v>
      </c>
      <c r="I53" s="350"/>
      <c r="J53" s="327"/>
      <c r="K53" s="327"/>
      <c r="L53" s="327"/>
      <c r="M53" s="327"/>
      <c r="N53" s="327"/>
      <c r="O53" s="271" t="s">
        <v>86</v>
      </c>
      <c r="P53" s="271" t="s">
        <v>81</v>
      </c>
      <c r="Q53" s="276" t="e">
        <v>#REF!</v>
      </c>
      <c r="R53" s="276" t="e">
        <v>#REF!</v>
      </c>
      <c r="S53" s="332"/>
      <c r="T53" s="270"/>
      <c r="U53" s="270"/>
      <c r="V53" s="275">
        <f>VLOOKUP(Table2[[#This Row],[Course]],Data!$A$1:$E$56,4,FALSE)</f>
        <v>30</v>
      </c>
      <c r="W53" s="275">
        <f>VLOOKUP(Table2[[#This Row],[Course]],Data!$A$1:$E$56,5,FALSE)</f>
        <v>4</v>
      </c>
      <c r="X53" s="275">
        <v>235</v>
      </c>
      <c r="Y53" s="275">
        <v>30</v>
      </c>
      <c r="Z53" s="275">
        <v>0</v>
      </c>
      <c r="AA53" s="275">
        <v>27</v>
      </c>
      <c r="AB53" s="276">
        <v>0</v>
      </c>
      <c r="AC53" s="275">
        <v>4</v>
      </c>
      <c r="AD53" s="275">
        <v>1</v>
      </c>
      <c r="AE53" s="276">
        <v>0</v>
      </c>
      <c r="AF53" s="271" t="s">
        <v>208</v>
      </c>
      <c r="AG53" s="277">
        <f ca="1">Table2[[#This Row],[End Date]]+2-TODAY()</f>
        <v>-269</v>
      </c>
      <c r="AH53" s="275">
        <f>IF(ISBLANK(Table2[[#This Row],[Roster Received By]]),1,0)</f>
        <v>0</v>
      </c>
      <c r="AI53" s="275">
        <f ca="1">IF(Table2[[#This Row],[Start Date]]&gt;TODAY(),1,)</f>
        <v>0</v>
      </c>
    </row>
    <row r="54" spans="1:35" s="345" customFormat="1" ht="14.25" customHeight="1" x14ac:dyDescent="0.25">
      <c r="A54" s="270"/>
      <c r="B54" s="325" t="s">
        <v>281</v>
      </c>
      <c r="C54" s="272" t="str">
        <f>VLOOKUP(Table2[[#This Row],[Course]],Data!$A$1:$E$56,2,FALSE)</f>
        <v>A-493-0550</v>
      </c>
      <c r="D54" s="272" t="str">
        <f>VLOOKUP(Table2[[#This Row],[Course]],Data!$A$1:$E$56,3,FALSE)</f>
        <v>09K5</v>
      </c>
      <c r="E54" s="271" t="s">
        <v>116</v>
      </c>
      <c r="F54" s="326">
        <v>45264</v>
      </c>
      <c r="G54" s="326">
        <v>45268</v>
      </c>
      <c r="H54" s="327"/>
      <c r="I54" s="274">
        <v>0.33333333333333331</v>
      </c>
      <c r="J54" s="274">
        <v>0.20833333333333334</v>
      </c>
      <c r="K54" s="274">
        <v>0.66666666666666663</v>
      </c>
      <c r="L54" s="274">
        <v>0.58333333333333337</v>
      </c>
      <c r="M54" s="274">
        <v>0.125</v>
      </c>
      <c r="N54" s="274">
        <v>0.91666666666666663</v>
      </c>
      <c r="O54" s="271" t="s">
        <v>85</v>
      </c>
      <c r="P54" s="271"/>
      <c r="Q54" s="328" t="e">
        <v>#REF!</v>
      </c>
      <c r="R54" s="328" t="e">
        <v>#REF!</v>
      </c>
      <c r="S54" s="357"/>
      <c r="T54" s="301"/>
      <c r="U54" s="301"/>
      <c r="V54" s="275">
        <f>VLOOKUP(Table2[[#This Row],[Course]],Data!$A$1:$E$56,4,FALSE)</f>
        <v>45</v>
      </c>
      <c r="W54" s="275">
        <f>VLOOKUP(Table2[[#This Row],[Course]],Data!$A$1:$E$56,5,FALSE)</f>
        <v>4</v>
      </c>
      <c r="X54" s="275">
        <v>480</v>
      </c>
      <c r="Y54" s="275">
        <v>45</v>
      </c>
      <c r="Z54" s="275">
        <v>0</v>
      </c>
      <c r="AA54" s="275">
        <v>32</v>
      </c>
      <c r="AB54" s="276">
        <v>1</v>
      </c>
      <c r="AC54" s="275">
        <v>12</v>
      </c>
      <c r="AD54" s="275">
        <v>1</v>
      </c>
      <c r="AE54" s="275">
        <v>0</v>
      </c>
      <c r="AF54" s="271" t="s">
        <v>205</v>
      </c>
      <c r="AG54" s="277">
        <f ca="1">Table2[[#This Row],[End Date]]+2-TODAY()</f>
        <v>-262</v>
      </c>
      <c r="AH54" s="275">
        <f>IF(ISBLANK(Table2[[#This Row],[Roster Received By]]),1,0)</f>
        <v>0</v>
      </c>
      <c r="AI54" s="275">
        <f ca="1">IF(Table2[[#This Row],[Start Date]]&gt;TODAY(),1,)</f>
        <v>0</v>
      </c>
    </row>
    <row r="55" spans="1:35" s="345" customFormat="1" ht="14.25" customHeight="1" x14ac:dyDescent="0.25">
      <c r="A55" s="270"/>
      <c r="B55" s="325" t="s">
        <v>292</v>
      </c>
      <c r="C55" s="272" t="str">
        <f>VLOOKUP(Table2[[#This Row],[Course]],Data!$A$1:$E$56,2,FALSE)</f>
        <v>A-493-0078</v>
      </c>
      <c r="D55" s="272">
        <f>VLOOKUP(Table2[[#This Row],[Course]],Data!$A$1:$E$56,3,FALSE)</f>
        <v>1228</v>
      </c>
      <c r="E55" s="325" t="s">
        <v>116</v>
      </c>
      <c r="F55" s="326">
        <v>45264</v>
      </c>
      <c r="G55" s="326">
        <v>45268</v>
      </c>
      <c r="H55" s="327"/>
      <c r="I55" s="274">
        <v>0.54166666666666663</v>
      </c>
      <c r="J55" s="274">
        <v>0.41666666666666669</v>
      </c>
      <c r="K55" s="274">
        <v>0.875</v>
      </c>
      <c r="L55" s="274">
        <v>0.79166666666666663</v>
      </c>
      <c r="M55" s="274">
        <v>0.33333333333333331</v>
      </c>
      <c r="N55" s="274">
        <v>0.125</v>
      </c>
      <c r="O55" s="271" t="s">
        <v>80</v>
      </c>
      <c r="P55" s="271"/>
      <c r="Q55" s="328" t="e">
        <v>#REF!</v>
      </c>
      <c r="R55" s="328" t="e">
        <v>#REF!</v>
      </c>
      <c r="S55" s="357"/>
      <c r="T55" s="301"/>
      <c r="U55" s="301"/>
      <c r="V55" s="275">
        <f>VLOOKUP(Table2[[#This Row],[Course]],Data!$A$1:$E$56,4,FALSE)</f>
        <v>45</v>
      </c>
      <c r="W55" s="275">
        <f>VLOOKUP(Table2[[#This Row],[Course]],Data!$A$1:$E$56,5,FALSE)</f>
        <v>5</v>
      </c>
      <c r="X55" s="275">
        <v>836</v>
      </c>
      <c r="Y55" s="275">
        <v>45</v>
      </c>
      <c r="Z55" s="275">
        <v>1</v>
      </c>
      <c r="AA55" s="275">
        <v>40</v>
      </c>
      <c r="AB55" s="276">
        <v>0</v>
      </c>
      <c r="AC55" s="275">
        <v>6</v>
      </c>
      <c r="AD55" s="275">
        <v>1</v>
      </c>
      <c r="AE55" s="275">
        <v>0</v>
      </c>
      <c r="AF55" s="271" t="s">
        <v>205</v>
      </c>
      <c r="AG55" s="277">
        <f ca="1">Table2[[#This Row],[End Date]]+2-TODAY()</f>
        <v>-262</v>
      </c>
      <c r="AH55" s="275">
        <f>IF(ISBLANK(Table2[[#This Row],[Roster Received By]]),1,0)</f>
        <v>0</v>
      </c>
      <c r="AI55" s="275">
        <f ca="1">IF(Table2[[#This Row],[Start Date]]&gt;TODAY(),1,)</f>
        <v>0</v>
      </c>
    </row>
    <row r="56" spans="1:35" s="345" customFormat="1" ht="14.25" customHeight="1" x14ac:dyDescent="0.25">
      <c r="A56" s="270"/>
      <c r="B56" s="271" t="s">
        <v>303</v>
      </c>
      <c r="C56" s="272" t="str">
        <f>VLOOKUP(Table2[[#This Row],[Course]],Data!$A$1:$E$56,2,FALSE)</f>
        <v>A-570-0100</v>
      </c>
      <c r="D56" s="272" t="str">
        <f>VLOOKUP(Table2[[#This Row],[Course]],Data!$A$1:$E$56,3,FALSE)</f>
        <v>18B7</v>
      </c>
      <c r="E56" s="325" t="s">
        <v>116</v>
      </c>
      <c r="F56" s="327">
        <v>45264</v>
      </c>
      <c r="G56" s="327">
        <v>45267</v>
      </c>
      <c r="H56" s="327"/>
      <c r="I56" s="274">
        <v>0.54166666666666663</v>
      </c>
      <c r="J56" s="274">
        <v>0.41666666666666669</v>
      </c>
      <c r="K56" s="274">
        <v>0.875</v>
      </c>
      <c r="L56" s="274">
        <v>0.79166666666666663</v>
      </c>
      <c r="M56" s="274">
        <v>0.33333333333333331</v>
      </c>
      <c r="N56" s="274">
        <v>0.125</v>
      </c>
      <c r="O56" s="271" t="s">
        <v>89</v>
      </c>
      <c r="P56" s="271"/>
      <c r="Q56" s="298" t="e">
        <v>#REF!</v>
      </c>
      <c r="R56" s="328" t="e">
        <v>#REF!</v>
      </c>
      <c r="S56" s="298"/>
      <c r="T56" s="301"/>
      <c r="U56" s="301"/>
      <c r="V56" s="275">
        <f>VLOOKUP(Table2[[#This Row],[Course]],Data!$A$1:$E$56,4,FALSE)</f>
        <v>30</v>
      </c>
      <c r="W56" s="275">
        <f>VLOOKUP(Table2[[#This Row],[Course]],Data!$A$1:$E$56,5,FALSE)</f>
        <v>4</v>
      </c>
      <c r="X56" s="275">
        <v>459</v>
      </c>
      <c r="Y56" s="275">
        <v>30</v>
      </c>
      <c r="Z56" s="275">
        <v>4</v>
      </c>
      <c r="AA56" s="275">
        <v>28</v>
      </c>
      <c r="AB56" s="276">
        <v>0</v>
      </c>
      <c r="AC56" s="275">
        <v>5</v>
      </c>
      <c r="AD56" s="275">
        <v>3</v>
      </c>
      <c r="AE56" s="275">
        <v>0</v>
      </c>
      <c r="AF56" s="271" t="s">
        <v>208</v>
      </c>
      <c r="AG56" s="277">
        <f ca="1">Table2[[#This Row],[End Date]]+2-TODAY()</f>
        <v>-263</v>
      </c>
      <c r="AH56" s="275">
        <f>IF(ISBLANK(Table2[[#This Row],[Roster Received By]]),1,0)</f>
        <v>0</v>
      </c>
      <c r="AI56" s="275">
        <f ca="1">IF(Table2[[#This Row],[Start Date]]&gt;TODAY(),1,)</f>
        <v>0</v>
      </c>
    </row>
    <row r="57" spans="1:35" s="345" customFormat="1" ht="14.25" customHeight="1" x14ac:dyDescent="0.25">
      <c r="A57" s="270" t="s">
        <v>429</v>
      </c>
      <c r="B57" s="271" t="s">
        <v>38</v>
      </c>
      <c r="C57" s="272" t="str">
        <f>VLOOKUP(Table2[[#This Row],[Course]],Data!$A$1:$E$56,2,FALSE)</f>
        <v>A-493-0072</v>
      </c>
      <c r="D57" s="272" t="str">
        <f>VLOOKUP(Table2[[#This Row],[Course]],Data!$A$1:$E$56,3,FALSE)</f>
        <v>713U</v>
      </c>
      <c r="E57" s="325" t="s">
        <v>309</v>
      </c>
      <c r="F57" s="327">
        <v>45264</v>
      </c>
      <c r="G57" s="327">
        <v>45267</v>
      </c>
      <c r="H57" s="350">
        <v>0.33333333333333331</v>
      </c>
      <c r="I57" s="350"/>
      <c r="J57" s="327"/>
      <c r="K57" s="327"/>
      <c r="L57" s="327"/>
      <c r="M57" s="327"/>
      <c r="N57" s="327"/>
      <c r="O57" s="271" t="s">
        <v>86</v>
      </c>
      <c r="P57" s="271" t="s">
        <v>81</v>
      </c>
      <c r="Q57" s="328" t="e">
        <v>#REF!</v>
      </c>
      <c r="R57" s="328" t="e">
        <v>#REF!</v>
      </c>
      <c r="S57" s="357"/>
      <c r="T57" s="301"/>
      <c r="U57" s="301"/>
      <c r="V57" s="275">
        <f>VLOOKUP(Table2[[#This Row],[Course]],Data!$A$1:$E$56,4,FALSE)</f>
        <v>30</v>
      </c>
      <c r="W57" s="275">
        <f>VLOOKUP(Table2[[#This Row],[Course]],Data!$A$1:$E$56,5,FALSE)</f>
        <v>4</v>
      </c>
      <c r="X57" s="275">
        <v>55</v>
      </c>
      <c r="Y57" s="275">
        <v>5</v>
      </c>
      <c r="Z57" s="275">
        <v>0</v>
      </c>
      <c r="AA57" s="275">
        <v>5</v>
      </c>
      <c r="AB57" s="276">
        <v>0</v>
      </c>
      <c r="AC57" s="275">
        <v>0</v>
      </c>
      <c r="AD57" s="275">
        <v>0</v>
      </c>
      <c r="AE57" s="275">
        <v>0</v>
      </c>
      <c r="AF57" s="271" t="s">
        <v>208</v>
      </c>
      <c r="AG57" s="277">
        <f ca="1">Table2[[#This Row],[End Date]]+2-TODAY()</f>
        <v>-263</v>
      </c>
      <c r="AH57" s="275">
        <f>IF(ISBLANK(Table2[[#This Row],[Roster Received By]]),1,0)</f>
        <v>0</v>
      </c>
      <c r="AI57" s="275">
        <f ca="1">IF(Table2[[#This Row],[Start Date]]&gt;TODAY(),1,)</f>
        <v>0</v>
      </c>
    </row>
    <row r="58" spans="1:35" s="345" customFormat="1" ht="14.25" customHeight="1" x14ac:dyDescent="0.25">
      <c r="A58" s="271"/>
      <c r="B58" s="325" t="s">
        <v>270</v>
      </c>
      <c r="C58" s="272" t="str">
        <f>VLOOKUP(Table2[[#This Row],[Course]],Data!$A$1:$E$56,2,FALSE)</f>
        <v>A-493-0331</v>
      </c>
      <c r="D58" s="272" t="str">
        <f>VLOOKUP(Table2[[#This Row],[Course]],Data!$A$1:$E$56,3,FALSE)</f>
        <v>10UG</v>
      </c>
      <c r="E58" s="271" t="s">
        <v>116</v>
      </c>
      <c r="F58" s="327">
        <v>45265</v>
      </c>
      <c r="G58" s="327">
        <v>45267</v>
      </c>
      <c r="H58" s="327"/>
      <c r="I58" s="274">
        <v>0.5</v>
      </c>
      <c r="J58" s="274">
        <v>0.375</v>
      </c>
      <c r="K58" s="274">
        <v>0.83333333333333337</v>
      </c>
      <c r="L58" s="274">
        <v>0.75</v>
      </c>
      <c r="M58" s="274">
        <v>0.29166666666666669</v>
      </c>
      <c r="N58" s="274">
        <v>8.3333333333333329E-2</v>
      </c>
      <c r="O58" s="271" t="s">
        <v>84</v>
      </c>
      <c r="P58" s="271" t="s">
        <v>187</v>
      </c>
      <c r="Q58" s="328" t="e">
        <v>#REF!</v>
      </c>
      <c r="R58" s="328" t="e">
        <v>#REF!</v>
      </c>
      <c r="S58" s="357"/>
      <c r="T58" s="301"/>
      <c r="U58" s="301"/>
      <c r="V58" s="275">
        <f>VLOOKUP(Table2[[#This Row],[Course]],Data!$A$1:$E$56,4,FALSE)</f>
        <v>40</v>
      </c>
      <c r="W58" s="275">
        <f>VLOOKUP(Table2[[#This Row],[Course]],Data!$A$1:$E$56,5,FALSE)</f>
        <v>3</v>
      </c>
      <c r="X58" s="275">
        <v>709</v>
      </c>
      <c r="Y58" s="275">
        <v>39</v>
      </c>
      <c r="Z58" s="275">
        <v>5</v>
      </c>
      <c r="AA58" s="275">
        <v>33</v>
      </c>
      <c r="AB58" s="276">
        <v>1</v>
      </c>
      <c r="AC58" s="275">
        <v>9</v>
      </c>
      <c r="AD58" s="275">
        <v>0</v>
      </c>
      <c r="AE58" s="275">
        <v>0</v>
      </c>
      <c r="AF58" s="271" t="s">
        <v>208</v>
      </c>
      <c r="AG58" s="277">
        <f ca="1">Table2[[#This Row],[End Date]]+2-TODAY()</f>
        <v>-263</v>
      </c>
      <c r="AH58" s="275">
        <f>IF(ISBLANK(Table2[[#This Row],[Roster Received By]]),1,0)</f>
        <v>0</v>
      </c>
      <c r="AI58" s="275">
        <f ca="1">IF(Table2[[#This Row],[Start Date]]&gt;TODAY(),1,)</f>
        <v>0</v>
      </c>
    </row>
    <row r="59" spans="1:35" s="345" customFormat="1" ht="16.5" customHeight="1" x14ac:dyDescent="0.25">
      <c r="A59" s="360" t="s">
        <v>494</v>
      </c>
      <c r="B59" s="340" t="s">
        <v>336</v>
      </c>
      <c r="C59" s="348" t="str">
        <f>VLOOKUP(Table2[[#This Row],[Course]],Data!$A$1:$E$56,2,FALSE)</f>
        <v>NA</v>
      </c>
      <c r="D59" s="348" t="str">
        <f>VLOOKUP(Table2[[#This Row],[Course]],Data!$A$1:$E$56,3,FALSE)</f>
        <v>NA</v>
      </c>
      <c r="E59" s="340" t="s">
        <v>140</v>
      </c>
      <c r="F59" s="352">
        <v>45271</v>
      </c>
      <c r="G59" s="352">
        <v>45273</v>
      </c>
      <c r="H59" s="351">
        <v>0</v>
      </c>
      <c r="I59" s="351">
        <v>0</v>
      </c>
      <c r="J59" s="351">
        <v>0</v>
      </c>
      <c r="K59" s="351">
        <v>0</v>
      </c>
      <c r="L59" s="351">
        <v>0</v>
      </c>
      <c r="M59" s="351">
        <v>0</v>
      </c>
      <c r="N59" s="351">
        <v>0</v>
      </c>
      <c r="O59" s="340"/>
      <c r="P59" s="340"/>
      <c r="Q59" s="338"/>
      <c r="R59" s="353"/>
      <c r="S59" s="338"/>
      <c r="T59" s="347"/>
      <c r="U59" s="347"/>
      <c r="V59" s="338">
        <v>0</v>
      </c>
      <c r="W59" s="353">
        <v>0</v>
      </c>
      <c r="X59" s="353">
        <v>0</v>
      </c>
      <c r="Y59" s="353">
        <v>0</v>
      </c>
      <c r="Z59" s="353">
        <v>0</v>
      </c>
      <c r="AA59" s="338">
        <v>0</v>
      </c>
      <c r="AB59" s="338">
        <v>0</v>
      </c>
      <c r="AC59" s="339">
        <v>0</v>
      </c>
      <c r="AD59" s="339">
        <v>0</v>
      </c>
      <c r="AE59" s="339">
        <v>0</v>
      </c>
      <c r="AF59" s="340" t="s">
        <v>194</v>
      </c>
      <c r="AG59" s="341">
        <f ca="1">Table2[[#This Row],[End Date]]+2-TODAY()</f>
        <v>-257</v>
      </c>
      <c r="AH59" s="339">
        <f>IF(ISBLANK(Table2[[#This Row],[Roster Received By]]),1,0)</f>
        <v>0</v>
      </c>
      <c r="AI59" s="339">
        <f ca="1">IF(Table2[[#This Row],[Start Date]]&gt;TODAY(),1,)</f>
        <v>0</v>
      </c>
    </row>
    <row r="60" spans="1:35" s="345" customFormat="1" ht="14.25" customHeight="1" x14ac:dyDescent="0.25">
      <c r="A60" s="270"/>
      <c r="B60" s="271" t="s">
        <v>243</v>
      </c>
      <c r="C60" s="272" t="str">
        <f>VLOOKUP(Table2[[#This Row],[Course]],Data!$A$1:$E$56,2,FALSE)</f>
        <v>A-493-0061</v>
      </c>
      <c r="D60" s="272" t="str">
        <f>VLOOKUP(Table2[[#This Row],[Course]],Data!$A$1:$E$56,3,FALSE)</f>
        <v>288E</v>
      </c>
      <c r="E60" s="271" t="s">
        <v>116</v>
      </c>
      <c r="F60" s="326">
        <v>45271</v>
      </c>
      <c r="G60" s="326">
        <v>45275</v>
      </c>
      <c r="H60" s="327"/>
      <c r="I60" s="274">
        <v>0.54166666666666663</v>
      </c>
      <c r="J60" s="274">
        <v>0.41666666666666669</v>
      </c>
      <c r="K60" s="274">
        <v>0.875</v>
      </c>
      <c r="L60" s="274">
        <v>0.79166666666666663</v>
      </c>
      <c r="M60" s="274">
        <v>0.33333333333333331</v>
      </c>
      <c r="N60" s="274">
        <v>0.125</v>
      </c>
      <c r="O60" s="271" t="s">
        <v>92</v>
      </c>
      <c r="P60" s="271"/>
      <c r="Q60" s="328" t="e">
        <v>#REF!</v>
      </c>
      <c r="R60" s="328" t="e">
        <v>#REF!</v>
      </c>
      <c r="S60" s="367"/>
      <c r="T60" s="301"/>
      <c r="U60" s="299"/>
      <c r="V60" s="275">
        <f>VLOOKUP(Table2[[#This Row],[Course]],Data!$A$1:$E$56,4,FALSE)</f>
        <v>45</v>
      </c>
      <c r="W60" s="275">
        <f>VLOOKUP(Table2[[#This Row],[Course]],Data!$A$1:$E$56,5,FALSE)</f>
        <v>5</v>
      </c>
      <c r="X60" s="275">
        <v>583</v>
      </c>
      <c r="Y60" s="275">
        <v>43</v>
      </c>
      <c r="Z60" s="275">
        <v>0</v>
      </c>
      <c r="AA60" s="275">
        <v>36</v>
      </c>
      <c r="AB60" s="276">
        <v>0</v>
      </c>
      <c r="AC60" s="275">
        <v>6</v>
      </c>
      <c r="AD60" s="275">
        <v>0</v>
      </c>
      <c r="AE60" s="275">
        <v>0</v>
      </c>
      <c r="AF60" s="271" t="s">
        <v>189</v>
      </c>
      <c r="AG60" s="277">
        <f ca="1">Table2[[#This Row],[End Date]]+2-TODAY()</f>
        <v>-255</v>
      </c>
      <c r="AH60" s="275">
        <f>IF(ISBLANK(Table2[[#This Row],[Roster Received By]]),1,0)</f>
        <v>0</v>
      </c>
      <c r="AI60" s="275">
        <f ca="1">IF(Table2[[#This Row],[Start Date]]&gt;TODAY(),1,)</f>
        <v>0</v>
      </c>
    </row>
    <row r="61" spans="1:35" s="345" customFormat="1" ht="16.5" customHeight="1" x14ac:dyDescent="0.25">
      <c r="A61" s="271"/>
      <c r="B61" s="325" t="s">
        <v>270</v>
      </c>
      <c r="C61" s="272" t="str">
        <f>VLOOKUP(Table2[[#This Row],[Course]],Data!$A$1:$E$56,2,FALSE)</f>
        <v>A-493-0331</v>
      </c>
      <c r="D61" s="272" t="str">
        <f>VLOOKUP(Table2[[#This Row],[Course]],Data!$A$1:$E$56,3,FALSE)</f>
        <v>10UG</v>
      </c>
      <c r="E61" s="271" t="s">
        <v>116</v>
      </c>
      <c r="F61" s="327">
        <v>45271</v>
      </c>
      <c r="G61" s="327">
        <v>45273</v>
      </c>
      <c r="H61" s="327"/>
      <c r="I61" s="274">
        <v>0.75</v>
      </c>
      <c r="J61" s="274">
        <v>0.625</v>
      </c>
      <c r="K61" s="274">
        <v>8.3333333333333329E-2</v>
      </c>
      <c r="L61" s="274">
        <v>0</v>
      </c>
      <c r="M61" s="274">
        <v>0.54166666666666663</v>
      </c>
      <c r="N61" s="274">
        <v>0.33333333333333331</v>
      </c>
      <c r="O61" s="271" t="s">
        <v>84</v>
      </c>
      <c r="P61" s="271" t="s">
        <v>90</v>
      </c>
      <c r="Q61" s="328" t="e">
        <v>#REF!</v>
      </c>
      <c r="R61" s="328" t="e">
        <v>#REF!</v>
      </c>
      <c r="S61" s="357"/>
      <c r="T61" s="301"/>
      <c r="U61" s="301"/>
      <c r="V61" s="275">
        <f>VLOOKUP(Table2[[#This Row],[Course]],Data!$A$1:$E$56,4,FALSE)</f>
        <v>40</v>
      </c>
      <c r="W61" s="275">
        <f>VLOOKUP(Table2[[#This Row],[Course]],Data!$A$1:$E$56,5,FALSE)</f>
        <v>3</v>
      </c>
      <c r="X61" s="275">
        <v>116</v>
      </c>
      <c r="Y61" s="275">
        <v>40</v>
      </c>
      <c r="Z61" s="275">
        <v>5</v>
      </c>
      <c r="AA61" s="275">
        <v>32</v>
      </c>
      <c r="AB61" s="276">
        <v>0</v>
      </c>
      <c r="AC61" s="275">
        <v>9</v>
      </c>
      <c r="AD61" s="275">
        <v>0</v>
      </c>
      <c r="AE61" s="275">
        <v>0</v>
      </c>
      <c r="AF61" s="271" t="s">
        <v>208</v>
      </c>
      <c r="AG61" s="277">
        <f ca="1">Table2[[#This Row],[End Date]]+2-TODAY()</f>
        <v>-257</v>
      </c>
      <c r="AH61" s="275">
        <f>IF(ISBLANK(Table2[[#This Row],[Roster Received By]]),1,0)</f>
        <v>0</v>
      </c>
      <c r="AI61" s="275">
        <f ca="1">IF(Table2[[#This Row],[Start Date]]&gt;TODAY(),1,)</f>
        <v>0</v>
      </c>
    </row>
    <row r="62" spans="1:35" s="354" customFormat="1" ht="14.25" customHeight="1" x14ac:dyDescent="0.25">
      <c r="A62" s="270"/>
      <c r="B62" s="325" t="s">
        <v>34</v>
      </c>
      <c r="C62" s="272" t="str">
        <f>VLOOKUP(Table2[[#This Row],[Course]],Data!$A$1:$E$56,2,FALSE)</f>
        <v>A-493-0085</v>
      </c>
      <c r="D62" s="272">
        <f>VLOOKUP(Table2[[#This Row],[Course]],Data!$A$1:$E$56,3,FALSE)</f>
        <v>3555</v>
      </c>
      <c r="E62" s="325" t="s">
        <v>116</v>
      </c>
      <c r="F62" s="327">
        <v>45271</v>
      </c>
      <c r="G62" s="327">
        <v>45274</v>
      </c>
      <c r="H62" s="327"/>
      <c r="I62" s="274">
        <v>0.5</v>
      </c>
      <c r="J62" s="274">
        <v>0.375</v>
      </c>
      <c r="K62" s="274">
        <v>0.79166666666666663</v>
      </c>
      <c r="L62" s="274">
        <v>0.70833333333333337</v>
      </c>
      <c r="M62" s="274">
        <v>0.25</v>
      </c>
      <c r="N62" s="274">
        <v>4.1666666666666664E-2</v>
      </c>
      <c r="O62" s="271" t="s">
        <v>81</v>
      </c>
      <c r="P62" s="271" t="s">
        <v>86</v>
      </c>
      <c r="Q62" s="328" t="e">
        <v>#REF!</v>
      </c>
      <c r="R62" s="328" t="e">
        <v>#REF!</v>
      </c>
      <c r="S62" s="357"/>
      <c r="T62" s="301"/>
      <c r="U62" s="301"/>
      <c r="V62" s="275">
        <f>VLOOKUP(Table2[[#This Row],[Course]],Data!$A$1:$E$56,4,FALSE)</f>
        <v>30</v>
      </c>
      <c r="W62" s="275">
        <f>VLOOKUP(Table2[[#This Row],[Course]],Data!$A$1:$E$56,5,FALSE)</f>
        <v>4</v>
      </c>
      <c r="X62" s="275">
        <v>464</v>
      </c>
      <c r="Y62" s="275">
        <v>30</v>
      </c>
      <c r="Z62" s="275">
        <v>2</v>
      </c>
      <c r="AA62" s="275">
        <v>28</v>
      </c>
      <c r="AB62" s="276">
        <v>2</v>
      </c>
      <c r="AC62" s="275">
        <v>2</v>
      </c>
      <c r="AD62" s="275">
        <v>0</v>
      </c>
      <c r="AE62" s="272">
        <v>0</v>
      </c>
      <c r="AF62" s="271" t="s">
        <v>208</v>
      </c>
      <c r="AG62" s="277">
        <f ca="1">Table2[[#This Row],[End Date]]+2-TODAY()</f>
        <v>-256</v>
      </c>
      <c r="AH62" s="275">
        <f>IF(ISBLANK(Table2[[#This Row],[Roster Received By]]),1,0)</f>
        <v>0</v>
      </c>
      <c r="AI62" s="275">
        <f ca="1">IF(Table2[[#This Row],[Start Date]]&gt;TODAY(),1,)</f>
        <v>0</v>
      </c>
    </row>
    <row r="63" spans="1:35" s="345" customFormat="1" ht="14.25" customHeight="1" x14ac:dyDescent="0.25">
      <c r="A63" s="340"/>
      <c r="B63" s="340" t="s">
        <v>317</v>
      </c>
      <c r="C63" s="348" t="str">
        <f>VLOOKUP(Table2[[#This Row],[Course]],Data!$A$1:$E$56,2,FALSE)</f>
        <v>A-493-2098</v>
      </c>
      <c r="D63" s="348" t="str">
        <f>VLOOKUP(Table2[[#This Row],[Course]],Data!$A$1:$E$56,3,FALSE)</f>
        <v>09WW</v>
      </c>
      <c r="E63" s="340" t="s">
        <v>116</v>
      </c>
      <c r="F63" s="352">
        <v>45271</v>
      </c>
      <c r="G63" s="352">
        <v>45275</v>
      </c>
      <c r="H63" s="351"/>
      <c r="I63" s="351">
        <v>1.5416666666666665</v>
      </c>
      <c r="J63" s="274">
        <v>0.41666666666666669</v>
      </c>
      <c r="K63" s="274">
        <v>0.875</v>
      </c>
      <c r="L63" s="274">
        <v>0.79166666666666663</v>
      </c>
      <c r="M63" s="274">
        <v>0.33333333333333331</v>
      </c>
      <c r="N63" s="274">
        <v>0.125</v>
      </c>
      <c r="O63" s="340" t="s">
        <v>89</v>
      </c>
      <c r="P63" s="340"/>
      <c r="Q63" s="338"/>
      <c r="R63" s="353"/>
      <c r="S63" s="338"/>
      <c r="T63" s="347"/>
      <c r="U63" s="347"/>
      <c r="V63" s="338">
        <v>100</v>
      </c>
      <c r="W63" s="353">
        <v>5</v>
      </c>
      <c r="X63" s="353">
        <v>1257</v>
      </c>
      <c r="Y63" s="353">
        <v>100</v>
      </c>
      <c r="Z63" s="353">
        <v>6</v>
      </c>
      <c r="AA63" s="338">
        <v>96</v>
      </c>
      <c r="AB63" s="338">
        <v>2</v>
      </c>
      <c r="AC63" s="339">
        <v>8</v>
      </c>
      <c r="AD63" s="339">
        <v>5</v>
      </c>
      <c r="AE63" s="339">
        <v>0</v>
      </c>
      <c r="AF63" s="340" t="s">
        <v>205</v>
      </c>
      <c r="AG63" s="341">
        <f ca="1">Table2[[#This Row],[End Date]]+2-TODAY()</f>
        <v>-255</v>
      </c>
      <c r="AH63" s="339">
        <f>IF(ISBLANK(Table2[[#This Row],[Roster Received By]]),1,0)</f>
        <v>0</v>
      </c>
      <c r="AI63" s="339">
        <f ca="1">IF(Table2[[#This Row],[Start Date]]&gt;TODAY(),1,)</f>
        <v>0</v>
      </c>
    </row>
    <row r="64" spans="1:35" s="345" customFormat="1" ht="14.25" customHeight="1" x14ac:dyDescent="0.25">
      <c r="A64" s="270"/>
      <c r="B64" s="325" t="s">
        <v>281</v>
      </c>
      <c r="C64" s="272" t="str">
        <f>VLOOKUP(Table2[[#This Row],[Course]],Data!$A$1:$E$56,2,FALSE)</f>
        <v>A-493-0550</v>
      </c>
      <c r="D64" s="272" t="str">
        <f>VLOOKUP(Table2[[#This Row],[Course]],Data!$A$1:$E$56,3,FALSE)</f>
        <v>09K5</v>
      </c>
      <c r="E64" s="271" t="s">
        <v>116</v>
      </c>
      <c r="F64" s="326">
        <v>45278</v>
      </c>
      <c r="G64" s="326">
        <v>45282</v>
      </c>
      <c r="H64" s="327"/>
      <c r="I64" s="274">
        <v>0.29166666666666669</v>
      </c>
      <c r="J64" s="274">
        <v>0.16666666666666666</v>
      </c>
      <c r="K64" s="274">
        <v>0.625</v>
      </c>
      <c r="L64" s="274">
        <v>0.54166666666666663</v>
      </c>
      <c r="M64" s="274">
        <v>8.3333333333333329E-2</v>
      </c>
      <c r="N64" s="274">
        <v>0.875</v>
      </c>
      <c r="O64" s="271" t="s">
        <v>85</v>
      </c>
      <c r="P64" s="271"/>
      <c r="Q64" s="331" t="e">
        <v>#REF!</v>
      </c>
      <c r="R64" s="331" t="e">
        <v>#REF!</v>
      </c>
      <c r="S64" s="332"/>
      <c r="T64" s="270"/>
      <c r="U64" s="270"/>
      <c r="V64" s="275">
        <f>VLOOKUP(Table2[[#This Row],[Course]],Data!$A$1:$E$56,4,FALSE)</f>
        <v>45</v>
      </c>
      <c r="W64" s="275">
        <f>VLOOKUP(Table2[[#This Row],[Course]],Data!$A$1:$E$56,5,FALSE)</f>
        <v>4</v>
      </c>
      <c r="X64" s="275">
        <v>51</v>
      </c>
      <c r="Y64" s="275">
        <v>45</v>
      </c>
      <c r="Z64" s="275">
        <v>1</v>
      </c>
      <c r="AA64" s="275">
        <v>41</v>
      </c>
      <c r="AB64" s="276">
        <v>1</v>
      </c>
      <c r="AC64" s="275">
        <v>4</v>
      </c>
      <c r="AD64" s="275">
        <v>1</v>
      </c>
      <c r="AE64" s="275">
        <v>0</v>
      </c>
      <c r="AF64" s="271" t="s">
        <v>205</v>
      </c>
      <c r="AG64" s="277">
        <f ca="1">Table2[[#This Row],[End Date]]+2-TODAY()</f>
        <v>-248</v>
      </c>
      <c r="AH64" s="275">
        <f>IF(ISBLANK(Table2[[#This Row],[Roster Received By]]),1,0)</f>
        <v>0</v>
      </c>
      <c r="AI64" s="275">
        <f ca="1">IF(Table2[[#This Row],[Start Date]]&gt;TODAY(),1,)</f>
        <v>0</v>
      </c>
    </row>
    <row r="65" spans="1:35" s="345" customFormat="1" ht="14.25" customHeight="1" x14ac:dyDescent="0.25">
      <c r="A65" s="270"/>
      <c r="B65" s="325" t="s">
        <v>292</v>
      </c>
      <c r="C65" s="272" t="str">
        <f>VLOOKUP(Table2[[#This Row],[Course]],Data!$A$1:$E$56,2,FALSE)</f>
        <v>A-493-0078</v>
      </c>
      <c r="D65" s="272">
        <f>VLOOKUP(Table2[[#This Row],[Course]],Data!$A$1:$E$56,3,FALSE)</f>
        <v>1228</v>
      </c>
      <c r="E65" s="325" t="s">
        <v>116</v>
      </c>
      <c r="F65" s="326">
        <v>45278</v>
      </c>
      <c r="G65" s="326">
        <v>45282</v>
      </c>
      <c r="H65" s="327"/>
      <c r="I65" s="274">
        <v>0.33333333333333331</v>
      </c>
      <c r="J65" s="274">
        <v>0.20833333333333334</v>
      </c>
      <c r="K65" s="274">
        <v>0.66666666666666663</v>
      </c>
      <c r="L65" s="274">
        <v>0.58333333333333337</v>
      </c>
      <c r="M65" s="274">
        <v>0.125</v>
      </c>
      <c r="N65" s="274">
        <v>0.91666666666666663</v>
      </c>
      <c r="O65" s="271" t="s">
        <v>80</v>
      </c>
      <c r="P65" s="271"/>
      <c r="Q65" s="331" t="e">
        <v>#REF!</v>
      </c>
      <c r="R65" s="331" t="e">
        <v>#REF!</v>
      </c>
      <c r="S65" s="332"/>
      <c r="T65" s="270"/>
      <c r="U65" s="270"/>
      <c r="V65" s="275">
        <f>VLOOKUP(Table2[[#This Row],[Course]],Data!$A$1:$E$56,4,FALSE)</f>
        <v>45</v>
      </c>
      <c r="W65" s="275">
        <f>VLOOKUP(Table2[[#This Row],[Course]],Data!$A$1:$E$56,5,FALSE)</f>
        <v>5</v>
      </c>
      <c r="X65" s="275">
        <v>600</v>
      </c>
      <c r="Y65" s="275">
        <v>41</v>
      </c>
      <c r="Z65" s="275">
        <v>0</v>
      </c>
      <c r="AA65" s="275">
        <v>38</v>
      </c>
      <c r="AB65" s="276">
        <v>0</v>
      </c>
      <c r="AC65" s="275">
        <v>3</v>
      </c>
      <c r="AD65" s="275">
        <v>0</v>
      </c>
      <c r="AE65" s="275">
        <v>0</v>
      </c>
      <c r="AF65" s="271" t="s">
        <v>205</v>
      </c>
      <c r="AG65" s="277">
        <f ca="1">Table2[[#This Row],[End Date]]+2-TODAY()</f>
        <v>-248</v>
      </c>
      <c r="AH65" s="275">
        <f>IF(ISBLANK(Table2[[#This Row],[Roster Received By]]),1,0)</f>
        <v>0</v>
      </c>
      <c r="AI65" s="275">
        <f ca="1">IF(Table2[[#This Row],[Start Date]]&gt;TODAY(),1,)</f>
        <v>0</v>
      </c>
    </row>
    <row r="66" spans="1:35" s="345" customFormat="1" ht="14.25" customHeight="1" x14ac:dyDescent="0.25">
      <c r="A66" s="270" t="s">
        <v>495</v>
      </c>
      <c r="B66" s="271" t="s">
        <v>339</v>
      </c>
      <c r="C66" s="272" t="str">
        <f>VLOOKUP(Table2[[#This Row],[Course]],Data!$A$1:$E$56,2,FALSE)</f>
        <v>NA</v>
      </c>
      <c r="D66" s="272" t="str">
        <f>VLOOKUP(Table2[[#This Row],[Course]],Data!$A$1:$E$56,3,FALSE)</f>
        <v>NA</v>
      </c>
      <c r="E66" s="271"/>
      <c r="F66" s="327">
        <v>45279</v>
      </c>
      <c r="G66" s="327">
        <v>45279</v>
      </c>
      <c r="H66" s="344">
        <v>0.54166666666666663</v>
      </c>
      <c r="I66" s="344"/>
      <c r="J66" s="327"/>
      <c r="K66" s="327"/>
      <c r="L66" s="327"/>
      <c r="M66" s="327"/>
      <c r="N66" s="327"/>
      <c r="O66" s="271"/>
      <c r="P66" s="271"/>
      <c r="Q66" s="331" t="e">
        <v>#REF!</v>
      </c>
      <c r="R66" s="331" t="e">
        <v>#REF!</v>
      </c>
      <c r="S66" s="332">
        <v>0</v>
      </c>
      <c r="T66" s="270">
        <v>0</v>
      </c>
      <c r="U66" s="270">
        <v>0</v>
      </c>
      <c r="V66" s="275">
        <f>VLOOKUP(Table2[[#This Row],[Course]],Data!$A$1:$E$56,4,FALSE)</f>
        <v>0</v>
      </c>
      <c r="W66" s="275">
        <f>VLOOKUP(Table2[[#This Row],[Course]],Data!$A$1:$E$56,5,FALSE)</f>
        <v>0</v>
      </c>
      <c r="X66" s="275">
        <v>0</v>
      </c>
      <c r="Y66" s="275">
        <v>0</v>
      </c>
      <c r="Z66" s="275">
        <v>0</v>
      </c>
      <c r="AA66" s="275">
        <v>0</v>
      </c>
      <c r="AB66" s="276">
        <v>0</v>
      </c>
      <c r="AC66" s="275">
        <v>0</v>
      </c>
      <c r="AD66" s="275">
        <v>0</v>
      </c>
      <c r="AE66" s="275">
        <v>0</v>
      </c>
      <c r="AF66" s="271" t="s">
        <v>194</v>
      </c>
      <c r="AG66" s="277">
        <f ca="1">Table2[[#This Row],[End Date]]+2-TODAY()</f>
        <v>-251</v>
      </c>
      <c r="AH66" s="275">
        <f>IF(ISBLANK(Table2[[#This Row],[Roster Received By]]),1,0)</f>
        <v>0</v>
      </c>
      <c r="AI66" s="275">
        <f ca="1">IF(Table2[[#This Row],[Start Date]]&gt;TODAY(),1,)</f>
        <v>0</v>
      </c>
    </row>
    <row r="67" spans="1:35" s="345" customFormat="1" ht="14.25" customHeight="1" x14ac:dyDescent="0.25">
      <c r="A67" s="270" t="s">
        <v>496</v>
      </c>
      <c r="B67" s="271" t="s">
        <v>334</v>
      </c>
      <c r="C67" s="272" t="str">
        <f>VLOOKUP(Table2[[#This Row],[Course]],Data!$A$1:$E$56,2,FALSE)</f>
        <v>Holiday</v>
      </c>
      <c r="D67" s="272" t="str">
        <f>VLOOKUP(Table2[[#This Row],[Course]],Data!$A$1:$E$56,3,FALSE)</f>
        <v>Holiday</v>
      </c>
      <c r="E67" s="271"/>
      <c r="F67" s="327">
        <v>45285</v>
      </c>
      <c r="G67" s="327">
        <v>45285</v>
      </c>
      <c r="H67" s="344">
        <v>0</v>
      </c>
      <c r="I67" s="344">
        <v>0</v>
      </c>
      <c r="J67" s="344">
        <v>0</v>
      </c>
      <c r="K67" s="344">
        <v>0</v>
      </c>
      <c r="L67" s="344">
        <v>0</v>
      </c>
      <c r="M67" s="344">
        <v>0</v>
      </c>
      <c r="N67" s="344">
        <v>0</v>
      </c>
      <c r="O67" s="271"/>
      <c r="P67" s="271"/>
      <c r="Q67" s="331" t="e">
        <v>#REF!</v>
      </c>
      <c r="R67" s="331" t="e">
        <v>#REF!</v>
      </c>
      <c r="S67" s="332">
        <v>0</v>
      </c>
      <c r="T67" s="270">
        <v>0</v>
      </c>
      <c r="U67" s="270">
        <v>0</v>
      </c>
      <c r="V67" s="275">
        <f>VLOOKUP(Table2[[#This Row],[Course]],Data!$A$1:$E$56,4,FALSE)</f>
        <v>0</v>
      </c>
      <c r="W67" s="275">
        <f>VLOOKUP(Table2[[#This Row],[Course]],Data!$A$1:$E$56,5,FALSE)</f>
        <v>0</v>
      </c>
      <c r="X67" s="275">
        <v>0</v>
      </c>
      <c r="Y67" s="275">
        <v>0</v>
      </c>
      <c r="Z67" s="275">
        <v>0</v>
      </c>
      <c r="AA67" s="275">
        <v>0</v>
      </c>
      <c r="AB67" s="276">
        <v>0</v>
      </c>
      <c r="AC67" s="275">
        <v>0</v>
      </c>
      <c r="AD67" s="275">
        <v>0</v>
      </c>
      <c r="AE67" s="275">
        <v>0</v>
      </c>
      <c r="AF67" s="271" t="s">
        <v>194</v>
      </c>
      <c r="AG67" s="277">
        <f ca="1">Table2[[#This Row],[End Date]]+2-TODAY()</f>
        <v>-245</v>
      </c>
      <c r="AH67" s="275">
        <f>IF(ISBLANK(Table2[[#This Row],[Roster Received By]]),1,0)</f>
        <v>0</v>
      </c>
      <c r="AI67" s="275">
        <f ca="1">IF(Table2[[#This Row],[Start Date]]&gt;TODAY(),1,)</f>
        <v>0</v>
      </c>
    </row>
    <row r="68" spans="1:35" s="345" customFormat="1" ht="14.25" customHeight="1" x14ac:dyDescent="0.25">
      <c r="A68" s="271" t="s">
        <v>497</v>
      </c>
      <c r="B68" s="271" t="s">
        <v>334</v>
      </c>
      <c r="C68" s="272" t="str">
        <f>VLOOKUP(Table2[[#This Row],[Course]],Data!$A$1:$E$56,2,FALSE)</f>
        <v>Holiday</v>
      </c>
      <c r="D68" s="272" t="str">
        <f>VLOOKUP(Table2[[#This Row],[Course]],Data!$A$1:$E$56,3,FALSE)</f>
        <v>Holiday</v>
      </c>
      <c r="E68" s="271"/>
      <c r="F68" s="327">
        <v>45292</v>
      </c>
      <c r="G68" s="327">
        <v>45292</v>
      </c>
      <c r="H68" s="344">
        <v>0</v>
      </c>
      <c r="I68" s="344">
        <v>0</v>
      </c>
      <c r="J68" s="344">
        <v>0</v>
      </c>
      <c r="K68" s="344">
        <v>0</v>
      </c>
      <c r="L68" s="344">
        <v>0</v>
      </c>
      <c r="M68" s="344">
        <v>0</v>
      </c>
      <c r="N68" s="344">
        <v>0</v>
      </c>
      <c r="O68" s="271"/>
      <c r="P68" s="271"/>
      <c r="Q68" s="331" t="e">
        <v>#REF!</v>
      </c>
      <c r="R68" s="331" t="e">
        <v>#REF!</v>
      </c>
      <c r="S68" s="332">
        <v>0</v>
      </c>
      <c r="T68" s="270">
        <v>0</v>
      </c>
      <c r="U68" s="270">
        <v>0</v>
      </c>
      <c r="V68" s="275">
        <f>VLOOKUP(Table2[[#This Row],[Course]],Data!$A$1:$E$56,4,FALSE)</f>
        <v>0</v>
      </c>
      <c r="W68" s="275">
        <f>VLOOKUP(Table2[[#This Row],[Course]],Data!$A$1:$E$56,5,FALSE)</f>
        <v>0</v>
      </c>
      <c r="X68" s="275">
        <v>0</v>
      </c>
      <c r="Y68" s="275">
        <v>0</v>
      </c>
      <c r="Z68" s="275">
        <v>0</v>
      </c>
      <c r="AA68" s="275">
        <v>0</v>
      </c>
      <c r="AB68" s="276">
        <v>0</v>
      </c>
      <c r="AC68" s="275">
        <v>0</v>
      </c>
      <c r="AD68" s="275">
        <v>0</v>
      </c>
      <c r="AE68" s="275">
        <v>0</v>
      </c>
      <c r="AF68" s="271" t="s">
        <v>194</v>
      </c>
      <c r="AG68" s="277">
        <f ca="1">Table2[[#This Row],[End Date]]+2-TODAY()</f>
        <v>-238</v>
      </c>
      <c r="AH68" s="275">
        <f>IF(ISBLANK(Table2[[#This Row],[Roster Received By]]),1,0)</f>
        <v>0</v>
      </c>
      <c r="AI68" s="275">
        <f ca="1">IF(Table2[[#This Row],[Start Date]]&gt;TODAY(),1,)</f>
        <v>0</v>
      </c>
    </row>
    <row r="69" spans="1:35" s="302" customFormat="1" ht="14.25" customHeight="1" x14ac:dyDescent="0.25">
      <c r="A69" s="299"/>
      <c r="B69" s="271" t="s">
        <v>38</v>
      </c>
      <c r="C69" s="272" t="str">
        <f>VLOOKUP(Table2[[#This Row],[Course]],Data!$A$1:$E$56,2,FALSE)</f>
        <v>A-493-0072</v>
      </c>
      <c r="D69" s="272" t="str">
        <f>VLOOKUP(Table2[[#This Row],[Course]],Data!$A$1:$E$56,3,FALSE)</f>
        <v>713U</v>
      </c>
      <c r="E69" s="325" t="s">
        <v>147</v>
      </c>
      <c r="F69" s="327">
        <v>45293</v>
      </c>
      <c r="G69" s="327">
        <v>45296</v>
      </c>
      <c r="H69" s="350">
        <v>0.33333333333333331</v>
      </c>
      <c r="I69" s="350"/>
      <c r="J69" s="327"/>
      <c r="K69" s="327"/>
      <c r="L69" s="327"/>
      <c r="M69" s="327"/>
      <c r="N69" s="327"/>
      <c r="O69" s="271" t="s">
        <v>86</v>
      </c>
      <c r="P69" s="271" t="s">
        <v>187</v>
      </c>
      <c r="Q69" s="331" t="e">
        <v>#REF!</v>
      </c>
      <c r="R69" s="331" t="e">
        <v>#REF!</v>
      </c>
      <c r="S69" s="332"/>
      <c r="T69" s="270"/>
      <c r="U69" s="270"/>
      <c r="V69" s="275">
        <f>VLOOKUP(Table2[[#This Row],[Course]],Data!$A$1:$E$56,4,FALSE)</f>
        <v>30</v>
      </c>
      <c r="W69" s="275">
        <f>VLOOKUP(Table2[[#This Row],[Course]],Data!$A$1:$E$56,5,FALSE)</f>
        <v>4</v>
      </c>
      <c r="X69" s="275">
        <v>40</v>
      </c>
      <c r="Y69" s="275">
        <v>28</v>
      </c>
      <c r="Z69" s="275">
        <v>0</v>
      </c>
      <c r="AA69" s="275">
        <v>20</v>
      </c>
      <c r="AB69" s="276">
        <v>0</v>
      </c>
      <c r="AC69" s="275">
        <v>8</v>
      </c>
      <c r="AD69" s="275">
        <v>0</v>
      </c>
      <c r="AE69" s="275">
        <v>0</v>
      </c>
      <c r="AF69" s="271" t="s">
        <v>208</v>
      </c>
      <c r="AG69" s="277">
        <f ca="1">Table2[[#This Row],[End Date]]+2-TODAY()</f>
        <v>-234</v>
      </c>
      <c r="AH69" s="296">
        <f>IF(ISBLANK(Table2[[#This Row],[Roster Received By]]),1,0)</f>
        <v>0</v>
      </c>
      <c r="AI69" s="296">
        <f ca="1">IF(Table2[[#This Row],[Start Date]]&gt;TODAY(),1,)</f>
        <v>0</v>
      </c>
    </row>
    <row r="70" spans="1:35" s="345" customFormat="1" ht="14.25" customHeight="1" x14ac:dyDescent="0.25">
      <c r="A70" s="270"/>
      <c r="B70" s="271" t="s">
        <v>17</v>
      </c>
      <c r="C70" s="272" t="str">
        <f>VLOOKUP(Table2[[#This Row],[Course]],Data!$A$1:$E$56,2,FALSE)</f>
        <v>A-493-0012</v>
      </c>
      <c r="D70" s="272">
        <f>VLOOKUP(Table2[[#This Row],[Course]],Data!$A$1:$E$56,3,FALSE)</f>
        <v>3682</v>
      </c>
      <c r="E70" s="346" t="s">
        <v>254</v>
      </c>
      <c r="F70" s="273">
        <v>45299</v>
      </c>
      <c r="G70" s="327">
        <v>45303</v>
      </c>
      <c r="H70" s="344">
        <v>0.33333333333333331</v>
      </c>
      <c r="I70" s="344"/>
      <c r="J70" s="327"/>
      <c r="K70" s="327"/>
      <c r="L70" s="327"/>
      <c r="M70" s="327"/>
      <c r="N70" s="327"/>
      <c r="O70" s="271" t="s">
        <v>78</v>
      </c>
      <c r="P70" s="271"/>
      <c r="Q70" s="298" t="e">
        <v>#REF!</v>
      </c>
      <c r="R70" s="328" t="e">
        <v>#REF!</v>
      </c>
      <c r="S70" s="298"/>
      <c r="T70" s="301"/>
      <c r="U70" s="301"/>
      <c r="V70" s="275">
        <f>VLOOKUP(Table2[[#This Row],[Course]],Data!$A$1:$E$56,4,FALSE)</f>
        <v>40</v>
      </c>
      <c r="W70" s="275">
        <f>VLOOKUP(Table2[[#This Row],[Course]],Data!$A$1:$E$56,5,FALSE)</f>
        <v>5</v>
      </c>
      <c r="X70" s="275">
        <v>20</v>
      </c>
      <c r="Y70" s="275">
        <v>20</v>
      </c>
      <c r="Z70" s="275">
        <v>0</v>
      </c>
      <c r="AA70" s="275">
        <v>23</v>
      </c>
      <c r="AB70" s="276">
        <v>0</v>
      </c>
      <c r="AC70" s="275">
        <v>1</v>
      </c>
      <c r="AD70" s="275">
        <v>3</v>
      </c>
      <c r="AE70" s="275">
        <v>9</v>
      </c>
      <c r="AF70" s="271" t="s">
        <v>191</v>
      </c>
      <c r="AG70" s="277">
        <f ca="1">Table2[[#This Row],[End Date]]+2-TODAY()</f>
        <v>-227</v>
      </c>
      <c r="AH70" s="275">
        <f>IF(ISBLANK(Table2[[#This Row],[Roster Received By]]),1,0)</f>
        <v>0</v>
      </c>
      <c r="AI70" s="275">
        <f ca="1">IF(Table2[[#This Row],[Start Date]]&gt;TODAY(),1,)</f>
        <v>0</v>
      </c>
    </row>
    <row r="71" spans="1:35" s="345" customFormat="1" ht="14.25" customHeight="1" x14ac:dyDescent="0.25">
      <c r="A71" s="270"/>
      <c r="B71" s="271" t="s">
        <v>243</v>
      </c>
      <c r="C71" s="272" t="str">
        <f>VLOOKUP(Table2[[#This Row],[Course]],Data!$A$1:$E$56,2,FALSE)</f>
        <v>A-493-0061</v>
      </c>
      <c r="D71" s="272" t="str">
        <f>VLOOKUP(Table2[[#This Row],[Course]],Data!$A$1:$E$56,3,FALSE)</f>
        <v>288E</v>
      </c>
      <c r="E71" s="271" t="s">
        <v>116</v>
      </c>
      <c r="F71" s="327">
        <v>45299</v>
      </c>
      <c r="G71" s="327">
        <v>45303</v>
      </c>
      <c r="H71" s="327"/>
      <c r="I71" s="274">
        <v>0.29166666666666669</v>
      </c>
      <c r="J71" s="274">
        <v>0.16666666666666666</v>
      </c>
      <c r="K71" s="274">
        <v>0.625</v>
      </c>
      <c r="L71" s="274">
        <v>0.54166666666666663</v>
      </c>
      <c r="M71" s="274">
        <v>8.3333333333333329E-2</v>
      </c>
      <c r="N71" s="274">
        <v>0.875</v>
      </c>
      <c r="O71" s="271" t="s">
        <v>92</v>
      </c>
      <c r="P71" s="271"/>
      <c r="Q71" s="328" t="e">
        <v>#REF!</v>
      </c>
      <c r="R71" s="328" t="e">
        <v>#REF!</v>
      </c>
      <c r="S71" s="357"/>
      <c r="T71" s="301"/>
      <c r="U71" s="301"/>
      <c r="V71" s="275">
        <f>VLOOKUP(Table2[[#This Row],[Course]],Data!$A$1:$E$56,4,FALSE)</f>
        <v>45</v>
      </c>
      <c r="W71" s="275">
        <f>VLOOKUP(Table2[[#This Row],[Course]],Data!$A$1:$E$56,5,FALSE)</f>
        <v>5</v>
      </c>
      <c r="X71" s="275">
        <v>50</v>
      </c>
      <c r="Y71" s="275">
        <v>31</v>
      </c>
      <c r="Z71" s="275">
        <v>0</v>
      </c>
      <c r="AA71" s="275">
        <v>29</v>
      </c>
      <c r="AB71" s="276">
        <v>0</v>
      </c>
      <c r="AC71" s="275">
        <v>3</v>
      </c>
      <c r="AD71" s="275">
        <v>0</v>
      </c>
      <c r="AE71" s="275">
        <v>0</v>
      </c>
      <c r="AF71" s="271" t="s">
        <v>189</v>
      </c>
      <c r="AG71" s="277">
        <f ca="1">Table2[[#This Row],[End Date]]+2-TODAY()</f>
        <v>-227</v>
      </c>
      <c r="AH71" s="275">
        <f>IF(ISBLANK(Table2[[#This Row],[Roster Received By]]),1,0)</f>
        <v>0</v>
      </c>
      <c r="AI71" s="275">
        <f ca="1">IF(Table2[[#This Row],[Start Date]]&gt;TODAY(),1,)</f>
        <v>0</v>
      </c>
    </row>
    <row r="72" spans="1:35" s="345" customFormat="1" ht="14.25" customHeight="1" x14ac:dyDescent="0.25">
      <c r="A72" s="270"/>
      <c r="B72" s="271" t="s">
        <v>249</v>
      </c>
      <c r="C72" s="272" t="str">
        <f>VLOOKUP(Table2[[#This Row],[Course]],Data!$A$1:$E$56,2,FALSE)</f>
        <v>A-322-2604</v>
      </c>
      <c r="D72" s="272" t="str">
        <f>VLOOKUP(Table2[[#This Row],[Course]],Data!$A$1:$E$56,3,FALSE)</f>
        <v>10ZZ</v>
      </c>
      <c r="E72" s="271" t="s">
        <v>116</v>
      </c>
      <c r="F72" s="327">
        <v>45299</v>
      </c>
      <c r="G72" s="327">
        <v>45303</v>
      </c>
      <c r="H72" s="327"/>
      <c r="I72" s="274">
        <v>0.33333333333333331</v>
      </c>
      <c r="J72" s="274">
        <v>0.20833333333333334</v>
      </c>
      <c r="K72" s="274">
        <v>0.66666666666666663</v>
      </c>
      <c r="L72" s="274">
        <v>0.58333333333333337</v>
      </c>
      <c r="M72" s="274">
        <v>0.125</v>
      </c>
      <c r="N72" s="274">
        <v>0.91666666666666663</v>
      </c>
      <c r="O72" s="271" t="s">
        <v>83</v>
      </c>
      <c r="P72" s="271"/>
      <c r="Q72" s="276" t="e">
        <v>#REF!</v>
      </c>
      <c r="R72" s="331" t="e">
        <v>#REF!</v>
      </c>
      <c r="S72" s="276"/>
      <c r="T72" s="270"/>
      <c r="U72" s="270"/>
      <c r="V72" s="275">
        <f>VLOOKUP(Table2[[#This Row],[Course]],Data!$A$1:$E$56,4,FALSE)</f>
        <v>45</v>
      </c>
      <c r="W72" s="275">
        <f>VLOOKUP(Table2[[#This Row],[Course]],Data!$A$1:$E$56,5,FALSE)</f>
        <v>5</v>
      </c>
      <c r="X72" s="275">
        <v>403</v>
      </c>
      <c r="Y72" s="275">
        <v>45</v>
      </c>
      <c r="Z72" s="275">
        <v>2</v>
      </c>
      <c r="AA72" s="275">
        <v>30</v>
      </c>
      <c r="AB72" s="276">
        <v>0</v>
      </c>
      <c r="AC72" s="275">
        <v>17</v>
      </c>
      <c r="AD72" s="275">
        <v>2</v>
      </c>
      <c r="AE72" s="275">
        <v>0</v>
      </c>
      <c r="AF72" s="271" t="s">
        <v>191</v>
      </c>
      <c r="AG72" s="277">
        <f ca="1">Table2[[#This Row],[End Date]]+2-TODAY()</f>
        <v>-227</v>
      </c>
      <c r="AH72" s="275">
        <f>IF(ISBLANK(Table2[[#This Row],[Roster Received By]]),1,0)</f>
        <v>0</v>
      </c>
      <c r="AI72" s="275">
        <f ca="1">IF(Table2[[#This Row],[Start Date]]&gt;TODAY(),1,)</f>
        <v>0</v>
      </c>
    </row>
    <row r="73" spans="1:35" s="345" customFormat="1" ht="14.25" customHeight="1" x14ac:dyDescent="0.25">
      <c r="A73" s="270"/>
      <c r="B73" s="325" t="s">
        <v>281</v>
      </c>
      <c r="C73" s="272" t="str">
        <f>VLOOKUP(Table2[[#This Row],[Course]],Data!$A$1:$E$56,2,FALSE)</f>
        <v>A-493-0550</v>
      </c>
      <c r="D73" s="272" t="str">
        <f>VLOOKUP(Table2[[#This Row],[Course]],Data!$A$1:$E$56,3,FALSE)</f>
        <v>09K5</v>
      </c>
      <c r="E73" s="271" t="s">
        <v>116</v>
      </c>
      <c r="F73" s="326">
        <v>45299</v>
      </c>
      <c r="G73" s="326">
        <v>45303</v>
      </c>
      <c r="H73" s="327"/>
      <c r="I73" s="274">
        <v>0.41666666666666669</v>
      </c>
      <c r="J73" s="274">
        <v>0.29166666666666669</v>
      </c>
      <c r="K73" s="274">
        <v>0.75</v>
      </c>
      <c r="L73" s="274">
        <v>0.66666666666666663</v>
      </c>
      <c r="M73" s="274">
        <v>0.20833333333333334</v>
      </c>
      <c r="N73" s="274">
        <v>0</v>
      </c>
      <c r="O73" s="271" t="s">
        <v>85</v>
      </c>
      <c r="P73" s="271"/>
      <c r="Q73" s="328" t="e">
        <v>#REF!</v>
      </c>
      <c r="R73" s="328" t="e">
        <v>#REF!</v>
      </c>
      <c r="S73" s="357"/>
      <c r="T73" s="301"/>
      <c r="U73" s="301"/>
      <c r="V73" s="275">
        <f>VLOOKUP(Table2[[#This Row],[Course]],Data!$A$1:$E$56,4,FALSE)</f>
        <v>45</v>
      </c>
      <c r="W73" s="275">
        <f>VLOOKUP(Table2[[#This Row],[Course]],Data!$A$1:$E$56,5,FALSE)</f>
        <v>4</v>
      </c>
      <c r="X73" s="275">
        <v>429</v>
      </c>
      <c r="Y73" s="275">
        <v>45</v>
      </c>
      <c r="Z73" s="275">
        <v>0</v>
      </c>
      <c r="AA73" s="275">
        <v>40</v>
      </c>
      <c r="AB73" s="276">
        <v>0</v>
      </c>
      <c r="AC73" s="275">
        <v>5</v>
      </c>
      <c r="AD73" s="275">
        <v>0</v>
      </c>
      <c r="AE73" s="275">
        <v>0</v>
      </c>
      <c r="AF73" s="271" t="s">
        <v>205</v>
      </c>
      <c r="AG73" s="277">
        <f ca="1">Table2[[#This Row],[End Date]]+2-TODAY()</f>
        <v>-227</v>
      </c>
      <c r="AH73" s="275">
        <f>IF(ISBLANK(Table2[[#This Row],[Roster Received By]]),1,0)</f>
        <v>0</v>
      </c>
      <c r="AI73" s="275">
        <f ca="1">IF(Table2[[#This Row],[Start Date]]&gt;TODAY(),1,)</f>
        <v>0</v>
      </c>
    </row>
    <row r="74" spans="1:35" s="345" customFormat="1" ht="14.25" customHeight="1" x14ac:dyDescent="0.25">
      <c r="A74" s="270"/>
      <c r="B74" s="325" t="s">
        <v>292</v>
      </c>
      <c r="C74" s="272" t="str">
        <f>VLOOKUP(Table2[[#This Row],[Course]],Data!$A$1:$E$56,2,FALSE)</f>
        <v>A-493-0078</v>
      </c>
      <c r="D74" s="272">
        <f>VLOOKUP(Table2[[#This Row],[Course]],Data!$A$1:$E$56,3,FALSE)</f>
        <v>1228</v>
      </c>
      <c r="E74" s="325" t="s">
        <v>116</v>
      </c>
      <c r="F74" s="326">
        <v>45299</v>
      </c>
      <c r="G74" s="326">
        <v>45303</v>
      </c>
      <c r="H74" s="327"/>
      <c r="I74" s="274">
        <v>0.29166666666666669</v>
      </c>
      <c r="J74" s="274">
        <v>0.16666666666666666</v>
      </c>
      <c r="K74" s="274">
        <v>0.625</v>
      </c>
      <c r="L74" s="274">
        <v>0.54166666666666663</v>
      </c>
      <c r="M74" s="274">
        <v>8.3333333333333329E-2</v>
      </c>
      <c r="N74" s="274">
        <v>0.875</v>
      </c>
      <c r="O74" s="271" t="s">
        <v>80</v>
      </c>
      <c r="P74" s="271"/>
      <c r="Q74" s="331" t="e">
        <v>#REF!</v>
      </c>
      <c r="R74" s="331" t="e">
        <v>#REF!</v>
      </c>
      <c r="S74" s="332"/>
      <c r="T74" s="270"/>
      <c r="U74" s="270"/>
      <c r="V74" s="275">
        <f>VLOOKUP(Table2[[#This Row],[Course]],Data!$A$1:$E$56,4,FALSE)</f>
        <v>45</v>
      </c>
      <c r="W74" s="275">
        <f>VLOOKUP(Table2[[#This Row],[Course]],Data!$A$1:$E$56,5,FALSE)</f>
        <v>5</v>
      </c>
      <c r="X74" s="275">
        <v>57</v>
      </c>
      <c r="Y74" s="275">
        <v>29</v>
      </c>
      <c r="Z74" s="275">
        <v>0</v>
      </c>
      <c r="AA74" s="275">
        <v>27</v>
      </c>
      <c r="AB74" s="276">
        <v>0</v>
      </c>
      <c r="AC74" s="275">
        <v>2</v>
      </c>
      <c r="AD74" s="275">
        <v>0</v>
      </c>
      <c r="AE74" s="275">
        <v>0</v>
      </c>
      <c r="AF74" s="271" t="s">
        <v>205</v>
      </c>
      <c r="AG74" s="277">
        <f ca="1">Table2[[#This Row],[End Date]]+2-TODAY()</f>
        <v>-227</v>
      </c>
      <c r="AH74" s="275">
        <f>IF(ISBLANK(Table2[[#This Row],[Roster Received By]]),1,0)</f>
        <v>0</v>
      </c>
      <c r="AI74" s="275">
        <f ca="1">IF(Table2[[#This Row],[Start Date]]&gt;TODAY(),1,)</f>
        <v>0</v>
      </c>
    </row>
    <row r="75" spans="1:35" s="345" customFormat="1" ht="14.25" customHeight="1" x14ac:dyDescent="0.25">
      <c r="A75" s="270"/>
      <c r="B75" s="271" t="s">
        <v>38</v>
      </c>
      <c r="C75" s="272" t="str">
        <f>VLOOKUP(Table2[[#This Row],[Course]],Data!$A$1:$E$56,2,FALSE)</f>
        <v>A-493-0072</v>
      </c>
      <c r="D75" s="272" t="str">
        <f>VLOOKUP(Table2[[#This Row],[Course]],Data!$A$1:$E$56,3,FALSE)</f>
        <v>713U</v>
      </c>
      <c r="E75" s="325" t="s">
        <v>109</v>
      </c>
      <c r="F75" s="327">
        <v>45299</v>
      </c>
      <c r="G75" s="327">
        <v>45302</v>
      </c>
      <c r="H75" s="350">
        <v>0.33333333333333331</v>
      </c>
      <c r="I75" s="350"/>
      <c r="J75" s="327"/>
      <c r="K75" s="327"/>
      <c r="L75" s="327"/>
      <c r="M75" s="327"/>
      <c r="N75" s="327"/>
      <c r="O75" s="271" t="s">
        <v>86</v>
      </c>
      <c r="P75" s="271" t="s">
        <v>187</v>
      </c>
      <c r="Q75" s="328" t="e">
        <v>#REF!</v>
      </c>
      <c r="R75" s="328" t="e">
        <v>#REF!</v>
      </c>
      <c r="S75" s="328"/>
      <c r="T75" s="301"/>
      <c r="U75" s="301"/>
      <c r="V75" s="275">
        <f>VLOOKUP(Table2[[#This Row],[Course]],Data!$A$1:$E$56,4,FALSE)</f>
        <v>30</v>
      </c>
      <c r="W75" s="275">
        <f>VLOOKUP(Table2[[#This Row],[Course]],Data!$A$1:$E$56,5,FALSE)</f>
        <v>4</v>
      </c>
      <c r="X75" s="275">
        <v>55</v>
      </c>
      <c r="Y75" s="275">
        <v>33</v>
      </c>
      <c r="Z75" s="275">
        <v>3</v>
      </c>
      <c r="AA75" s="275">
        <v>28</v>
      </c>
      <c r="AB75" s="276">
        <v>0</v>
      </c>
      <c r="AC75" s="275">
        <v>5</v>
      </c>
      <c r="AD75" s="275">
        <v>4</v>
      </c>
      <c r="AE75" s="342">
        <v>0</v>
      </c>
      <c r="AF75" s="343" t="s">
        <v>208</v>
      </c>
      <c r="AG75" s="277">
        <f ca="1">Table2[[#This Row],[End Date]]+2-TODAY()</f>
        <v>-228</v>
      </c>
      <c r="AH75" s="275">
        <f>IF(ISBLANK(Table2[[#This Row],[Roster Received By]]),1,0)</f>
        <v>0</v>
      </c>
      <c r="AI75" s="275">
        <f ca="1">IF(Table2[[#This Row],[Start Date]]&gt;TODAY(),1,)</f>
        <v>0</v>
      </c>
    </row>
    <row r="76" spans="1:35" s="345" customFormat="1" ht="16.5" customHeight="1" x14ac:dyDescent="0.25">
      <c r="A76" s="270"/>
      <c r="B76" s="340" t="s">
        <v>317</v>
      </c>
      <c r="C76" s="272" t="str">
        <f>VLOOKUP(Table2[[#This Row],[Course]],Data!$A$1:$E$56,2,FALSE)</f>
        <v>A-493-2098</v>
      </c>
      <c r="D76" s="272" t="str">
        <f>VLOOKUP(Table2[[#This Row],[Course]],Data!$A$1:$E$56,3,FALSE)</f>
        <v>09WW</v>
      </c>
      <c r="E76" s="271" t="s">
        <v>116</v>
      </c>
      <c r="F76" s="327">
        <v>45299</v>
      </c>
      <c r="G76" s="327">
        <v>45303</v>
      </c>
      <c r="H76" s="327"/>
      <c r="I76" s="274">
        <v>0.54166666666666663</v>
      </c>
      <c r="J76" s="274">
        <v>0.41666666666666669</v>
      </c>
      <c r="K76" s="274">
        <v>0.875</v>
      </c>
      <c r="L76" s="274">
        <v>0.79166666666666663</v>
      </c>
      <c r="M76" s="274">
        <v>0.33333333333333331</v>
      </c>
      <c r="N76" s="274">
        <v>0.125</v>
      </c>
      <c r="O76" s="271" t="s">
        <v>83</v>
      </c>
      <c r="P76" s="271"/>
      <c r="Q76" s="298" t="e">
        <v>#REF!</v>
      </c>
      <c r="R76" s="328" t="e">
        <v>#REF!</v>
      </c>
      <c r="S76" s="298"/>
      <c r="T76" s="301"/>
      <c r="U76" s="301"/>
      <c r="V76" s="275">
        <f>VLOOKUP(Table2[[#This Row],[Course]],Data!$A$1:$E$56,4,FALSE)</f>
        <v>100</v>
      </c>
      <c r="W76" s="275">
        <f>VLOOKUP(Table2[[#This Row],[Course]],Data!$A$1:$E$56,5,FALSE)</f>
        <v>5</v>
      </c>
      <c r="X76" s="275">
        <v>1257</v>
      </c>
      <c r="Y76" s="275">
        <v>100</v>
      </c>
      <c r="Z76" s="275">
        <v>3</v>
      </c>
      <c r="AA76" s="275">
        <v>85</v>
      </c>
      <c r="AB76" s="276">
        <v>1</v>
      </c>
      <c r="AC76" s="275">
        <v>16</v>
      </c>
      <c r="AD76" s="275">
        <v>1</v>
      </c>
      <c r="AE76" s="275">
        <v>0</v>
      </c>
      <c r="AF76" s="271" t="s">
        <v>205</v>
      </c>
      <c r="AG76" s="277">
        <f ca="1">Table2[[#This Row],[End Date]]+2-TODAY()</f>
        <v>-227</v>
      </c>
      <c r="AH76" s="275">
        <f>IF(ISBLANK(Table2[[#This Row],[Roster Received By]]),1,0)</f>
        <v>0</v>
      </c>
      <c r="AI76" s="275">
        <f ca="1">IF(Table2[[#This Row],[Start Date]]&gt;TODAY(),1,)</f>
        <v>0</v>
      </c>
    </row>
    <row r="77" spans="1:35" s="345" customFormat="1" ht="16.5" customHeight="1" x14ac:dyDescent="0.25">
      <c r="A77" s="270"/>
      <c r="B77" s="271" t="s">
        <v>19</v>
      </c>
      <c r="C77" s="272" t="str">
        <f>VLOOKUP(Table2[[#This Row],[Course]],Data!$A$1:$E$56,2,FALSE)</f>
        <v>A-493-0099</v>
      </c>
      <c r="D77" s="272" t="str">
        <f>VLOOKUP(Table2[[#This Row],[Course]],Data!$A$1:$E$56,3,FALSE)</f>
        <v>12JW</v>
      </c>
      <c r="E77" s="271" t="s">
        <v>116</v>
      </c>
      <c r="F77" s="327">
        <v>45300</v>
      </c>
      <c r="G77" s="327">
        <v>45302</v>
      </c>
      <c r="H77" s="327"/>
      <c r="I77" s="274">
        <v>0.41666666666666669</v>
      </c>
      <c r="J77" s="274">
        <v>0.29166666666666669</v>
      </c>
      <c r="K77" s="274">
        <v>0.75</v>
      </c>
      <c r="L77" s="274">
        <v>0.66666666666666663</v>
      </c>
      <c r="M77" s="274">
        <v>0.20833333333333334</v>
      </c>
      <c r="N77" s="274">
        <v>0</v>
      </c>
      <c r="O77" s="271" t="s">
        <v>88</v>
      </c>
      <c r="P77" s="271"/>
      <c r="Q77" s="328" t="e">
        <v>#REF!</v>
      </c>
      <c r="R77" s="328" t="e">
        <v>#REF!</v>
      </c>
      <c r="S77" s="357"/>
      <c r="T77" s="301"/>
      <c r="U77" s="301"/>
      <c r="V77" s="275">
        <f>VLOOKUP(Table2[[#This Row],[Course]],Data!$A$1:$E$56,4,FALSE)</f>
        <v>45</v>
      </c>
      <c r="W77" s="275">
        <f>VLOOKUP(Table2[[#This Row],[Course]],Data!$A$1:$E$56,5,FALSE)</f>
        <v>3</v>
      </c>
      <c r="X77" s="275">
        <v>381</v>
      </c>
      <c r="Y77" s="275">
        <v>45</v>
      </c>
      <c r="Z77" s="275">
        <v>0</v>
      </c>
      <c r="AA77" s="275">
        <v>32</v>
      </c>
      <c r="AB77" s="276">
        <v>0</v>
      </c>
      <c r="AC77" s="275">
        <v>13</v>
      </c>
      <c r="AD77" s="275">
        <v>0</v>
      </c>
      <c r="AE77" s="275">
        <v>0</v>
      </c>
      <c r="AF77" s="271" t="s">
        <v>189</v>
      </c>
      <c r="AG77" s="277">
        <f ca="1">Table2[[#This Row],[End Date]]+2-TODAY()</f>
        <v>-228</v>
      </c>
      <c r="AH77" s="275">
        <f>IF(ISBLANK(Table2[[#This Row],[Roster Received By]]),1,0)</f>
        <v>0</v>
      </c>
      <c r="AI77" s="275">
        <f ca="1">IF(Table2[[#This Row],[Start Date]]&gt;TODAY(),1,)</f>
        <v>0</v>
      </c>
    </row>
    <row r="78" spans="1:35" s="345" customFormat="1" ht="14.25" customHeight="1" x14ac:dyDescent="0.25">
      <c r="A78" s="270"/>
      <c r="B78" s="325" t="s">
        <v>270</v>
      </c>
      <c r="C78" s="272" t="str">
        <f>VLOOKUP(Table2[[#This Row],[Course]],Data!$A$1:$E$56,2,FALSE)</f>
        <v>A-493-0331</v>
      </c>
      <c r="D78" s="272" t="str">
        <f>VLOOKUP(Table2[[#This Row],[Course]],Data!$A$1:$E$56,3,FALSE)</f>
        <v>10UG</v>
      </c>
      <c r="E78" s="368" t="s">
        <v>116</v>
      </c>
      <c r="F78" s="327">
        <v>45300</v>
      </c>
      <c r="G78" s="327">
        <v>45302</v>
      </c>
      <c r="H78" s="327"/>
      <c r="I78" s="274">
        <v>0.5</v>
      </c>
      <c r="J78" s="274">
        <v>0.375</v>
      </c>
      <c r="K78" s="274">
        <v>0.83333333333333337</v>
      </c>
      <c r="L78" s="274">
        <v>0.75</v>
      </c>
      <c r="M78" s="274">
        <v>0.29166666666666669</v>
      </c>
      <c r="N78" s="274">
        <v>8.3333333333333329E-2</v>
      </c>
      <c r="O78" s="271" t="s">
        <v>81</v>
      </c>
      <c r="P78" s="271" t="s">
        <v>84</v>
      </c>
      <c r="Q78" s="328" t="e">
        <v>#REF!</v>
      </c>
      <c r="R78" s="328" t="e">
        <v>#REF!</v>
      </c>
      <c r="S78" s="328"/>
      <c r="T78" s="301"/>
      <c r="U78" s="301"/>
      <c r="V78" s="275">
        <f>VLOOKUP(Table2[[#This Row],[Course]],Data!$A$1:$E$56,4,FALSE)</f>
        <v>40</v>
      </c>
      <c r="W78" s="275">
        <f>VLOOKUP(Table2[[#This Row],[Course]],Data!$A$1:$E$56,5,FALSE)</f>
        <v>3</v>
      </c>
      <c r="X78" s="275">
        <v>709</v>
      </c>
      <c r="Y78" s="275">
        <v>40</v>
      </c>
      <c r="Z78" s="275">
        <v>5</v>
      </c>
      <c r="AA78" s="275">
        <v>41</v>
      </c>
      <c r="AB78" s="276">
        <v>1</v>
      </c>
      <c r="AC78" s="275">
        <v>4</v>
      </c>
      <c r="AD78" s="275">
        <v>3</v>
      </c>
      <c r="AE78" s="275">
        <v>0</v>
      </c>
      <c r="AF78" s="271" t="s">
        <v>208</v>
      </c>
      <c r="AG78" s="277">
        <f ca="1">Table2[[#This Row],[End Date]]+2-TODAY()</f>
        <v>-228</v>
      </c>
      <c r="AH78" s="275">
        <f>IF(ISBLANK(Table2[[#This Row],[Roster Received By]]),1,0)</f>
        <v>0</v>
      </c>
      <c r="AI78" s="275">
        <f ca="1">IF(Table2[[#This Row],[Start Date]]&gt;TODAY(),1,)</f>
        <v>0</v>
      </c>
    </row>
    <row r="79" spans="1:35" s="345" customFormat="1" ht="14.25" customHeight="1" x14ac:dyDescent="0.25">
      <c r="A79" s="270"/>
      <c r="B79" s="325" t="s">
        <v>26</v>
      </c>
      <c r="C79" s="272" t="str">
        <f>VLOOKUP(Table2[[#This Row],[Course]],Data!$A$1:$E$56,2,FALSE)</f>
        <v>A-493-2301</v>
      </c>
      <c r="D79" s="272" t="str">
        <f>VLOOKUP(Table2[[#This Row],[Course]],Data!$A$1:$E$56,3,FALSE)</f>
        <v>05ZD</v>
      </c>
      <c r="E79" s="346" t="s">
        <v>156</v>
      </c>
      <c r="F79" s="327">
        <v>45302</v>
      </c>
      <c r="G79" s="327">
        <v>45302</v>
      </c>
      <c r="H79" s="344">
        <v>0.33333333333333331</v>
      </c>
      <c r="I79" s="344"/>
      <c r="J79" s="327"/>
      <c r="K79" s="327"/>
      <c r="L79" s="327"/>
      <c r="M79" s="327"/>
      <c r="N79" s="327"/>
      <c r="O79" s="271" t="s">
        <v>78</v>
      </c>
      <c r="P79" s="271"/>
      <c r="Q79" s="276" t="e">
        <v>#REF!</v>
      </c>
      <c r="R79" s="331" t="e">
        <v>#REF!</v>
      </c>
      <c r="S79" s="276"/>
      <c r="T79" s="270"/>
      <c r="U79" s="270"/>
      <c r="V79" s="275">
        <f>VLOOKUP(Table2[[#This Row],[Course]],Data!$A$1:$E$56,4,FALSE)</f>
        <v>30</v>
      </c>
      <c r="W79" s="275">
        <f>VLOOKUP(Table2[[#This Row],[Course]],Data!$A$1:$E$56,5,FALSE)</f>
        <v>1</v>
      </c>
      <c r="X79" s="275">
        <v>20</v>
      </c>
      <c r="Y79" s="275">
        <v>30</v>
      </c>
      <c r="Z79" s="275">
        <v>5</v>
      </c>
      <c r="AA79" s="275">
        <v>30</v>
      </c>
      <c r="AB79" s="276">
        <v>0</v>
      </c>
      <c r="AC79" s="275">
        <v>7</v>
      </c>
      <c r="AD79" s="275">
        <v>6</v>
      </c>
      <c r="AE79" s="275">
        <v>8</v>
      </c>
      <c r="AF79" s="271" t="s">
        <v>191</v>
      </c>
      <c r="AG79" s="277">
        <f ca="1">Table2[[#This Row],[End Date]]+2-TODAY()</f>
        <v>-228</v>
      </c>
      <c r="AH79" s="275">
        <f>IF(ISBLANK(Table2[[#This Row],[Roster Received By]]),1,0)</f>
        <v>0</v>
      </c>
      <c r="AI79" s="275">
        <f ca="1">IF(Table2[[#This Row],[Start Date]]&gt;TODAY(),1,)</f>
        <v>0</v>
      </c>
    </row>
    <row r="80" spans="1:35" s="345" customFormat="1" ht="14.25" customHeight="1" x14ac:dyDescent="0.25">
      <c r="A80" s="270"/>
      <c r="B80" s="325" t="s">
        <v>35</v>
      </c>
      <c r="C80" s="272" t="str">
        <f>VLOOKUP(Table2[[#This Row],[Course]],Data!$A$1:$E$56,2,FALSE)</f>
        <v>A-493-2501</v>
      </c>
      <c r="D80" s="272" t="str">
        <f>VLOOKUP(Table2[[#This Row],[Course]],Data!$A$1:$E$56,3,FALSE)</f>
        <v>05ZE</v>
      </c>
      <c r="E80" s="356" t="s">
        <v>156</v>
      </c>
      <c r="F80" s="326">
        <v>45303</v>
      </c>
      <c r="G80" s="326">
        <v>45303</v>
      </c>
      <c r="H80" s="344">
        <v>0.33333333333333331</v>
      </c>
      <c r="I80" s="344"/>
      <c r="J80" s="327"/>
      <c r="K80" s="327"/>
      <c r="L80" s="327"/>
      <c r="M80" s="327"/>
      <c r="N80" s="327"/>
      <c r="O80" s="271" t="s">
        <v>78</v>
      </c>
      <c r="P80" s="271"/>
      <c r="Q80" s="298" t="e">
        <v>#REF!</v>
      </c>
      <c r="R80" s="328" t="e">
        <v>#REF!</v>
      </c>
      <c r="S80" s="298"/>
      <c r="T80" s="301"/>
      <c r="U80" s="301"/>
      <c r="V80" s="275">
        <f>VLOOKUP(Table2[[#This Row],[Course]],Data!$A$1:$E$56,4,FALSE)</f>
        <v>30</v>
      </c>
      <c r="W80" s="275">
        <f>VLOOKUP(Table2[[#This Row],[Course]],Data!$A$1:$E$56,5,FALSE)</f>
        <v>1</v>
      </c>
      <c r="X80" s="275">
        <v>35</v>
      </c>
      <c r="Y80" s="275">
        <v>30</v>
      </c>
      <c r="Z80" s="275">
        <v>5</v>
      </c>
      <c r="AA80" s="275">
        <v>30</v>
      </c>
      <c r="AB80" s="276">
        <v>0</v>
      </c>
      <c r="AC80" s="275">
        <v>7</v>
      </c>
      <c r="AD80" s="275">
        <v>6</v>
      </c>
      <c r="AE80" s="275">
        <v>8</v>
      </c>
      <c r="AF80" s="271" t="s">
        <v>191</v>
      </c>
      <c r="AG80" s="277">
        <f ca="1">Table2[[#This Row],[End Date]]+2-TODAY()</f>
        <v>-227</v>
      </c>
      <c r="AH80" s="275">
        <f>IF(ISBLANK(Table2[[#This Row],[Roster Received By]]),1,0)</f>
        <v>0</v>
      </c>
      <c r="AI80" s="275">
        <f ca="1">IF(Table2[[#This Row],[Start Date]]&gt;TODAY(),1,)</f>
        <v>0</v>
      </c>
    </row>
    <row r="81" spans="1:35" s="345" customFormat="1" ht="14.25" customHeight="1" x14ac:dyDescent="0.25">
      <c r="A81" s="270" t="s">
        <v>498</v>
      </c>
      <c r="B81" s="271" t="s">
        <v>17</v>
      </c>
      <c r="C81" s="272" t="str">
        <f>VLOOKUP(Table2[[#This Row],[Course]],Data!$A$1:$E$56,2,FALSE)</f>
        <v>A-493-0012</v>
      </c>
      <c r="D81" s="272">
        <f>VLOOKUP(Table2[[#This Row],[Course]],Data!$A$1:$E$56,3,FALSE)</f>
        <v>3682</v>
      </c>
      <c r="E81" s="346" t="s">
        <v>147</v>
      </c>
      <c r="F81" s="273">
        <v>45306</v>
      </c>
      <c r="G81" s="327">
        <v>45310</v>
      </c>
      <c r="H81" s="344">
        <v>0.33333333333333331</v>
      </c>
      <c r="I81" s="344"/>
      <c r="J81" s="327"/>
      <c r="K81" s="327"/>
      <c r="L81" s="327"/>
      <c r="M81" s="327"/>
      <c r="N81" s="327"/>
      <c r="O81" s="271" t="s">
        <v>78</v>
      </c>
      <c r="P81" s="271"/>
      <c r="Q81" s="276" t="e">
        <v>#REF!</v>
      </c>
      <c r="R81" s="331" t="e">
        <v>#REF!</v>
      </c>
      <c r="S81" s="276"/>
      <c r="T81" s="270"/>
      <c r="U81" s="270"/>
      <c r="V81" s="275">
        <f>VLOOKUP(Table2[[#This Row],[Course]],Data!$A$1:$E$56,4,FALSE)</f>
        <v>40</v>
      </c>
      <c r="W81" s="275">
        <f>VLOOKUP(Table2[[#This Row],[Course]],Data!$A$1:$E$56,5,FALSE)</f>
        <v>5</v>
      </c>
      <c r="X81" s="275">
        <v>34</v>
      </c>
      <c r="Y81" s="275">
        <v>27</v>
      </c>
      <c r="Z81" s="275">
        <v>0</v>
      </c>
      <c r="AA81" s="275">
        <v>30</v>
      </c>
      <c r="AB81" s="276">
        <v>2</v>
      </c>
      <c r="AC81" s="275">
        <v>0</v>
      </c>
      <c r="AD81" s="275">
        <v>5</v>
      </c>
      <c r="AE81" s="275">
        <v>0</v>
      </c>
      <c r="AF81" s="271" t="s">
        <v>191</v>
      </c>
      <c r="AG81" s="277">
        <f ca="1">Table2[[#This Row],[End Date]]+2-TODAY()</f>
        <v>-220</v>
      </c>
      <c r="AH81" s="275">
        <f>IF(ISBLANK(Table2[[#This Row],[Roster Received By]]),1,0)</f>
        <v>0</v>
      </c>
      <c r="AI81" s="275">
        <f ca="1">IF(Table2[[#This Row],[Start Date]]&gt;TODAY(),1,)</f>
        <v>0</v>
      </c>
    </row>
    <row r="82" spans="1:35" s="364" customFormat="1" ht="14.25" customHeight="1" x14ac:dyDescent="0.25">
      <c r="A82" s="271" t="s">
        <v>499</v>
      </c>
      <c r="B82" s="271" t="s">
        <v>334</v>
      </c>
      <c r="C82" s="272" t="str">
        <f>VLOOKUP(Table2[[#This Row],[Course]],Data!$A$1:$E$56,2,FALSE)</f>
        <v>Holiday</v>
      </c>
      <c r="D82" s="272" t="str">
        <f>VLOOKUP(Table2[[#This Row],[Course]],Data!$A$1:$E$56,3,FALSE)</f>
        <v>Holiday</v>
      </c>
      <c r="E82" s="271"/>
      <c r="F82" s="327">
        <v>45306</v>
      </c>
      <c r="G82" s="327">
        <v>45306</v>
      </c>
      <c r="H82" s="344">
        <v>0</v>
      </c>
      <c r="I82" s="344">
        <v>0</v>
      </c>
      <c r="J82" s="344">
        <v>0</v>
      </c>
      <c r="K82" s="344">
        <v>0</v>
      </c>
      <c r="L82" s="344">
        <v>0</v>
      </c>
      <c r="M82" s="344">
        <v>0</v>
      </c>
      <c r="N82" s="344">
        <v>0</v>
      </c>
      <c r="O82" s="271"/>
      <c r="P82" s="271"/>
      <c r="Q82" s="331" t="e">
        <v>#REF!</v>
      </c>
      <c r="R82" s="331" t="e">
        <v>#REF!</v>
      </c>
      <c r="S82" s="332">
        <v>0</v>
      </c>
      <c r="T82" s="270">
        <v>0</v>
      </c>
      <c r="U82" s="270">
        <v>0</v>
      </c>
      <c r="V82" s="275">
        <f>VLOOKUP(Table2[[#This Row],[Course]],Data!$A$1:$E$56,4,FALSE)</f>
        <v>0</v>
      </c>
      <c r="W82" s="275">
        <f>VLOOKUP(Table2[[#This Row],[Course]],Data!$A$1:$E$56,5,FALSE)</f>
        <v>0</v>
      </c>
      <c r="X82" s="275">
        <v>0</v>
      </c>
      <c r="Y82" s="275">
        <v>0</v>
      </c>
      <c r="Z82" s="275">
        <v>0</v>
      </c>
      <c r="AA82" s="275">
        <v>0</v>
      </c>
      <c r="AB82" s="276">
        <v>0</v>
      </c>
      <c r="AC82" s="275">
        <v>0</v>
      </c>
      <c r="AD82" s="275">
        <v>0</v>
      </c>
      <c r="AE82" s="275">
        <v>0</v>
      </c>
      <c r="AF82" s="271" t="s">
        <v>194</v>
      </c>
      <c r="AG82" s="277">
        <f ca="1">Table2[[#This Row],[End Date]]+2-TODAY()</f>
        <v>-224</v>
      </c>
      <c r="AH82" s="275">
        <f>IF(ISBLANK(Table2[[#This Row],[Roster Received By]]),1,0)</f>
        <v>0</v>
      </c>
      <c r="AI82" s="275">
        <f ca="1">IF(Table2[[#This Row],[Start Date]]&gt;TODAY(),1,)</f>
        <v>0</v>
      </c>
    </row>
    <row r="83" spans="1:35" s="345" customFormat="1" ht="14.25" customHeight="1" x14ac:dyDescent="0.25">
      <c r="A83" s="270"/>
      <c r="B83" s="271" t="s">
        <v>214</v>
      </c>
      <c r="C83" s="272" t="str">
        <f>VLOOKUP(Table2[[#This Row],[Course]],Data!$A$1:$E$56,2,FALSE)</f>
        <v>A-493-0665</v>
      </c>
      <c r="D83" s="272" t="str">
        <f>VLOOKUP(Table2[[#This Row],[Course]],Data!$A$1:$E$56,3,FALSE)</f>
        <v>10KW</v>
      </c>
      <c r="E83" s="271" t="s">
        <v>116</v>
      </c>
      <c r="F83" s="327">
        <v>45307</v>
      </c>
      <c r="G83" s="327">
        <v>45310</v>
      </c>
      <c r="H83" s="327"/>
      <c r="I83" s="274">
        <v>0.79166666666666663</v>
      </c>
      <c r="J83" s="274">
        <v>0.66666666666666663</v>
      </c>
      <c r="K83" s="274">
        <v>8.3333333333333329E-2</v>
      </c>
      <c r="L83" s="274">
        <v>0</v>
      </c>
      <c r="M83" s="274">
        <v>0.54166666666666663</v>
      </c>
      <c r="N83" s="274">
        <v>0.33333333333333331</v>
      </c>
      <c r="O83" s="271" t="s">
        <v>83</v>
      </c>
      <c r="P83" s="271"/>
      <c r="Q83" s="298" t="e">
        <v>#REF!</v>
      </c>
      <c r="R83" s="328" t="e">
        <v>#REF!</v>
      </c>
      <c r="S83" s="298"/>
      <c r="T83" s="301"/>
      <c r="U83" s="301"/>
      <c r="V83" s="275">
        <f>VLOOKUP(Table2[[#This Row],[Course]],Data!$A$1:$E$56,4,FALSE)</f>
        <v>45</v>
      </c>
      <c r="W83" s="275">
        <f>VLOOKUP(Table2[[#This Row],[Course]],Data!$A$1:$E$56,5,FALSE)</f>
        <v>5</v>
      </c>
      <c r="X83" s="275">
        <v>43</v>
      </c>
      <c r="Y83" s="275">
        <v>45</v>
      </c>
      <c r="Z83" s="275">
        <v>1</v>
      </c>
      <c r="AA83" s="275">
        <v>37</v>
      </c>
      <c r="AB83" s="276">
        <v>4</v>
      </c>
      <c r="AC83" s="275">
        <v>5</v>
      </c>
      <c r="AD83" s="275">
        <v>1</v>
      </c>
      <c r="AE83" s="275">
        <v>0</v>
      </c>
      <c r="AF83" s="271" t="s">
        <v>213</v>
      </c>
      <c r="AG83" s="277">
        <f ca="1">Table2[[#This Row],[End Date]]+2-TODAY()</f>
        <v>-220</v>
      </c>
      <c r="AH83" s="275">
        <f>IF(ISBLANK(Table2[[#This Row],[Roster Received By]]),1,0)</f>
        <v>0</v>
      </c>
      <c r="AI83" s="275">
        <f ca="1">IF(Table2[[#This Row],[Start Date]]&gt;TODAY(),1,)</f>
        <v>0</v>
      </c>
    </row>
    <row r="84" spans="1:35" s="345" customFormat="1" ht="14.25" customHeight="1" x14ac:dyDescent="0.25">
      <c r="A84" s="270"/>
      <c r="B84" s="325" t="s">
        <v>288</v>
      </c>
      <c r="C84" s="272" t="str">
        <f>VLOOKUP(Table2[[#This Row],[Course]],Data!$A$1:$E$56,2,FALSE)</f>
        <v>A-493-0073</v>
      </c>
      <c r="D84" s="272" t="str">
        <f>VLOOKUP(Table2[[#This Row],[Course]],Data!$A$1:$E$56,3,FALSE)</f>
        <v>714S</v>
      </c>
      <c r="E84" s="271" t="s">
        <v>116</v>
      </c>
      <c r="F84" s="326">
        <v>45307</v>
      </c>
      <c r="G84" s="326">
        <v>45310</v>
      </c>
      <c r="H84" s="327"/>
      <c r="I84" s="274">
        <v>0.41666666666666669</v>
      </c>
      <c r="J84" s="274">
        <v>0.29166666666666669</v>
      </c>
      <c r="K84" s="274">
        <v>0.75</v>
      </c>
      <c r="L84" s="274">
        <v>0.66666666666666663</v>
      </c>
      <c r="M84" s="274">
        <v>0.20833333333333334</v>
      </c>
      <c r="N84" s="274">
        <v>0</v>
      </c>
      <c r="O84" s="271" t="s">
        <v>94</v>
      </c>
      <c r="P84" s="271"/>
      <c r="Q84" s="328" t="e">
        <v>#REF!</v>
      </c>
      <c r="R84" s="328" t="e">
        <v>#REF!</v>
      </c>
      <c r="S84" s="367"/>
      <c r="T84" s="301"/>
      <c r="U84" s="299"/>
      <c r="V84" s="275">
        <f>VLOOKUP(Table2[[#This Row],[Course]],Data!$A$1:$E$56,4,FALSE)</f>
        <v>30</v>
      </c>
      <c r="W84" s="275">
        <f>VLOOKUP(Table2[[#This Row],[Course]],Data!$A$1:$E$56,5,FALSE)</f>
        <v>4</v>
      </c>
      <c r="X84" s="275">
        <v>318</v>
      </c>
      <c r="Y84" s="275">
        <v>29</v>
      </c>
      <c r="Z84" s="275">
        <v>1</v>
      </c>
      <c r="AA84" s="275">
        <v>26</v>
      </c>
      <c r="AB84" s="276">
        <v>0</v>
      </c>
      <c r="AC84" s="275">
        <v>4</v>
      </c>
      <c r="AD84" s="275">
        <v>0</v>
      </c>
      <c r="AE84" s="275">
        <v>0</v>
      </c>
      <c r="AF84" s="271" t="s">
        <v>189</v>
      </c>
      <c r="AG84" s="277">
        <f ca="1">Table2[[#This Row],[End Date]]+2-TODAY()</f>
        <v>-220</v>
      </c>
      <c r="AH84" s="275">
        <f>IF(ISBLANK(Table2[[#This Row],[Roster Received By]]),1,0)</f>
        <v>0</v>
      </c>
      <c r="AI84" s="275">
        <f ca="1">IF(Table2[[#This Row],[Start Date]]&gt;TODAY(),1,)</f>
        <v>0</v>
      </c>
    </row>
    <row r="85" spans="1:35" s="345" customFormat="1" ht="14.25" customHeight="1" x14ac:dyDescent="0.25">
      <c r="A85" s="270"/>
      <c r="B85" s="325" t="s">
        <v>34</v>
      </c>
      <c r="C85" s="272" t="str">
        <f>VLOOKUP(Table2[[#This Row],[Course]],Data!$A$1:$E$56,2,FALSE)</f>
        <v>A-493-0085</v>
      </c>
      <c r="D85" s="272">
        <f>VLOOKUP(Table2[[#This Row],[Course]],Data!$A$1:$E$56,3,FALSE)</f>
        <v>3555</v>
      </c>
      <c r="E85" s="325" t="s">
        <v>116</v>
      </c>
      <c r="F85" s="327">
        <v>45307</v>
      </c>
      <c r="G85" s="327">
        <v>45310</v>
      </c>
      <c r="H85" s="327"/>
      <c r="I85" s="274">
        <v>0.79166666666666663</v>
      </c>
      <c r="J85" s="274">
        <v>0.66666666666666663</v>
      </c>
      <c r="K85" s="274">
        <v>8.3333333333333329E-2</v>
      </c>
      <c r="L85" s="274">
        <v>0</v>
      </c>
      <c r="M85" s="274">
        <v>0.54166666666666663</v>
      </c>
      <c r="N85" s="274">
        <v>0.33333333333333331</v>
      </c>
      <c r="O85" s="271" t="s">
        <v>81</v>
      </c>
      <c r="P85" s="271" t="s">
        <v>86</v>
      </c>
      <c r="Q85" s="328" t="e">
        <v>#REF!</v>
      </c>
      <c r="R85" s="328" t="e">
        <v>#REF!</v>
      </c>
      <c r="S85" s="328"/>
      <c r="T85" s="301"/>
      <c r="U85" s="301"/>
      <c r="V85" s="275">
        <f>VLOOKUP(Table2[[#This Row],[Course]],Data!$A$1:$E$56,4,FALSE)</f>
        <v>30</v>
      </c>
      <c r="W85" s="275">
        <f>VLOOKUP(Table2[[#This Row],[Course]],Data!$A$1:$E$56,5,FALSE)</f>
        <v>4</v>
      </c>
      <c r="X85" s="275">
        <v>86</v>
      </c>
      <c r="Y85" s="275">
        <v>30</v>
      </c>
      <c r="Z85" s="275">
        <v>0</v>
      </c>
      <c r="AA85" s="275">
        <v>25</v>
      </c>
      <c r="AB85" s="276">
        <v>0</v>
      </c>
      <c r="AC85" s="275">
        <v>4</v>
      </c>
      <c r="AD85" s="275">
        <v>0</v>
      </c>
      <c r="AE85" s="275">
        <v>0</v>
      </c>
      <c r="AF85" s="271" t="s">
        <v>208</v>
      </c>
      <c r="AG85" s="277">
        <f ca="1">Table2[[#This Row],[End Date]]+2-TODAY()</f>
        <v>-220</v>
      </c>
      <c r="AH85" s="275">
        <f>IF(ISBLANK(Table2[[#This Row],[Roster Received By]]),1,0)</f>
        <v>0</v>
      </c>
      <c r="AI85" s="275">
        <f ca="1">IF(Table2[[#This Row],[Start Date]]&gt;TODAY(),1,)</f>
        <v>0</v>
      </c>
    </row>
    <row r="86" spans="1:35" s="345" customFormat="1" ht="14.25" customHeight="1" x14ac:dyDescent="0.25">
      <c r="A86" s="270"/>
      <c r="B86" s="361" t="s">
        <v>317</v>
      </c>
      <c r="C86" s="272" t="str">
        <f>VLOOKUP(Table2[[#This Row],[Course]],Data!$A$1:$E$56,2,FALSE)</f>
        <v>A-493-2098</v>
      </c>
      <c r="D86" s="272" t="str">
        <f>VLOOKUP(Table2[[#This Row],[Course]],Data!$A$1:$E$56,3,FALSE)</f>
        <v>09WW</v>
      </c>
      <c r="E86" s="271" t="s">
        <v>116</v>
      </c>
      <c r="F86" s="327">
        <v>45307</v>
      </c>
      <c r="G86" s="327">
        <v>45310</v>
      </c>
      <c r="H86" s="327"/>
      <c r="I86" s="274">
        <v>0.54166666666666663</v>
      </c>
      <c r="J86" s="274">
        <v>0.41666666666666669</v>
      </c>
      <c r="K86" s="274">
        <v>0.875</v>
      </c>
      <c r="L86" s="274">
        <v>0.79166666666666663</v>
      </c>
      <c r="M86" s="274">
        <v>0.33333333333333331</v>
      </c>
      <c r="N86" s="274">
        <v>0.125</v>
      </c>
      <c r="O86" s="271" t="s">
        <v>83</v>
      </c>
      <c r="P86" s="271"/>
      <c r="Q86" s="298" t="e">
        <v>#REF!</v>
      </c>
      <c r="R86" s="328" t="e">
        <v>#REF!</v>
      </c>
      <c r="S86" s="298"/>
      <c r="T86" s="301"/>
      <c r="U86" s="301"/>
      <c r="V86" s="275">
        <f>VLOOKUP(Table2[[#This Row],[Course]],Data!$A$1:$E$56,4,FALSE)</f>
        <v>100</v>
      </c>
      <c r="W86" s="275">
        <f>VLOOKUP(Table2[[#This Row],[Course]],Data!$A$1:$E$56,5,FALSE)</f>
        <v>5</v>
      </c>
      <c r="X86" s="275">
        <v>1257</v>
      </c>
      <c r="Y86" s="275">
        <v>100</v>
      </c>
      <c r="Z86" s="275">
        <v>3</v>
      </c>
      <c r="AA86" s="275">
        <v>75</v>
      </c>
      <c r="AB86" s="276">
        <v>6</v>
      </c>
      <c r="AC86" s="275">
        <v>22</v>
      </c>
      <c r="AD86" s="275">
        <v>1</v>
      </c>
      <c r="AE86" s="275">
        <v>0</v>
      </c>
      <c r="AF86" s="271" t="s">
        <v>205</v>
      </c>
      <c r="AG86" s="277">
        <f ca="1">Table2[[#This Row],[End Date]]+2-TODAY()</f>
        <v>-220</v>
      </c>
      <c r="AH86" s="275">
        <f>IF(ISBLANK(Table2[[#This Row],[Roster Received By]]),1,0)</f>
        <v>0</v>
      </c>
      <c r="AI86" s="275">
        <f ca="1">IF(Table2[[#This Row],[Start Date]]&gt;TODAY(),1,)</f>
        <v>0</v>
      </c>
    </row>
    <row r="87" spans="1:35" s="354" customFormat="1" ht="14.25" customHeight="1" x14ac:dyDescent="0.25">
      <c r="A87" s="271"/>
      <c r="B87" s="325" t="s">
        <v>28</v>
      </c>
      <c r="C87" s="272" t="str">
        <f>VLOOKUP(Table2[[#This Row],[Course]],Data!$A$1:$E$56,2,FALSE)</f>
        <v>A-493-0092</v>
      </c>
      <c r="D87" s="272">
        <f>VLOOKUP(Table2[[#This Row],[Course]],Data!$A$1:$E$56,3,FALSE)</f>
        <v>5891</v>
      </c>
      <c r="E87" s="346" t="s">
        <v>140</v>
      </c>
      <c r="F87" s="327">
        <v>45308</v>
      </c>
      <c r="G87" s="327">
        <v>45310</v>
      </c>
      <c r="H87" s="344">
        <v>0.33333333333333331</v>
      </c>
      <c r="I87" s="344"/>
      <c r="J87" s="327"/>
      <c r="K87" s="327"/>
      <c r="L87" s="327"/>
      <c r="M87" s="327"/>
      <c r="N87" s="327"/>
      <c r="O87" s="271" t="s">
        <v>90</v>
      </c>
      <c r="P87" s="271" t="s">
        <v>84</v>
      </c>
      <c r="Q87" s="331" t="e">
        <v>#REF!</v>
      </c>
      <c r="R87" s="331" t="e">
        <v>#REF!</v>
      </c>
      <c r="S87" s="332"/>
      <c r="T87" s="270"/>
      <c r="U87" s="270"/>
      <c r="V87" s="275">
        <f>VLOOKUP(Table2[[#This Row],[Course]],Data!$A$1:$E$56,4,FALSE)</f>
        <v>25</v>
      </c>
      <c r="W87" s="275">
        <f>VLOOKUP(Table2[[#This Row],[Course]],Data!$A$1:$E$56,5,FALSE)</f>
        <v>3</v>
      </c>
      <c r="X87" s="275">
        <v>192</v>
      </c>
      <c r="Y87" s="275">
        <v>16</v>
      </c>
      <c r="Z87" s="275">
        <v>0</v>
      </c>
      <c r="AA87" s="275">
        <v>15</v>
      </c>
      <c r="AB87" s="276">
        <v>0</v>
      </c>
      <c r="AC87" s="275">
        <v>1</v>
      </c>
      <c r="AD87" s="275">
        <v>1</v>
      </c>
      <c r="AE87" s="275">
        <v>0</v>
      </c>
      <c r="AF87" s="271" t="s">
        <v>205</v>
      </c>
      <c r="AG87" s="277">
        <f ca="1">Table2[[#This Row],[End Date]]+2-TODAY()</f>
        <v>-220</v>
      </c>
      <c r="AH87" s="275">
        <f>IF(ISBLANK(Table2[[#This Row],[Roster Received By]]),1,0)</f>
        <v>0</v>
      </c>
      <c r="AI87" s="275">
        <f ca="1">IF(Table2[[#This Row],[Start Date]]&gt;TODAY(),1,)</f>
        <v>0</v>
      </c>
    </row>
    <row r="88" spans="1:35" s="345" customFormat="1" ht="14.25" customHeight="1" x14ac:dyDescent="0.25">
      <c r="A88" s="270"/>
      <c r="B88" s="271" t="s">
        <v>236</v>
      </c>
      <c r="C88" s="272" t="str">
        <f>VLOOKUP(Table2[[#This Row],[Course]],Data!$A$1:$E$56,2,FALSE)</f>
        <v>A-493-0103</v>
      </c>
      <c r="D88" s="272" t="str">
        <f>VLOOKUP(Table2[[#This Row],[Course]],Data!$A$1:$E$56,3,FALSE)</f>
        <v>12JY</v>
      </c>
      <c r="E88" s="271" t="s">
        <v>109</v>
      </c>
      <c r="F88" s="327">
        <v>45313</v>
      </c>
      <c r="G88" s="327">
        <v>45317</v>
      </c>
      <c r="H88" s="344">
        <v>0.33333333333333331</v>
      </c>
      <c r="I88" s="344"/>
      <c r="J88" s="327"/>
      <c r="K88" s="327"/>
      <c r="L88" s="327"/>
      <c r="M88" s="327"/>
      <c r="N88" s="327"/>
      <c r="O88" s="271" t="s">
        <v>94</v>
      </c>
      <c r="P88" s="271"/>
      <c r="Q88" s="328" t="e">
        <v>#REF!</v>
      </c>
      <c r="R88" s="328" t="e">
        <v>#REF!</v>
      </c>
      <c r="S88" s="357"/>
      <c r="T88" s="301"/>
      <c r="U88" s="301"/>
      <c r="V88" s="275">
        <f>VLOOKUP(Table2[[#This Row],[Course]],Data!$A$1:$E$56,4,FALSE)</f>
        <v>25</v>
      </c>
      <c r="W88" s="275">
        <f>VLOOKUP(Table2[[#This Row],[Course]],Data!$A$1:$E$56,5,FALSE)</f>
        <v>5</v>
      </c>
      <c r="X88" s="275">
        <v>152</v>
      </c>
      <c r="Y88" s="275">
        <v>25</v>
      </c>
      <c r="Z88" s="275">
        <v>5</v>
      </c>
      <c r="AA88" s="275">
        <v>19</v>
      </c>
      <c r="AB88" s="276">
        <v>0</v>
      </c>
      <c r="AC88" s="275">
        <v>7</v>
      </c>
      <c r="AD88" s="275">
        <v>2</v>
      </c>
      <c r="AE88" s="272">
        <v>0</v>
      </c>
      <c r="AF88" s="271" t="s">
        <v>189</v>
      </c>
      <c r="AG88" s="277">
        <f ca="1">Table2[[#This Row],[End Date]]+2-TODAY()</f>
        <v>-213</v>
      </c>
      <c r="AH88" s="275">
        <f>IF(ISBLANK(Table2[[#This Row],[Roster Received By]]),1,0)</f>
        <v>0</v>
      </c>
      <c r="AI88" s="275">
        <f ca="1">IF(Table2[[#This Row],[Start Date]]&gt;TODAY(),1,)</f>
        <v>0</v>
      </c>
    </row>
    <row r="89" spans="1:35" s="345" customFormat="1" ht="14.25" customHeight="1" x14ac:dyDescent="0.25">
      <c r="A89" s="271"/>
      <c r="B89" s="271" t="s">
        <v>14</v>
      </c>
      <c r="C89" s="272" t="str">
        <f>VLOOKUP(Table2[[#This Row],[Course]],Data!$A$1:$E$56,2,FALSE)</f>
        <v>A-493-0030</v>
      </c>
      <c r="D89" s="272" t="str">
        <f>VLOOKUP(Table2[[#This Row],[Course]],Data!$A$1:$E$56,3,FALSE)</f>
        <v>286X</v>
      </c>
      <c r="E89" s="271" t="s">
        <v>155</v>
      </c>
      <c r="F89" s="327">
        <v>45313</v>
      </c>
      <c r="G89" s="327">
        <v>45317</v>
      </c>
      <c r="H89" s="344">
        <v>0.33333333333333331</v>
      </c>
      <c r="I89" s="344"/>
      <c r="J89" s="327"/>
      <c r="K89" s="327"/>
      <c r="L89" s="327"/>
      <c r="M89" s="327"/>
      <c r="N89" s="327"/>
      <c r="O89" s="271" t="s">
        <v>95</v>
      </c>
      <c r="P89" s="271"/>
      <c r="Q89" s="331" t="e">
        <v>#REF!</v>
      </c>
      <c r="R89" s="331" t="e">
        <v>#REF!</v>
      </c>
      <c r="S89" s="332"/>
      <c r="T89" s="270"/>
      <c r="U89" s="270"/>
      <c r="V89" s="275">
        <f>VLOOKUP(Table2[[#This Row],[Course]],Data!$A$1:$E$56,4,FALSE)</f>
        <v>25</v>
      </c>
      <c r="W89" s="275">
        <f>VLOOKUP(Table2[[#This Row],[Course]],Data!$A$1:$E$56,5,FALSE)</f>
        <v>5</v>
      </c>
      <c r="X89" s="275">
        <v>59</v>
      </c>
      <c r="Y89" s="275">
        <v>25</v>
      </c>
      <c r="Z89" s="275">
        <v>1</v>
      </c>
      <c r="AA89" s="275">
        <v>22</v>
      </c>
      <c r="AB89" s="276">
        <v>0</v>
      </c>
      <c r="AC89" s="275">
        <v>5</v>
      </c>
      <c r="AD89" s="275">
        <v>2</v>
      </c>
      <c r="AE89" s="275">
        <v>0</v>
      </c>
      <c r="AF89" s="271" t="s">
        <v>205</v>
      </c>
      <c r="AG89" s="277">
        <f ca="1">Table2[[#This Row],[End Date]]+2-TODAY()</f>
        <v>-213</v>
      </c>
      <c r="AH89" s="275">
        <f>IF(ISBLANK(Table2[[#This Row],[Roster Received By]]),1,0)</f>
        <v>0</v>
      </c>
      <c r="AI89" s="275">
        <f ca="1">IF(Table2[[#This Row],[Start Date]]&gt;TODAY(),1,)</f>
        <v>0</v>
      </c>
    </row>
    <row r="90" spans="1:35" s="345" customFormat="1" ht="14.25" customHeight="1" x14ac:dyDescent="0.25">
      <c r="A90" s="270"/>
      <c r="B90" s="271" t="s">
        <v>243</v>
      </c>
      <c r="C90" s="272" t="str">
        <f>VLOOKUP(Table2[[#This Row],[Course]],Data!$A$1:$E$56,2,FALSE)</f>
        <v>A-493-0061</v>
      </c>
      <c r="D90" s="272" t="str">
        <f>VLOOKUP(Table2[[#This Row],[Course]],Data!$A$1:$E$56,3,FALSE)</f>
        <v>288E</v>
      </c>
      <c r="E90" s="271" t="s">
        <v>116</v>
      </c>
      <c r="F90" s="326">
        <v>45313</v>
      </c>
      <c r="G90" s="326">
        <v>45317</v>
      </c>
      <c r="H90" s="327"/>
      <c r="I90" s="274">
        <v>0.45833333333333331</v>
      </c>
      <c r="J90" s="274">
        <v>0.33333333333333331</v>
      </c>
      <c r="K90" s="274">
        <v>0.79166666666666663</v>
      </c>
      <c r="L90" s="274">
        <v>0.70833333333333337</v>
      </c>
      <c r="M90" s="274">
        <v>0.25</v>
      </c>
      <c r="N90" s="274">
        <v>4.1666666666666664E-2</v>
      </c>
      <c r="O90" s="271" t="s">
        <v>92</v>
      </c>
      <c r="P90" s="271"/>
      <c r="Q90" s="328" t="e">
        <v>#REF!</v>
      </c>
      <c r="R90" s="328" t="e">
        <v>#REF!</v>
      </c>
      <c r="S90" s="328"/>
      <c r="T90" s="301"/>
      <c r="U90" s="301"/>
      <c r="V90" s="275">
        <f>VLOOKUP(Table2[[#This Row],[Course]],Data!$A$1:$E$56,4,FALSE)</f>
        <v>45</v>
      </c>
      <c r="W90" s="275">
        <f>VLOOKUP(Table2[[#This Row],[Course]],Data!$A$1:$E$56,5,FALSE)</f>
        <v>5</v>
      </c>
      <c r="X90" s="275">
        <v>430</v>
      </c>
      <c r="Y90" s="275">
        <v>15</v>
      </c>
      <c r="Z90" s="275">
        <v>0</v>
      </c>
      <c r="AA90" s="275">
        <v>11</v>
      </c>
      <c r="AB90" s="276">
        <v>1</v>
      </c>
      <c r="AC90" s="275">
        <v>1</v>
      </c>
      <c r="AD90" s="275">
        <v>0</v>
      </c>
      <c r="AE90" s="275">
        <v>0</v>
      </c>
      <c r="AF90" s="271" t="s">
        <v>189</v>
      </c>
      <c r="AG90" s="277">
        <f ca="1">Table2[[#This Row],[End Date]]+2-TODAY()</f>
        <v>-213</v>
      </c>
      <c r="AH90" s="275">
        <f>IF(ISBLANK(Table2[[#This Row],[Roster Received By]]),1,0)</f>
        <v>0</v>
      </c>
      <c r="AI90" s="275">
        <f ca="1">IF(Table2[[#This Row],[Start Date]]&gt;TODAY(),1,)</f>
        <v>0</v>
      </c>
    </row>
    <row r="91" spans="1:35" s="302" customFormat="1" ht="14.25" customHeight="1" x14ac:dyDescent="0.25">
      <c r="A91" s="270"/>
      <c r="B91" s="271" t="s">
        <v>249</v>
      </c>
      <c r="C91" s="272" t="str">
        <f>VLOOKUP(Table2[[#This Row],[Course]],Data!$A$1:$E$56,2,FALSE)</f>
        <v>A-322-2604</v>
      </c>
      <c r="D91" s="272" t="str">
        <f>VLOOKUP(Table2[[#This Row],[Course]],Data!$A$1:$E$56,3,FALSE)</f>
        <v>10ZZ</v>
      </c>
      <c r="E91" s="271" t="s">
        <v>116</v>
      </c>
      <c r="F91" s="326">
        <v>45313</v>
      </c>
      <c r="G91" s="326">
        <v>45317</v>
      </c>
      <c r="H91" s="327"/>
      <c r="I91" s="274">
        <v>0.54166666666666663</v>
      </c>
      <c r="J91" s="274">
        <v>0.41666666666666669</v>
      </c>
      <c r="K91" s="274">
        <v>0.875</v>
      </c>
      <c r="L91" s="274">
        <v>0.79166666666666663</v>
      </c>
      <c r="M91" s="274">
        <v>0.33333333333333331</v>
      </c>
      <c r="N91" s="274">
        <v>0.125</v>
      </c>
      <c r="O91" s="271" t="s">
        <v>83</v>
      </c>
      <c r="P91" s="271"/>
      <c r="Q91" s="276" t="e">
        <v>#REF!</v>
      </c>
      <c r="R91" s="331" t="e">
        <v>#REF!</v>
      </c>
      <c r="S91" s="276"/>
      <c r="T91" s="270"/>
      <c r="U91" s="270"/>
      <c r="V91" s="275">
        <f>VLOOKUP(Table2[[#This Row],[Course]],Data!$A$1:$E$56,4,FALSE)</f>
        <v>45</v>
      </c>
      <c r="W91" s="275">
        <f>VLOOKUP(Table2[[#This Row],[Course]],Data!$A$1:$E$56,5,FALSE)</f>
        <v>5</v>
      </c>
      <c r="X91" s="275">
        <v>653</v>
      </c>
      <c r="Y91" s="275">
        <v>45</v>
      </c>
      <c r="Z91" s="275">
        <v>3</v>
      </c>
      <c r="AA91" s="275">
        <v>38</v>
      </c>
      <c r="AB91" s="276">
        <v>0</v>
      </c>
      <c r="AC91" s="275">
        <v>9</v>
      </c>
      <c r="AD91" s="275">
        <v>0</v>
      </c>
      <c r="AE91" s="272">
        <v>0</v>
      </c>
      <c r="AF91" s="271" t="s">
        <v>208</v>
      </c>
      <c r="AG91" s="277">
        <f ca="1">Table2[[#This Row],[End Date]]+2-TODAY()</f>
        <v>-213</v>
      </c>
      <c r="AH91" s="275">
        <f>IF(ISBLANK(Table2[[#This Row],[Roster Received By]]),1,0)</f>
        <v>0</v>
      </c>
      <c r="AI91" s="275">
        <f ca="1">IF(Table2[[#This Row],[Start Date]]&gt;TODAY(),1,)</f>
        <v>0</v>
      </c>
    </row>
    <row r="92" spans="1:35" s="354" customFormat="1" x14ac:dyDescent="0.25">
      <c r="A92" s="270"/>
      <c r="B92" s="271" t="s">
        <v>23</v>
      </c>
      <c r="C92" s="272" t="str">
        <f>VLOOKUP(Table2[[#This Row],[Course]],Data!$A$1:$E$56,2,FALSE)</f>
        <v>A-493-0077</v>
      </c>
      <c r="D92" s="272" t="str">
        <f>VLOOKUP(Table2[[#This Row],[Course]],Data!$A$1:$E$56,3,FALSE)</f>
        <v>0381</v>
      </c>
      <c r="E92" s="271" t="s">
        <v>155</v>
      </c>
      <c r="F92" s="273">
        <v>45313</v>
      </c>
      <c r="G92" s="273">
        <v>45315</v>
      </c>
      <c r="H92" s="274">
        <v>0.33333333333333331</v>
      </c>
      <c r="I92" s="274"/>
      <c r="J92" s="327"/>
      <c r="K92" s="327"/>
      <c r="L92" s="327"/>
      <c r="M92" s="327"/>
      <c r="N92" s="327"/>
      <c r="O92" s="271" t="s">
        <v>78</v>
      </c>
      <c r="P92" s="271"/>
      <c r="Q92" s="298" t="e">
        <v>#REF!</v>
      </c>
      <c r="R92" s="328" t="e">
        <v>#REF!</v>
      </c>
      <c r="S92" s="298"/>
      <c r="T92" s="301"/>
      <c r="U92" s="301"/>
      <c r="V92" s="275">
        <f>VLOOKUP(Table2[[#This Row],[Course]],Data!$A$1:$E$56,4,FALSE)</f>
        <v>25</v>
      </c>
      <c r="W92" s="275">
        <f>VLOOKUP(Table2[[#This Row],[Course]],Data!$A$1:$E$56,5,FALSE)</f>
        <v>3</v>
      </c>
      <c r="X92" s="275">
        <v>93</v>
      </c>
      <c r="Y92" s="275">
        <v>9</v>
      </c>
      <c r="Z92" s="275">
        <v>0</v>
      </c>
      <c r="AA92" s="275">
        <v>6</v>
      </c>
      <c r="AB92" s="276">
        <v>0</v>
      </c>
      <c r="AC92" s="275">
        <v>3</v>
      </c>
      <c r="AD92" s="275">
        <v>0</v>
      </c>
      <c r="AE92" s="275">
        <v>0</v>
      </c>
      <c r="AF92" s="271" t="s">
        <v>191</v>
      </c>
      <c r="AG92" s="277">
        <f ca="1">Table2[[#This Row],[End Date]]+2-TODAY()</f>
        <v>-215</v>
      </c>
      <c r="AH92" s="275">
        <f>IF(ISBLANK(Table2[[#This Row],[Roster Received By]]),1,0)</f>
        <v>0</v>
      </c>
      <c r="AI92" s="275">
        <f ca="1">IF(Table2[[#This Row],[Start Date]]&gt;TODAY(),1,)</f>
        <v>0</v>
      </c>
    </row>
    <row r="93" spans="1:35" s="345" customFormat="1" ht="14.25" customHeight="1" x14ac:dyDescent="0.25">
      <c r="A93" s="270"/>
      <c r="B93" s="271" t="s">
        <v>25</v>
      </c>
      <c r="C93" s="272" t="str">
        <f>VLOOKUP(Table2[[#This Row],[Course]],Data!$A$1:$E$56,2,FALSE)</f>
        <v>A-493-2300</v>
      </c>
      <c r="D93" s="272" t="str">
        <f>VLOOKUP(Table2[[#This Row],[Course]],Data!$A$1:$E$56,3,FALSE)</f>
        <v>993F</v>
      </c>
      <c r="E93" s="346" t="s">
        <v>166</v>
      </c>
      <c r="F93" s="327">
        <v>45313</v>
      </c>
      <c r="G93" s="327">
        <v>45314</v>
      </c>
      <c r="H93" s="344">
        <v>0.33333333333333331</v>
      </c>
      <c r="I93" s="344"/>
      <c r="J93" s="327"/>
      <c r="K93" s="327"/>
      <c r="L93" s="327"/>
      <c r="M93" s="327"/>
      <c r="N93" s="327"/>
      <c r="O93" s="271" t="s">
        <v>78</v>
      </c>
      <c r="P93" s="271"/>
      <c r="Q93" s="276" t="e">
        <v>#REF!</v>
      </c>
      <c r="R93" s="331" t="e">
        <v>#REF!</v>
      </c>
      <c r="S93" s="276"/>
      <c r="T93" s="270"/>
      <c r="U93" s="270"/>
      <c r="V93" s="275">
        <f>VLOOKUP(Table2[[#This Row],[Course]],Data!$A$1:$E$56,4,FALSE)</f>
        <v>30</v>
      </c>
      <c r="W93" s="275">
        <f>VLOOKUP(Table2[[#This Row],[Course]],Data!$A$1:$E$56,5,FALSE)</f>
        <v>2</v>
      </c>
      <c r="X93" s="275">
        <v>27</v>
      </c>
      <c r="Y93" s="275">
        <v>30</v>
      </c>
      <c r="Z93" s="275">
        <v>1</v>
      </c>
      <c r="AA93" s="275">
        <v>33</v>
      </c>
      <c r="AB93" s="276">
        <v>0</v>
      </c>
      <c r="AC93" s="275">
        <v>10</v>
      </c>
      <c r="AD93" s="275">
        <v>13</v>
      </c>
      <c r="AE93" s="275">
        <v>0</v>
      </c>
      <c r="AF93" s="271" t="s">
        <v>191</v>
      </c>
      <c r="AG93" s="277">
        <f ca="1">Table2[[#This Row],[End Date]]+2-TODAY()</f>
        <v>-216</v>
      </c>
      <c r="AH93" s="275">
        <f>IF(ISBLANK(Table2[[#This Row],[Roster Received By]]),1,0)</f>
        <v>0</v>
      </c>
      <c r="AI93" s="275">
        <f ca="1">IF(Table2[[#This Row],[Start Date]]&gt;TODAY(),1,)</f>
        <v>0</v>
      </c>
    </row>
    <row r="94" spans="1:35" s="354" customFormat="1" ht="14.25" customHeight="1" x14ac:dyDescent="0.25">
      <c r="A94" s="270"/>
      <c r="B94" s="325" t="s">
        <v>281</v>
      </c>
      <c r="C94" s="272" t="str">
        <f>VLOOKUP(Table2[[#This Row],[Course]],Data!$A$1:$E$56,2,FALSE)</f>
        <v>A-493-0550</v>
      </c>
      <c r="D94" s="272" t="str">
        <f>VLOOKUP(Table2[[#This Row],[Course]],Data!$A$1:$E$56,3,FALSE)</f>
        <v>09K5</v>
      </c>
      <c r="E94" s="271" t="s">
        <v>116</v>
      </c>
      <c r="F94" s="326">
        <v>45313</v>
      </c>
      <c r="G94" s="326">
        <v>45317</v>
      </c>
      <c r="H94" s="327"/>
      <c r="I94" s="274">
        <v>0.54166666666666663</v>
      </c>
      <c r="J94" s="274">
        <v>0.41666666666666669</v>
      </c>
      <c r="K94" s="274">
        <v>0.875</v>
      </c>
      <c r="L94" s="274">
        <v>0.79166666666666663</v>
      </c>
      <c r="M94" s="274">
        <v>0.33333333333333331</v>
      </c>
      <c r="N94" s="274">
        <v>0.125</v>
      </c>
      <c r="O94" s="271" t="s">
        <v>85</v>
      </c>
      <c r="P94" s="271"/>
      <c r="Q94" s="331" t="e">
        <v>#REF!</v>
      </c>
      <c r="R94" s="331" t="e">
        <v>#REF!</v>
      </c>
      <c r="S94" s="332"/>
      <c r="T94" s="270"/>
      <c r="U94" s="270"/>
      <c r="V94" s="275">
        <f>VLOOKUP(Table2[[#This Row],[Course]],Data!$A$1:$E$56,4,FALSE)</f>
        <v>45</v>
      </c>
      <c r="W94" s="275">
        <f>VLOOKUP(Table2[[#This Row],[Course]],Data!$A$1:$E$56,5,FALSE)</f>
        <v>4</v>
      </c>
      <c r="X94" s="275">
        <v>746</v>
      </c>
      <c r="Y94" s="275">
        <v>45</v>
      </c>
      <c r="Z94" s="275">
        <v>1</v>
      </c>
      <c r="AA94" s="275">
        <v>38</v>
      </c>
      <c r="AB94" s="276">
        <v>1</v>
      </c>
      <c r="AC94" s="275">
        <v>7</v>
      </c>
      <c r="AD94" s="275">
        <v>1</v>
      </c>
      <c r="AE94" s="275">
        <v>0</v>
      </c>
      <c r="AF94" s="271" t="s">
        <v>205</v>
      </c>
      <c r="AG94" s="277">
        <f ca="1">Table2[[#This Row],[End Date]]+2-TODAY()</f>
        <v>-213</v>
      </c>
      <c r="AH94" s="275">
        <f>IF(ISBLANK(Table2[[#This Row],[Roster Received By]]),1,0)</f>
        <v>0</v>
      </c>
      <c r="AI94" s="275">
        <f ca="1">IF(Table2[[#This Row],[Start Date]]&gt;TODAY(),1,)</f>
        <v>0</v>
      </c>
    </row>
    <row r="95" spans="1:35" s="345" customFormat="1" ht="16.5" customHeight="1" x14ac:dyDescent="0.25">
      <c r="A95" s="270" t="s">
        <v>73</v>
      </c>
      <c r="B95" s="325" t="s">
        <v>292</v>
      </c>
      <c r="C95" s="272" t="str">
        <f>VLOOKUP(Table2[[#This Row],[Course]],Data!$A$1:$E$56,2,FALSE)</f>
        <v>A-493-0078</v>
      </c>
      <c r="D95" s="272">
        <f>VLOOKUP(Table2[[#This Row],[Course]],Data!$A$1:$E$56,3,FALSE)</f>
        <v>1228</v>
      </c>
      <c r="E95" s="325" t="s">
        <v>116</v>
      </c>
      <c r="F95" s="326">
        <v>45313</v>
      </c>
      <c r="G95" s="326">
        <v>45317</v>
      </c>
      <c r="H95" s="327"/>
      <c r="I95" s="274">
        <v>0.79166666666666663</v>
      </c>
      <c r="J95" s="274">
        <v>0.66666666666666663</v>
      </c>
      <c r="K95" s="274">
        <v>0.125</v>
      </c>
      <c r="L95" s="274">
        <v>4.1666666666666664E-2</v>
      </c>
      <c r="M95" s="274">
        <v>0.58333333333333337</v>
      </c>
      <c r="N95" s="274">
        <v>0.375</v>
      </c>
      <c r="O95" s="271" t="s">
        <v>80</v>
      </c>
      <c r="P95" s="271"/>
      <c r="Q95" s="331" t="e">
        <v>#REF!</v>
      </c>
      <c r="R95" s="331" t="e">
        <v>#REF!</v>
      </c>
      <c r="S95" s="332"/>
      <c r="T95" s="270"/>
      <c r="U95" s="270"/>
      <c r="V95" s="275">
        <f>VLOOKUP(Table2[[#This Row],[Course]],Data!$A$1:$E$56,4,FALSE)</f>
        <v>45</v>
      </c>
      <c r="W95" s="275">
        <f>VLOOKUP(Table2[[#This Row],[Course]],Data!$A$1:$E$56,5,FALSE)</f>
        <v>5</v>
      </c>
      <c r="X95" s="275">
        <v>114</v>
      </c>
      <c r="Y95" s="275">
        <v>26</v>
      </c>
      <c r="Z95" s="275">
        <v>0</v>
      </c>
      <c r="AA95" s="275">
        <v>25</v>
      </c>
      <c r="AB95" s="276">
        <v>0</v>
      </c>
      <c r="AC95" s="275">
        <v>1</v>
      </c>
      <c r="AD95" s="275">
        <v>0</v>
      </c>
      <c r="AE95" s="275">
        <v>0</v>
      </c>
      <c r="AF95" s="271" t="s">
        <v>205</v>
      </c>
      <c r="AG95" s="277">
        <f ca="1">Table2[[#This Row],[End Date]]+2-TODAY()</f>
        <v>-213</v>
      </c>
      <c r="AH95" s="275">
        <f>IF(ISBLANK(Table2[[#This Row],[Roster Received By]]),1,0)</f>
        <v>0</v>
      </c>
      <c r="AI95" s="275">
        <f ca="1">IF(Table2[[#This Row],[Start Date]]&gt;TODAY(),1,)</f>
        <v>0</v>
      </c>
    </row>
    <row r="96" spans="1:35" s="345" customFormat="1" ht="14.25" customHeight="1" x14ac:dyDescent="0.25">
      <c r="A96" s="270"/>
      <c r="B96" s="271" t="s">
        <v>18</v>
      </c>
      <c r="C96" s="272" t="str">
        <f>VLOOKUP(Table2[[#This Row],[Course]],Data!$A$1:$E$56,2,FALSE)</f>
        <v>A-493-0013</v>
      </c>
      <c r="D96" s="272">
        <f>VLOOKUP(Table2[[#This Row],[Course]],Data!$A$1:$E$56,3,FALSE)</f>
        <v>3683</v>
      </c>
      <c r="E96" s="271" t="s">
        <v>182</v>
      </c>
      <c r="F96" s="326">
        <v>45314</v>
      </c>
      <c r="G96" s="326">
        <v>45316</v>
      </c>
      <c r="H96" s="344">
        <v>0.33333333333333331</v>
      </c>
      <c r="I96" s="344"/>
      <c r="J96" s="344"/>
      <c r="K96" s="344"/>
      <c r="L96" s="344"/>
      <c r="M96" s="344"/>
      <c r="N96" s="327"/>
      <c r="O96" s="270" t="s">
        <v>78</v>
      </c>
      <c r="P96" s="270"/>
      <c r="Q96" s="328" t="e">
        <v>#REF!</v>
      </c>
      <c r="R96" s="328" t="e">
        <v>#REF!</v>
      </c>
      <c r="S96" s="357"/>
      <c r="T96" s="301"/>
      <c r="U96" s="301"/>
      <c r="V96" s="275">
        <f>VLOOKUP(Table2[[#This Row],[Course]],Data!$A$1:$E$56,4,FALSE)</f>
        <v>40</v>
      </c>
      <c r="W96" s="275">
        <v>3</v>
      </c>
      <c r="X96" s="275">
        <v>0</v>
      </c>
      <c r="Y96" s="275">
        <v>13</v>
      </c>
      <c r="Z96" s="275">
        <v>0</v>
      </c>
      <c r="AA96" s="275">
        <v>16</v>
      </c>
      <c r="AB96" s="276">
        <v>0</v>
      </c>
      <c r="AC96" s="275">
        <v>1</v>
      </c>
      <c r="AD96" s="275">
        <v>3</v>
      </c>
      <c r="AE96" s="275">
        <v>0</v>
      </c>
      <c r="AF96" s="271" t="s">
        <v>191</v>
      </c>
      <c r="AG96" s="277">
        <f ca="1">Table2[[#This Row],[End Date]]+2-TODAY()</f>
        <v>-214</v>
      </c>
      <c r="AH96" s="275">
        <f>IF(ISBLANK(Table2[[#This Row],[Roster Received By]]),1,0)</f>
        <v>0</v>
      </c>
      <c r="AI96" s="275">
        <f ca="1">IF(Table2[[#This Row],[Start Date]]&gt;TODAY(),1,)</f>
        <v>0</v>
      </c>
    </row>
    <row r="97" spans="1:35" s="345" customFormat="1" ht="14.25" customHeight="1" x14ac:dyDescent="0.25">
      <c r="A97" s="270"/>
      <c r="B97" s="271" t="s">
        <v>19</v>
      </c>
      <c r="C97" s="272" t="str">
        <f>VLOOKUP(Table2[[#This Row],[Course]],Data!$A$1:$E$56,2,FALSE)</f>
        <v>A-493-0099</v>
      </c>
      <c r="D97" s="272" t="str">
        <f>VLOOKUP(Table2[[#This Row],[Course]],Data!$A$1:$E$56,3,FALSE)</f>
        <v>12JW</v>
      </c>
      <c r="E97" s="271" t="s">
        <v>116</v>
      </c>
      <c r="F97" s="327">
        <v>45314</v>
      </c>
      <c r="G97" s="327">
        <v>45316</v>
      </c>
      <c r="H97" s="327"/>
      <c r="I97" s="274">
        <v>0.54166666666666663</v>
      </c>
      <c r="J97" s="274">
        <v>0.41666666666666669</v>
      </c>
      <c r="K97" s="274">
        <v>0.875</v>
      </c>
      <c r="L97" s="274">
        <v>0.79166666666666663</v>
      </c>
      <c r="M97" s="274">
        <v>0.33333333333333331</v>
      </c>
      <c r="N97" s="274">
        <v>0.125</v>
      </c>
      <c r="O97" s="271" t="s">
        <v>88</v>
      </c>
      <c r="P97" s="271"/>
      <c r="Q97" s="328" t="e">
        <v>#REF!</v>
      </c>
      <c r="R97" s="328" t="e">
        <v>#REF!</v>
      </c>
      <c r="S97" s="357"/>
      <c r="T97" s="301"/>
      <c r="U97" s="301"/>
      <c r="V97" s="275">
        <f>VLOOKUP(Table2[[#This Row],[Course]],Data!$A$1:$E$56,4,FALSE)</f>
        <v>45</v>
      </c>
      <c r="W97" s="275">
        <f>VLOOKUP(Table2[[#This Row],[Course]],Data!$A$1:$E$56,5,FALSE)</f>
        <v>3</v>
      </c>
      <c r="X97" s="275">
        <v>682</v>
      </c>
      <c r="Y97" s="275">
        <v>45</v>
      </c>
      <c r="Z97" s="275">
        <v>0</v>
      </c>
      <c r="AA97" s="275">
        <v>40</v>
      </c>
      <c r="AB97" s="276">
        <v>0</v>
      </c>
      <c r="AC97" s="275">
        <v>4</v>
      </c>
      <c r="AD97" s="275">
        <v>0</v>
      </c>
      <c r="AE97" s="275">
        <v>0</v>
      </c>
      <c r="AF97" s="271" t="s">
        <v>189</v>
      </c>
      <c r="AG97" s="277">
        <f ca="1">Table2[[#This Row],[End Date]]+2-TODAY()</f>
        <v>-214</v>
      </c>
      <c r="AH97" s="275">
        <f>IF(ISBLANK(Table2[[#This Row],[Roster Received By]]),1,0)</f>
        <v>0</v>
      </c>
      <c r="AI97" s="275">
        <f ca="1">IF(Table2[[#This Row],[Start Date]]&gt;TODAY(),1,)</f>
        <v>0</v>
      </c>
    </row>
    <row r="98" spans="1:35" s="345" customFormat="1" ht="14.25" customHeight="1" x14ac:dyDescent="0.25">
      <c r="A98" s="270" t="s">
        <v>500</v>
      </c>
      <c r="B98" s="271" t="s">
        <v>38</v>
      </c>
      <c r="C98" s="272" t="str">
        <f>VLOOKUP(Table2[[#This Row],[Course]],Data!$A$1:$E$56,2,FALSE)</f>
        <v>A-493-0072</v>
      </c>
      <c r="D98" s="272" t="str">
        <f>VLOOKUP(Table2[[#This Row],[Course]],Data!$A$1:$E$56,3,FALSE)</f>
        <v>713U</v>
      </c>
      <c r="E98" s="325" t="s">
        <v>133</v>
      </c>
      <c r="F98" s="327">
        <v>45314</v>
      </c>
      <c r="G98" s="327">
        <v>45317</v>
      </c>
      <c r="H98" s="350">
        <v>0.33333333333333331</v>
      </c>
      <c r="I98" s="350"/>
      <c r="J98" s="327"/>
      <c r="K98" s="327"/>
      <c r="L98" s="327"/>
      <c r="M98" s="327"/>
      <c r="N98" s="327"/>
      <c r="O98" s="271" t="s">
        <v>86</v>
      </c>
      <c r="P98" s="271" t="s">
        <v>90</v>
      </c>
      <c r="Q98" s="331" t="e">
        <v>#REF!</v>
      </c>
      <c r="R98" s="331" t="e">
        <v>#REF!</v>
      </c>
      <c r="S98" s="331"/>
      <c r="T98" s="270"/>
      <c r="U98" s="270"/>
      <c r="V98" s="275">
        <f>VLOOKUP(Table2[[#This Row],[Course]],Data!$A$1:$E$56,4,FALSE)</f>
        <v>30</v>
      </c>
      <c r="W98" s="275">
        <f>VLOOKUP(Table2[[#This Row],[Course]],Data!$A$1:$E$56,5,FALSE)</f>
        <v>4</v>
      </c>
      <c r="X98" s="275">
        <v>34</v>
      </c>
      <c r="Y98" s="275">
        <v>30</v>
      </c>
      <c r="Z98" s="275">
        <v>0</v>
      </c>
      <c r="AA98" s="275">
        <v>28</v>
      </c>
      <c r="AB98" s="276">
        <v>0</v>
      </c>
      <c r="AC98" s="275">
        <v>2</v>
      </c>
      <c r="AD98" s="275">
        <v>0</v>
      </c>
      <c r="AE98" s="275">
        <v>0</v>
      </c>
      <c r="AF98" s="271" t="s">
        <v>208</v>
      </c>
      <c r="AG98" s="277">
        <f ca="1">Table2[[#This Row],[End Date]]+2-TODAY()</f>
        <v>-213</v>
      </c>
      <c r="AH98" s="275">
        <f>IF(ISBLANK(Table2[[#This Row],[Roster Received By]]),1,0)</f>
        <v>0</v>
      </c>
      <c r="AI98" s="275">
        <f ca="1">IF(Table2[[#This Row],[Start Date]]&gt;TODAY(),1,)</f>
        <v>0</v>
      </c>
    </row>
    <row r="99" spans="1:35" s="345" customFormat="1" ht="14.25" customHeight="1" x14ac:dyDescent="0.25">
      <c r="A99" s="270"/>
      <c r="B99" s="325" t="s">
        <v>35</v>
      </c>
      <c r="C99" s="272" t="str">
        <f>VLOOKUP(Table2[[#This Row],[Course]],Data!$A$1:$E$56,2,FALSE)</f>
        <v>A-493-2501</v>
      </c>
      <c r="D99" s="272" t="str">
        <f>VLOOKUP(Table2[[#This Row],[Course]],Data!$A$1:$E$56,3,FALSE)</f>
        <v>05ZE</v>
      </c>
      <c r="E99" s="356" t="s">
        <v>166</v>
      </c>
      <c r="F99" s="326">
        <v>45316</v>
      </c>
      <c r="G99" s="326">
        <v>45316</v>
      </c>
      <c r="H99" s="344">
        <v>0.33333333333333331</v>
      </c>
      <c r="I99" s="344"/>
      <c r="J99" s="327"/>
      <c r="K99" s="327"/>
      <c r="L99" s="327"/>
      <c r="M99" s="327"/>
      <c r="N99" s="327"/>
      <c r="O99" s="271" t="s">
        <v>78</v>
      </c>
      <c r="P99" s="271"/>
      <c r="Q99" s="298" t="e">
        <v>#REF!</v>
      </c>
      <c r="R99" s="328" t="e">
        <v>#REF!</v>
      </c>
      <c r="S99" s="298"/>
      <c r="T99" s="301"/>
      <c r="U99" s="301"/>
      <c r="V99" s="275">
        <f>VLOOKUP(Table2[[#This Row],[Course]],Data!$A$1:$E$56,4,FALSE)</f>
        <v>30</v>
      </c>
      <c r="W99" s="275">
        <f>VLOOKUP(Table2[[#This Row],[Course]],Data!$A$1:$E$56,5,FALSE)</f>
        <v>1</v>
      </c>
      <c r="X99" s="275">
        <v>114</v>
      </c>
      <c r="Y99" s="275">
        <v>30</v>
      </c>
      <c r="Z99" s="275">
        <v>5</v>
      </c>
      <c r="AA99" s="275">
        <v>31</v>
      </c>
      <c r="AB99" s="276">
        <v>0</v>
      </c>
      <c r="AC99" s="275">
        <v>15</v>
      </c>
      <c r="AD99" s="275">
        <v>12</v>
      </c>
      <c r="AE99" s="275">
        <v>10</v>
      </c>
      <c r="AF99" s="271" t="s">
        <v>191</v>
      </c>
      <c r="AG99" s="277">
        <f ca="1">Table2[[#This Row],[End Date]]+2-TODAY()</f>
        <v>-214</v>
      </c>
      <c r="AH99" s="275">
        <f>IF(ISBLANK(Table2[[#This Row],[Roster Received By]]),1,0)</f>
        <v>0</v>
      </c>
      <c r="AI99" s="275">
        <f ca="1">IF(Table2[[#This Row],[Start Date]]&gt;TODAY(),1,)</f>
        <v>0</v>
      </c>
    </row>
    <row r="100" spans="1:35" s="345" customFormat="1" ht="14.25" customHeight="1" x14ac:dyDescent="0.25">
      <c r="A100" s="270"/>
      <c r="B100" s="325" t="s">
        <v>27</v>
      </c>
      <c r="C100" s="272" t="str">
        <f>VLOOKUP(Table2[[#This Row],[Course]],Data!$A$1:$E$56,2,FALSE)</f>
        <v>A-493-0216</v>
      </c>
      <c r="D100" s="272" t="str">
        <f>VLOOKUP(Table2[[#This Row],[Course]],Data!$A$1:$E$56,3,FALSE)</f>
        <v>12X8</v>
      </c>
      <c r="E100" s="356" t="s">
        <v>166</v>
      </c>
      <c r="F100" s="327">
        <v>45317</v>
      </c>
      <c r="G100" s="327">
        <v>45317</v>
      </c>
      <c r="H100" s="344">
        <v>0.33333333333333331</v>
      </c>
      <c r="I100" s="344"/>
      <c r="J100" s="327"/>
      <c r="K100" s="327"/>
      <c r="L100" s="327"/>
      <c r="M100" s="327"/>
      <c r="N100" s="327"/>
      <c r="O100" s="271" t="s">
        <v>78</v>
      </c>
      <c r="P100" s="271"/>
      <c r="Q100" s="298" t="e">
        <v>#REF!</v>
      </c>
      <c r="R100" s="328" t="e">
        <v>#REF!</v>
      </c>
      <c r="S100" s="298"/>
      <c r="T100" s="301"/>
      <c r="U100" s="301"/>
      <c r="V100" s="275">
        <f>VLOOKUP(Table2[[#This Row],[Course]],Data!$A$1:$E$56,4,FALSE)</f>
        <v>30</v>
      </c>
      <c r="W100" s="275">
        <f>VLOOKUP(Table2[[#This Row],[Course]],Data!$A$1:$E$56,5,FALSE)</f>
        <v>1</v>
      </c>
      <c r="X100" s="275">
        <v>40</v>
      </c>
      <c r="Y100" s="275">
        <v>30</v>
      </c>
      <c r="Z100" s="275">
        <v>0</v>
      </c>
      <c r="AA100" s="275">
        <v>29</v>
      </c>
      <c r="AB100" s="276">
        <v>0</v>
      </c>
      <c r="AC100" s="275">
        <v>13</v>
      </c>
      <c r="AD100" s="275">
        <v>12</v>
      </c>
      <c r="AE100" s="275">
        <v>8</v>
      </c>
      <c r="AF100" s="271" t="s">
        <v>205</v>
      </c>
      <c r="AG100" s="277">
        <f ca="1">Table2[[#This Row],[End Date]]+2-TODAY()</f>
        <v>-213</v>
      </c>
      <c r="AH100" s="275">
        <f>IF(ISBLANK(Table2[[#This Row],[Roster Received By]]),1,0)</f>
        <v>0</v>
      </c>
      <c r="AI100" s="275">
        <f ca="1">IF(Table2[[#This Row],[Start Date]]&gt;TODAY(),1,)</f>
        <v>0</v>
      </c>
    </row>
    <row r="101" spans="1:35" s="345" customFormat="1" ht="14.25" customHeight="1" x14ac:dyDescent="0.25">
      <c r="A101" s="270"/>
      <c r="B101" s="271" t="s">
        <v>249</v>
      </c>
      <c r="C101" s="272" t="str">
        <f>VLOOKUP(Table2[[#This Row],[Course]],Data!$A$1:$E$56,2,FALSE)</f>
        <v>A-322-2604</v>
      </c>
      <c r="D101" s="272" t="str">
        <f>VLOOKUP(Table2[[#This Row],[Course]],Data!$A$1:$E$56,3,FALSE)</f>
        <v>10ZZ</v>
      </c>
      <c r="E101" s="271" t="s">
        <v>116</v>
      </c>
      <c r="F101" s="326">
        <v>45320</v>
      </c>
      <c r="G101" s="326">
        <v>45324</v>
      </c>
      <c r="H101" s="327"/>
      <c r="I101" s="274">
        <v>0.33333333333333331</v>
      </c>
      <c r="J101" s="274">
        <v>0.20833333333333334</v>
      </c>
      <c r="K101" s="274">
        <v>0.66666666666666663</v>
      </c>
      <c r="L101" s="274">
        <v>0.58333333333333337</v>
      </c>
      <c r="M101" s="274">
        <v>0.125</v>
      </c>
      <c r="N101" s="274">
        <v>0.91666666666666663</v>
      </c>
      <c r="O101" s="271" t="s">
        <v>83</v>
      </c>
      <c r="P101" s="271"/>
      <c r="Q101" s="276" t="e">
        <v>#REF!</v>
      </c>
      <c r="R101" s="331" t="e">
        <v>#REF!</v>
      </c>
      <c r="S101" s="276"/>
      <c r="T101" s="270"/>
      <c r="U101" s="270"/>
      <c r="V101" s="275">
        <f>VLOOKUP(Table2[[#This Row],[Course]],Data!$A$1:$E$56,4,FALSE)</f>
        <v>45</v>
      </c>
      <c r="W101" s="275">
        <f>VLOOKUP(Table2[[#This Row],[Course]],Data!$A$1:$E$56,5,FALSE)</f>
        <v>5</v>
      </c>
      <c r="X101" s="275">
        <v>403</v>
      </c>
      <c r="Y101" s="275">
        <v>45</v>
      </c>
      <c r="Z101" s="275">
        <v>0</v>
      </c>
      <c r="AA101" s="275">
        <v>41</v>
      </c>
      <c r="AB101" s="276">
        <v>0</v>
      </c>
      <c r="AC101" s="275">
        <v>6</v>
      </c>
      <c r="AD101" s="275">
        <v>3</v>
      </c>
      <c r="AE101" s="275">
        <v>0</v>
      </c>
      <c r="AF101" s="271" t="s">
        <v>208</v>
      </c>
      <c r="AG101" s="277">
        <f ca="1">Table2[[#This Row],[End Date]]+2-TODAY()</f>
        <v>-206</v>
      </c>
      <c r="AH101" s="275">
        <f>IF(ISBLANK(Table2[[#This Row],[Roster Received By]]),1,0)</f>
        <v>0</v>
      </c>
      <c r="AI101" s="275">
        <f ca="1">IF(Table2[[#This Row],[Start Date]]&gt;TODAY(),1,)</f>
        <v>0</v>
      </c>
    </row>
    <row r="102" spans="1:35" s="354" customFormat="1" x14ac:dyDescent="0.25">
      <c r="A102" s="270"/>
      <c r="B102" s="325" t="s">
        <v>28</v>
      </c>
      <c r="C102" s="272" t="str">
        <f>VLOOKUP(Table2[[#This Row],[Course]],Data!$A$1:$E$56,2,FALSE)</f>
        <v>A-493-0092</v>
      </c>
      <c r="D102" s="272">
        <f>VLOOKUP(Table2[[#This Row],[Course]],Data!$A$1:$E$56,3,FALSE)</f>
        <v>5891</v>
      </c>
      <c r="E102" s="271" t="s">
        <v>133</v>
      </c>
      <c r="F102" s="327">
        <v>45320</v>
      </c>
      <c r="G102" s="327">
        <v>45322</v>
      </c>
      <c r="H102" s="344">
        <v>0.33333333333333331</v>
      </c>
      <c r="I102" s="344"/>
      <c r="J102" s="327"/>
      <c r="K102" s="327"/>
      <c r="L102" s="327"/>
      <c r="M102" s="327"/>
      <c r="N102" s="327"/>
      <c r="O102" s="271" t="s">
        <v>86</v>
      </c>
      <c r="P102" s="271" t="s">
        <v>90</v>
      </c>
      <c r="Q102" s="331" t="e">
        <v>#REF!</v>
      </c>
      <c r="R102" s="331" t="e">
        <v>#REF!</v>
      </c>
      <c r="S102" s="332"/>
      <c r="T102" s="270"/>
      <c r="U102" s="270"/>
      <c r="V102" s="275">
        <f>VLOOKUP(Table2[[#This Row],[Course]],Data!$A$1:$E$56,4,FALSE)</f>
        <v>25</v>
      </c>
      <c r="W102" s="275">
        <f>VLOOKUP(Table2[[#This Row],[Course]],Data!$A$1:$E$56,5,FALSE)</f>
        <v>3</v>
      </c>
      <c r="X102" s="275">
        <v>12</v>
      </c>
      <c r="Y102" s="275">
        <v>16</v>
      </c>
      <c r="Z102" s="275">
        <v>0</v>
      </c>
      <c r="AA102" s="275">
        <v>14</v>
      </c>
      <c r="AB102" s="276">
        <v>0</v>
      </c>
      <c r="AC102" s="275">
        <v>2</v>
      </c>
      <c r="AD102" s="275">
        <v>2</v>
      </c>
      <c r="AE102" s="275">
        <v>0</v>
      </c>
      <c r="AF102" s="271" t="s">
        <v>205</v>
      </c>
      <c r="AG102" s="277">
        <f ca="1">Table2[[#This Row],[End Date]]+2-TODAY()</f>
        <v>-208</v>
      </c>
      <c r="AH102" s="275">
        <f>IF(ISBLANK(Table2[[#This Row],[Roster Received By]]),1,0)</f>
        <v>0</v>
      </c>
      <c r="AI102" s="275">
        <f ca="1">IF(Table2[[#This Row],[Start Date]]&gt;TODAY(),1,)</f>
        <v>0</v>
      </c>
    </row>
    <row r="103" spans="1:35" s="354" customFormat="1" x14ac:dyDescent="0.25">
      <c r="A103" s="270"/>
      <c r="B103" s="325" t="s">
        <v>274</v>
      </c>
      <c r="C103" s="272" t="str">
        <f>VLOOKUP(Table2[[#This Row],[Course]],Data!$A$1:$E$56,2,FALSE)</f>
        <v>A-493-0335</v>
      </c>
      <c r="D103" s="272" t="str">
        <f>VLOOKUP(Table2[[#This Row],[Course]],Data!$A$1:$E$56,3,FALSE)</f>
        <v>09ND</v>
      </c>
      <c r="E103" s="271" t="s">
        <v>116</v>
      </c>
      <c r="F103" s="334">
        <v>45320</v>
      </c>
      <c r="G103" s="334">
        <v>45323</v>
      </c>
      <c r="H103" s="273"/>
      <c r="I103" s="274">
        <v>0.33333333333333331</v>
      </c>
      <c r="J103" s="274">
        <v>0.25</v>
      </c>
      <c r="K103" s="274">
        <v>0.70833333333333337</v>
      </c>
      <c r="L103" s="274">
        <v>0.625</v>
      </c>
      <c r="M103" s="274">
        <v>0.16666666666666666</v>
      </c>
      <c r="N103" s="274">
        <v>0.95833333333333337</v>
      </c>
      <c r="O103" s="271" t="s">
        <v>84</v>
      </c>
      <c r="P103" s="271" t="s">
        <v>81</v>
      </c>
      <c r="Q103" s="331" t="e">
        <v>#REF!</v>
      </c>
      <c r="R103" s="331" t="e">
        <v>#REF!</v>
      </c>
      <c r="S103" s="332"/>
      <c r="T103" s="270"/>
      <c r="U103" s="270"/>
      <c r="V103" s="275">
        <f>VLOOKUP(Table2[[#This Row],[Course]],Data!$A$1:$E$56,4,FALSE)</f>
        <v>30</v>
      </c>
      <c r="W103" s="275">
        <f>VLOOKUP(Table2[[#This Row],[Course]],Data!$A$1:$E$56,5,FALSE)</f>
        <v>4</v>
      </c>
      <c r="X103" s="275">
        <v>368</v>
      </c>
      <c r="Y103" s="275">
        <v>30</v>
      </c>
      <c r="Z103" s="275">
        <v>4</v>
      </c>
      <c r="AA103" s="275">
        <v>27</v>
      </c>
      <c r="AB103" s="276">
        <v>1</v>
      </c>
      <c r="AC103" s="275">
        <v>3</v>
      </c>
      <c r="AD103" s="275">
        <v>0</v>
      </c>
      <c r="AE103" s="275">
        <v>0</v>
      </c>
      <c r="AF103" s="271" t="s">
        <v>208</v>
      </c>
      <c r="AG103" s="277">
        <f ca="1">Table2[[#This Row],[End Date]]+2-TODAY()</f>
        <v>-207</v>
      </c>
      <c r="AH103" s="275">
        <f>IF(ISBLANK(Table2[[#This Row],[Roster Received By]]),1,0)</f>
        <v>0</v>
      </c>
      <c r="AI103" s="275">
        <f ca="1">IF(Table2[[#This Row],[Start Date]]&gt;TODAY(),1,)</f>
        <v>0</v>
      </c>
    </row>
    <row r="104" spans="1:35" s="354" customFormat="1" x14ac:dyDescent="0.25">
      <c r="A104" s="270"/>
      <c r="B104" s="271" t="s">
        <v>303</v>
      </c>
      <c r="C104" s="272" t="str">
        <f>VLOOKUP(Table2[[#This Row],[Course]],Data!$A$1:$E$56,2,FALSE)</f>
        <v>A-570-0100</v>
      </c>
      <c r="D104" s="272" t="str">
        <f>VLOOKUP(Table2[[#This Row],[Course]],Data!$A$1:$E$56,3,FALSE)</f>
        <v>18B7</v>
      </c>
      <c r="E104" s="325" t="s">
        <v>116</v>
      </c>
      <c r="F104" s="327">
        <v>45320</v>
      </c>
      <c r="G104" s="327">
        <v>45323</v>
      </c>
      <c r="H104" s="327"/>
      <c r="I104" s="274">
        <v>0.54166666666666663</v>
      </c>
      <c r="J104" s="274">
        <v>0.41666666666666669</v>
      </c>
      <c r="K104" s="274">
        <v>0.875</v>
      </c>
      <c r="L104" s="274">
        <v>0.79166666666666663</v>
      </c>
      <c r="M104" s="274">
        <v>0.33333333333333331</v>
      </c>
      <c r="N104" s="274">
        <v>0.125</v>
      </c>
      <c r="O104" s="271" t="s">
        <v>89</v>
      </c>
      <c r="P104" s="271"/>
      <c r="Q104" s="298" t="e">
        <v>#REF!</v>
      </c>
      <c r="R104" s="328" t="e">
        <v>#REF!</v>
      </c>
      <c r="S104" s="298"/>
      <c r="T104" s="301"/>
      <c r="U104" s="301"/>
      <c r="V104" s="275">
        <f>VLOOKUP(Table2[[#This Row],[Course]],Data!$A$1:$E$56,4,FALSE)</f>
        <v>30</v>
      </c>
      <c r="W104" s="275">
        <f>VLOOKUP(Table2[[#This Row],[Course]],Data!$A$1:$E$56,5,FALSE)</f>
        <v>4</v>
      </c>
      <c r="X104" s="275">
        <v>459</v>
      </c>
      <c r="Y104" s="275">
        <v>30</v>
      </c>
      <c r="Z104" s="275">
        <v>4</v>
      </c>
      <c r="AA104" s="275">
        <v>20</v>
      </c>
      <c r="AB104" s="276">
        <v>2</v>
      </c>
      <c r="AC104" s="275">
        <v>10</v>
      </c>
      <c r="AD104" s="275">
        <v>2</v>
      </c>
      <c r="AE104" s="275">
        <v>0</v>
      </c>
      <c r="AF104" s="271" t="s">
        <v>208</v>
      </c>
      <c r="AG104" s="277">
        <f ca="1">Table2[[#This Row],[End Date]]+2-TODAY()</f>
        <v>-207</v>
      </c>
      <c r="AH104" s="275">
        <f>IF(ISBLANK(Table2[[#This Row],[Roster Received By]]),1,0)</f>
        <v>0</v>
      </c>
      <c r="AI104" s="275">
        <f ca="1">IF(Table2[[#This Row],[Start Date]]&gt;TODAY(),1,)</f>
        <v>0</v>
      </c>
    </row>
    <row r="105" spans="1:35" s="345" customFormat="1" ht="14.25" customHeight="1" x14ac:dyDescent="0.25">
      <c r="A105" s="270"/>
      <c r="B105" s="361" t="s">
        <v>317</v>
      </c>
      <c r="C105" s="272" t="str">
        <f>VLOOKUP(Table2[[#This Row],[Course]],Data!$A$1:$E$56,2,FALSE)</f>
        <v>A-493-2098</v>
      </c>
      <c r="D105" s="272" t="str">
        <f>VLOOKUP(Table2[[#This Row],[Course]],Data!$A$1:$E$56,3,FALSE)</f>
        <v>09WW</v>
      </c>
      <c r="E105" s="271" t="s">
        <v>116</v>
      </c>
      <c r="F105" s="327">
        <v>45320</v>
      </c>
      <c r="G105" s="327">
        <v>45324</v>
      </c>
      <c r="H105" s="327"/>
      <c r="I105" s="274">
        <v>0.54166666666666663</v>
      </c>
      <c r="J105" s="274">
        <v>0.41666666666666669</v>
      </c>
      <c r="K105" s="274">
        <v>0.875</v>
      </c>
      <c r="L105" s="274">
        <v>0.79166666666666663</v>
      </c>
      <c r="M105" s="274">
        <v>0.33333333333333331</v>
      </c>
      <c r="N105" s="274">
        <v>0.125</v>
      </c>
      <c r="O105" s="271" t="s">
        <v>83</v>
      </c>
      <c r="P105" s="271"/>
      <c r="Q105" s="276" t="e">
        <v>#REF!</v>
      </c>
      <c r="R105" s="331" t="e">
        <v>#REF!</v>
      </c>
      <c r="S105" s="276"/>
      <c r="T105" s="270"/>
      <c r="U105" s="270"/>
      <c r="V105" s="275">
        <f>VLOOKUP(Table2[[#This Row],[Course]],Data!$A$1:$E$56,4,FALSE)</f>
        <v>100</v>
      </c>
      <c r="W105" s="275">
        <f>VLOOKUP(Table2[[#This Row],[Course]],Data!$A$1:$E$56,5,FALSE)</f>
        <v>5</v>
      </c>
      <c r="X105" s="275">
        <v>1257</v>
      </c>
      <c r="Y105" s="275">
        <v>100</v>
      </c>
      <c r="Z105" s="275">
        <v>3</v>
      </c>
      <c r="AA105" s="275">
        <v>88</v>
      </c>
      <c r="AB105" s="276">
        <v>4</v>
      </c>
      <c r="AC105" s="275">
        <v>11</v>
      </c>
      <c r="AD105" s="275">
        <v>0</v>
      </c>
      <c r="AE105" s="275">
        <v>0</v>
      </c>
      <c r="AF105" s="271" t="s">
        <v>205</v>
      </c>
      <c r="AG105" s="277">
        <f ca="1">Table2[[#This Row],[End Date]]+2-TODAY()</f>
        <v>-206</v>
      </c>
      <c r="AH105" s="275">
        <f>IF(ISBLANK(Table2[[#This Row],[Roster Received By]]),1,0)</f>
        <v>0</v>
      </c>
      <c r="AI105" s="275">
        <f ca="1">IF(Table2[[#This Row],[Start Date]]&gt;TODAY(),1,)</f>
        <v>0</v>
      </c>
    </row>
    <row r="106" spans="1:35" s="345" customFormat="1" ht="16.5" customHeight="1" x14ac:dyDescent="0.25">
      <c r="A106" s="270"/>
      <c r="B106" s="271" t="s">
        <v>214</v>
      </c>
      <c r="C106" s="272" t="str">
        <f>VLOOKUP(Table2[[#This Row],[Course]],Data!$A$1:$E$56,2,FALSE)</f>
        <v>A-493-0665</v>
      </c>
      <c r="D106" s="272" t="str">
        <f>VLOOKUP(Table2[[#This Row],[Course]],Data!$A$1:$E$56,3,FALSE)</f>
        <v>10KW</v>
      </c>
      <c r="E106" s="271" t="s">
        <v>116</v>
      </c>
      <c r="F106" s="327">
        <v>45327</v>
      </c>
      <c r="G106" s="327">
        <v>45331</v>
      </c>
      <c r="H106" s="327"/>
      <c r="I106" s="274">
        <v>0.33333333333333331</v>
      </c>
      <c r="J106" s="274">
        <v>0.20833333333333334</v>
      </c>
      <c r="K106" s="274">
        <v>0.66666666666666663</v>
      </c>
      <c r="L106" s="274">
        <v>0.58333333333333337</v>
      </c>
      <c r="M106" s="274">
        <v>0.125</v>
      </c>
      <c r="N106" s="274">
        <v>0.91666666666666663</v>
      </c>
      <c r="O106" s="271" t="s">
        <v>83</v>
      </c>
      <c r="P106" s="271"/>
      <c r="Q106" s="298" t="e">
        <v>#REF!</v>
      </c>
      <c r="R106" s="328" t="e">
        <v>#REF!</v>
      </c>
      <c r="S106" s="298"/>
      <c r="T106" s="301"/>
      <c r="U106" s="301"/>
      <c r="V106" s="275">
        <f>VLOOKUP(Table2[[#This Row],[Course]],Data!$A$1:$E$56,4,FALSE)</f>
        <v>45</v>
      </c>
      <c r="W106" s="275">
        <f>VLOOKUP(Table2[[#This Row],[Course]],Data!$A$1:$E$56,5,FALSE)</f>
        <v>5</v>
      </c>
      <c r="X106" s="275">
        <v>127</v>
      </c>
      <c r="Y106" s="275">
        <v>44</v>
      </c>
      <c r="Z106" s="275">
        <v>0</v>
      </c>
      <c r="AA106" s="275">
        <v>33</v>
      </c>
      <c r="AB106" s="276">
        <v>2</v>
      </c>
      <c r="AC106" s="275">
        <v>9</v>
      </c>
      <c r="AD106" s="275">
        <v>0</v>
      </c>
      <c r="AE106" s="342">
        <v>0</v>
      </c>
      <c r="AF106" s="369" t="s">
        <v>191</v>
      </c>
      <c r="AG106" s="277">
        <f ca="1">Table2[[#This Row],[End Date]]+2-TODAY()</f>
        <v>-199</v>
      </c>
      <c r="AH106" s="275">
        <f>IF(ISBLANK(Table2[[#This Row],[Roster Received By]]),1,0)</f>
        <v>0</v>
      </c>
      <c r="AI106" s="275">
        <f ca="1">IF(Table2[[#This Row],[Start Date]]&gt;TODAY(),1,)</f>
        <v>0</v>
      </c>
    </row>
    <row r="107" spans="1:35" s="345" customFormat="1" ht="14.25" customHeight="1" x14ac:dyDescent="0.25">
      <c r="A107" s="270"/>
      <c r="B107" s="271" t="s">
        <v>236</v>
      </c>
      <c r="C107" s="272" t="str">
        <f>VLOOKUP(Table2[[#This Row],[Course]],Data!$A$1:$E$56,2,FALSE)</f>
        <v>A-493-0103</v>
      </c>
      <c r="D107" s="272" t="str">
        <f>VLOOKUP(Table2[[#This Row],[Course]],Data!$A$1:$E$56,3,FALSE)</f>
        <v>12JY</v>
      </c>
      <c r="E107" s="271" t="s">
        <v>133</v>
      </c>
      <c r="F107" s="327">
        <v>45327</v>
      </c>
      <c r="G107" s="327">
        <v>45331</v>
      </c>
      <c r="H107" s="344">
        <v>0.33333333333333331</v>
      </c>
      <c r="I107" s="344"/>
      <c r="J107" s="327"/>
      <c r="K107" s="327"/>
      <c r="L107" s="327"/>
      <c r="M107" s="327"/>
      <c r="N107" s="327"/>
      <c r="O107" s="271" t="s">
        <v>94</v>
      </c>
      <c r="P107" s="271"/>
      <c r="Q107" s="331" t="e">
        <v>#REF!</v>
      </c>
      <c r="R107" s="331" t="e">
        <v>#REF!</v>
      </c>
      <c r="S107" s="332"/>
      <c r="T107" s="270"/>
      <c r="U107" s="270"/>
      <c r="V107" s="275">
        <f>VLOOKUP(Table2[[#This Row],[Course]],Data!$A$1:$E$56,4,FALSE)</f>
        <v>25</v>
      </c>
      <c r="W107" s="275">
        <f>VLOOKUP(Table2[[#This Row],[Course]],Data!$A$1:$E$56,5,FALSE)</f>
        <v>5</v>
      </c>
      <c r="X107" s="275">
        <v>58</v>
      </c>
      <c r="Y107" s="275">
        <v>25</v>
      </c>
      <c r="Z107" s="275">
        <v>0</v>
      </c>
      <c r="AA107" s="275">
        <v>16</v>
      </c>
      <c r="AB107" s="276">
        <v>0</v>
      </c>
      <c r="AC107" s="275">
        <v>10</v>
      </c>
      <c r="AD107" s="275">
        <v>0</v>
      </c>
      <c r="AE107" s="275">
        <v>0</v>
      </c>
      <c r="AF107" s="271" t="s">
        <v>189</v>
      </c>
      <c r="AG107" s="277">
        <f ca="1">Table2[[#This Row],[End Date]]+2-TODAY()</f>
        <v>-199</v>
      </c>
      <c r="AH107" s="275">
        <f>IF(ISBLANK(Table2[[#This Row],[Roster Received By]]),1,0)</f>
        <v>0</v>
      </c>
      <c r="AI107" s="275">
        <f ca="1">IF(Table2[[#This Row],[Start Date]]&gt;TODAY(),1,)</f>
        <v>0</v>
      </c>
    </row>
    <row r="108" spans="1:35" s="345" customFormat="1" ht="14.25" customHeight="1" x14ac:dyDescent="0.25">
      <c r="A108" s="270"/>
      <c r="B108" s="271" t="s">
        <v>17</v>
      </c>
      <c r="C108" s="272" t="str">
        <f>VLOOKUP(Table2[[#This Row],[Course]],Data!$A$1:$E$56,2,FALSE)</f>
        <v>A-493-0012</v>
      </c>
      <c r="D108" s="272">
        <f>VLOOKUP(Table2[[#This Row],[Course]],Data!$A$1:$E$56,3,FALSE)</f>
        <v>3682</v>
      </c>
      <c r="E108" s="271" t="s">
        <v>126</v>
      </c>
      <c r="F108" s="327">
        <v>45327</v>
      </c>
      <c r="G108" s="327">
        <v>45331</v>
      </c>
      <c r="H108" s="344">
        <v>0.33333333333333331</v>
      </c>
      <c r="I108" s="344"/>
      <c r="J108" s="344"/>
      <c r="K108" s="344"/>
      <c r="L108" s="344"/>
      <c r="M108" s="344"/>
      <c r="N108" s="327"/>
      <c r="O108" s="270" t="s">
        <v>78</v>
      </c>
      <c r="P108" s="270"/>
      <c r="Q108" s="328" t="e">
        <v>#REF!</v>
      </c>
      <c r="R108" s="328" t="e">
        <v>#REF!</v>
      </c>
      <c r="S108" s="357"/>
      <c r="T108" s="301"/>
      <c r="U108" s="301"/>
      <c r="V108" s="275">
        <f>VLOOKUP(Table2[[#This Row],[Course]],Data!$A$1:$E$56,4,FALSE)</f>
        <v>40</v>
      </c>
      <c r="W108" s="275">
        <f>VLOOKUP(Table2[[#This Row],[Course]],Data!$A$1:$E$56,5,FALSE)</f>
        <v>5</v>
      </c>
      <c r="X108" s="275">
        <v>15</v>
      </c>
      <c r="Y108" s="275">
        <v>28</v>
      </c>
      <c r="Z108" s="275">
        <v>0</v>
      </c>
      <c r="AA108" s="275">
        <v>28</v>
      </c>
      <c r="AB108" s="276">
        <v>0</v>
      </c>
      <c r="AC108" s="275">
        <v>0</v>
      </c>
      <c r="AD108" s="275">
        <v>0</v>
      </c>
      <c r="AE108" s="275">
        <v>0</v>
      </c>
      <c r="AF108" s="271" t="s">
        <v>191</v>
      </c>
      <c r="AG108" s="277">
        <f ca="1">Table2[[#This Row],[End Date]]+2-TODAY()</f>
        <v>-199</v>
      </c>
      <c r="AH108" s="275">
        <f>IF(ISBLANK(Table2[[#This Row],[Roster Received By]]),1,0)</f>
        <v>0</v>
      </c>
      <c r="AI108" s="275">
        <f ca="1">IF(Table2[[#This Row],[Start Date]]&gt;TODAY(),1,)</f>
        <v>0</v>
      </c>
    </row>
    <row r="109" spans="1:35" s="355" customFormat="1" ht="14.25" customHeight="1" x14ac:dyDescent="0.25">
      <c r="A109" s="270"/>
      <c r="B109" s="271" t="s">
        <v>18</v>
      </c>
      <c r="C109" s="272" t="str">
        <f>VLOOKUP(Table2[[#This Row],[Course]],Data!$A$1:$E$56,2,FALSE)</f>
        <v>A-493-0013</v>
      </c>
      <c r="D109" s="272">
        <f>VLOOKUP(Table2[[#This Row],[Course]],Data!$A$1:$E$56,3,FALSE)</f>
        <v>3683</v>
      </c>
      <c r="E109" s="271" t="s">
        <v>358</v>
      </c>
      <c r="F109" s="327">
        <v>45327</v>
      </c>
      <c r="G109" s="327">
        <v>45329</v>
      </c>
      <c r="H109" s="344">
        <v>0.33333333333333331</v>
      </c>
      <c r="I109" s="344"/>
      <c r="J109" s="344"/>
      <c r="K109" s="344"/>
      <c r="L109" s="344"/>
      <c r="M109" s="344"/>
      <c r="N109" s="327"/>
      <c r="O109" s="270" t="s">
        <v>78</v>
      </c>
      <c r="P109" s="270"/>
      <c r="Q109" s="331" t="e">
        <v>#REF!</v>
      </c>
      <c r="R109" s="331" t="e">
        <v>#REF!</v>
      </c>
      <c r="S109" s="332"/>
      <c r="T109" s="270"/>
      <c r="U109" s="270"/>
      <c r="V109" s="275">
        <f>VLOOKUP(Table2[[#This Row],[Course]],Data!$A$1:$E$56,4,FALSE)</f>
        <v>40</v>
      </c>
      <c r="W109" s="275">
        <v>3</v>
      </c>
      <c r="X109" s="275">
        <v>0</v>
      </c>
      <c r="Y109" s="275">
        <v>11</v>
      </c>
      <c r="Z109" s="275">
        <v>0</v>
      </c>
      <c r="AA109" s="275">
        <v>14</v>
      </c>
      <c r="AB109" s="276">
        <v>0</v>
      </c>
      <c r="AC109" s="275">
        <v>1</v>
      </c>
      <c r="AD109" s="275">
        <v>4</v>
      </c>
      <c r="AE109" s="275">
        <v>0</v>
      </c>
      <c r="AF109" s="271" t="s">
        <v>191</v>
      </c>
      <c r="AG109" s="277">
        <f ca="1">Table2[[#This Row],[End Date]]+2-TODAY()</f>
        <v>-201</v>
      </c>
      <c r="AH109" s="275">
        <f>IF(ISBLANK(Table2[[#This Row],[Roster Received By]]),1,0)</f>
        <v>0</v>
      </c>
      <c r="AI109" s="275">
        <f ca="1">IF(Table2[[#This Row],[Start Date]]&gt;TODAY(),1,)</f>
        <v>0</v>
      </c>
    </row>
    <row r="110" spans="1:35" s="345" customFormat="1" ht="14.25" customHeight="1" x14ac:dyDescent="0.25">
      <c r="A110" s="270"/>
      <c r="B110" s="271" t="s">
        <v>243</v>
      </c>
      <c r="C110" s="272" t="str">
        <f>VLOOKUP(Table2[[#This Row],[Course]],Data!$A$1:$E$56,2,FALSE)</f>
        <v>A-493-0061</v>
      </c>
      <c r="D110" s="272" t="str">
        <f>VLOOKUP(Table2[[#This Row],[Course]],Data!$A$1:$E$56,3,FALSE)</f>
        <v>288E</v>
      </c>
      <c r="E110" s="271" t="s">
        <v>116</v>
      </c>
      <c r="F110" s="326">
        <v>45327</v>
      </c>
      <c r="G110" s="326">
        <v>45331</v>
      </c>
      <c r="H110" s="327"/>
      <c r="I110" s="274">
        <v>0.79166666666666663</v>
      </c>
      <c r="J110" s="274">
        <v>0.66666666666666663</v>
      </c>
      <c r="K110" s="274">
        <v>0.125</v>
      </c>
      <c r="L110" s="274">
        <v>4.1666666666666664E-2</v>
      </c>
      <c r="M110" s="274">
        <v>0.58333333333333337</v>
      </c>
      <c r="N110" s="274">
        <v>0.375</v>
      </c>
      <c r="O110" s="271" t="s">
        <v>92</v>
      </c>
      <c r="P110" s="271"/>
      <c r="Q110" s="331" t="e">
        <v>#REF!</v>
      </c>
      <c r="R110" s="331" t="e">
        <v>#REF!</v>
      </c>
      <c r="S110" s="331"/>
      <c r="T110" s="270"/>
      <c r="U110" s="270"/>
      <c r="V110" s="275">
        <f>VLOOKUP(Table2[[#This Row],[Course]],Data!$A$1:$E$56,4,FALSE)</f>
        <v>45</v>
      </c>
      <c r="W110" s="275">
        <f>VLOOKUP(Table2[[#This Row],[Course]],Data!$A$1:$E$56,5,FALSE)</f>
        <v>5</v>
      </c>
      <c r="X110" s="275">
        <v>231</v>
      </c>
      <c r="Y110" s="275">
        <v>11</v>
      </c>
      <c r="Z110" s="275">
        <v>0</v>
      </c>
      <c r="AA110" s="275">
        <v>10</v>
      </c>
      <c r="AB110" s="276">
        <v>0</v>
      </c>
      <c r="AC110" s="275">
        <v>1</v>
      </c>
      <c r="AD110" s="275">
        <v>1</v>
      </c>
      <c r="AE110" s="275">
        <v>0</v>
      </c>
      <c r="AF110" s="271" t="s">
        <v>189</v>
      </c>
      <c r="AG110" s="277">
        <f ca="1">Table2[[#This Row],[End Date]]+2-TODAY()</f>
        <v>-199</v>
      </c>
      <c r="AH110" s="275">
        <f>IF(ISBLANK(Table2[[#This Row],[Roster Received By]]),1,0)</f>
        <v>0</v>
      </c>
      <c r="AI110" s="275">
        <f ca="1">IF(Table2[[#This Row],[Start Date]]&gt;TODAY(),1,)</f>
        <v>0</v>
      </c>
    </row>
    <row r="111" spans="1:35" s="345" customFormat="1" ht="14.25" customHeight="1" x14ac:dyDescent="0.25">
      <c r="A111" s="270"/>
      <c r="B111" s="271" t="s">
        <v>249</v>
      </c>
      <c r="C111" s="272" t="str">
        <f>VLOOKUP(Table2[[#This Row],[Course]],Data!$A$1:$E$56,2,FALSE)</f>
        <v>A-322-2604</v>
      </c>
      <c r="D111" s="272" t="str">
        <f>VLOOKUP(Table2[[#This Row],[Course]],Data!$A$1:$E$56,3,FALSE)</f>
        <v>10ZZ</v>
      </c>
      <c r="E111" s="271" t="s">
        <v>116</v>
      </c>
      <c r="F111" s="327">
        <v>45327</v>
      </c>
      <c r="G111" s="327">
        <v>45331</v>
      </c>
      <c r="H111" s="327"/>
      <c r="I111" s="274">
        <v>0.54166666666666663</v>
      </c>
      <c r="J111" s="274">
        <v>0.41666666666666669</v>
      </c>
      <c r="K111" s="274">
        <v>0.875</v>
      </c>
      <c r="L111" s="274">
        <v>0.79166666666666663</v>
      </c>
      <c r="M111" s="274">
        <v>0.33333333333333331</v>
      </c>
      <c r="N111" s="274">
        <v>0.125</v>
      </c>
      <c r="O111" s="271" t="s">
        <v>83</v>
      </c>
      <c r="P111" s="271"/>
      <c r="Q111" s="298" t="e">
        <v>#REF!</v>
      </c>
      <c r="R111" s="328" t="e">
        <v>#REF!</v>
      </c>
      <c r="S111" s="298"/>
      <c r="T111" s="301"/>
      <c r="U111" s="301"/>
      <c r="V111" s="275">
        <f>VLOOKUP(Table2[[#This Row],[Course]],Data!$A$1:$E$56,4,FALSE)</f>
        <v>45</v>
      </c>
      <c r="W111" s="275">
        <f>VLOOKUP(Table2[[#This Row],[Course]],Data!$A$1:$E$56,5,FALSE)</f>
        <v>5</v>
      </c>
      <c r="X111" s="275">
        <v>653</v>
      </c>
      <c r="Y111" s="275">
        <v>45</v>
      </c>
      <c r="Z111" s="275">
        <v>1</v>
      </c>
      <c r="AA111" s="275">
        <v>40</v>
      </c>
      <c r="AB111" s="276">
        <v>1</v>
      </c>
      <c r="AC111" s="275">
        <v>5</v>
      </c>
      <c r="AD111" s="275">
        <v>0</v>
      </c>
      <c r="AE111" s="275">
        <v>0</v>
      </c>
      <c r="AF111" s="271" t="s">
        <v>208</v>
      </c>
      <c r="AG111" s="277">
        <f ca="1">Table2[[#This Row],[End Date]]+2-TODAY()</f>
        <v>-199</v>
      </c>
      <c r="AH111" s="275">
        <f>IF(ISBLANK(Table2[[#This Row],[Roster Received By]]),1,0)</f>
        <v>0</v>
      </c>
      <c r="AI111" s="275">
        <f ca="1">IF(Table2[[#This Row],[Start Date]]&gt;TODAY(),1,)</f>
        <v>0</v>
      </c>
    </row>
    <row r="112" spans="1:35" s="345" customFormat="1" ht="14.25" customHeight="1" x14ac:dyDescent="0.25">
      <c r="A112" s="270"/>
      <c r="B112" s="346" t="s">
        <v>23</v>
      </c>
      <c r="C112" s="272" t="str">
        <f>VLOOKUP(Table2[[#This Row],[Course]],Data!$A$1:$E$56,2,FALSE)</f>
        <v>A-493-0077</v>
      </c>
      <c r="D112" s="272" t="str">
        <f>VLOOKUP(Table2[[#This Row],[Course]],Data!$A$1:$E$56,3,FALSE)</f>
        <v>0381</v>
      </c>
      <c r="E112" s="346" t="s">
        <v>103</v>
      </c>
      <c r="F112" s="273">
        <v>45327</v>
      </c>
      <c r="G112" s="273">
        <v>45329</v>
      </c>
      <c r="H112" s="274">
        <v>0.33333333333333331</v>
      </c>
      <c r="I112" s="274"/>
      <c r="J112" s="327"/>
      <c r="K112" s="327"/>
      <c r="L112" s="327"/>
      <c r="M112" s="327"/>
      <c r="N112" s="327"/>
      <c r="O112" s="271" t="s">
        <v>78</v>
      </c>
      <c r="P112" s="271"/>
      <c r="Q112" s="276" t="e">
        <v>#REF!</v>
      </c>
      <c r="R112" s="331" t="e">
        <v>#REF!</v>
      </c>
      <c r="S112" s="276"/>
      <c r="T112" s="270"/>
      <c r="U112" s="270"/>
      <c r="V112" s="275">
        <f>VLOOKUP(Table2[[#This Row],[Course]],Data!$A$1:$E$56,4,FALSE)</f>
        <v>25</v>
      </c>
      <c r="W112" s="275">
        <f>VLOOKUP(Table2[[#This Row],[Course]],Data!$A$1:$E$56,5,FALSE)</f>
        <v>3</v>
      </c>
      <c r="X112" s="275">
        <v>74</v>
      </c>
      <c r="Y112" s="275">
        <v>24</v>
      </c>
      <c r="Z112" s="275">
        <v>0</v>
      </c>
      <c r="AA112" s="275">
        <v>19</v>
      </c>
      <c r="AB112" s="276">
        <v>0</v>
      </c>
      <c r="AC112" s="275">
        <v>5</v>
      </c>
      <c r="AD112" s="275">
        <v>0</v>
      </c>
      <c r="AE112" s="275">
        <v>0</v>
      </c>
      <c r="AF112" s="271" t="s">
        <v>191</v>
      </c>
      <c r="AG112" s="277">
        <f ca="1">Table2[[#This Row],[End Date]]+2-TODAY()</f>
        <v>-201</v>
      </c>
      <c r="AH112" s="275">
        <f>IF(ISBLANK(Table2[[#This Row],[Roster Received By]]),1,0)</f>
        <v>0</v>
      </c>
      <c r="AI112" s="275">
        <f ca="1">IF(Table2[[#This Row],[Start Date]]&gt;TODAY(),1,)</f>
        <v>0</v>
      </c>
    </row>
    <row r="113" spans="1:35" s="345" customFormat="1" ht="14.25" customHeight="1" x14ac:dyDescent="0.25">
      <c r="A113" s="270"/>
      <c r="B113" s="271" t="s">
        <v>281</v>
      </c>
      <c r="C113" s="272" t="str">
        <f>VLOOKUP(Table2[[#This Row],[Course]],Data!$A$1:$E$56,2,FALSE)</f>
        <v>A-493-0550</v>
      </c>
      <c r="D113" s="272" t="str">
        <f>VLOOKUP(Table2[[#This Row],[Course]],Data!$A$1:$E$56,3,FALSE)</f>
        <v>09K5</v>
      </c>
      <c r="E113" s="271" t="s">
        <v>116</v>
      </c>
      <c r="F113" s="326">
        <v>45327</v>
      </c>
      <c r="G113" s="326">
        <v>45331</v>
      </c>
      <c r="H113" s="327"/>
      <c r="I113" s="274">
        <v>0.79166666666666663</v>
      </c>
      <c r="J113" s="274">
        <v>0.66666666666666663</v>
      </c>
      <c r="K113" s="274">
        <v>0.125</v>
      </c>
      <c r="L113" s="274">
        <v>4.1666666666666664E-2</v>
      </c>
      <c r="M113" s="274">
        <v>0.58333333333333337</v>
      </c>
      <c r="N113" s="274">
        <v>0.375</v>
      </c>
      <c r="O113" s="271" t="s">
        <v>85</v>
      </c>
      <c r="P113" s="271"/>
      <c r="Q113" s="331" t="e">
        <v>#REF!</v>
      </c>
      <c r="R113" s="331" t="e">
        <v>#REF!</v>
      </c>
      <c r="S113" s="332"/>
      <c r="T113" s="270"/>
      <c r="U113" s="270"/>
      <c r="V113" s="275">
        <f>VLOOKUP(Table2[[#This Row],[Course]],Data!$A$1:$E$56,4,FALSE)</f>
        <v>45</v>
      </c>
      <c r="W113" s="275">
        <f>VLOOKUP(Table2[[#This Row],[Course]],Data!$A$1:$E$56,5,FALSE)</f>
        <v>4</v>
      </c>
      <c r="X113" s="275">
        <v>167</v>
      </c>
      <c r="Y113" s="275">
        <v>45</v>
      </c>
      <c r="Z113" s="275">
        <v>4</v>
      </c>
      <c r="AA113" s="275">
        <v>36</v>
      </c>
      <c r="AB113" s="276">
        <v>1</v>
      </c>
      <c r="AC113" s="275">
        <v>8</v>
      </c>
      <c r="AD113" s="275">
        <v>2</v>
      </c>
      <c r="AE113" s="272">
        <v>0</v>
      </c>
      <c r="AF113" s="271" t="s">
        <v>205</v>
      </c>
      <c r="AG113" s="277">
        <f ca="1">Table2[[#This Row],[End Date]]+2-TODAY()</f>
        <v>-199</v>
      </c>
      <c r="AH113" s="275">
        <f>IF(ISBLANK(Table2[[#This Row],[Roster Received By]]),1,0)</f>
        <v>0</v>
      </c>
      <c r="AI113" s="275">
        <f ca="1">IF(Table2[[#This Row],[Start Date]]&gt;TODAY(),1,)</f>
        <v>0</v>
      </c>
    </row>
    <row r="114" spans="1:35" s="345" customFormat="1" ht="14.25" customHeight="1" x14ac:dyDescent="0.25">
      <c r="A114" s="270"/>
      <c r="B114" s="325" t="s">
        <v>292</v>
      </c>
      <c r="C114" s="272" t="str">
        <f>VLOOKUP(Table2[[#This Row],[Course]],Data!$A$1:$E$56,2,FALSE)</f>
        <v>A-493-0078</v>
      </c>
      <c r="D114" s="272">
        <f>VLOOKUP(Table2[[#This Row],[Course]],Data!$A$1:$E$56,3,FALSE)</f>
        <v>1228</v>
      </c>
      <c r="E114" s="325" t="s">
        <v>116</v>
      </c>
      <c r="F114" s="326">
        <v>45327</v>
      </c>
      <c r="G114" s="326">
        <v>45331</v>
      </c>
      <c r="H114" s="327"/>
      <c r="I114" s="274">
        <v>0.41666666666666669</v>
      </c>
      <c r="J114" s="274">
        <v>0.29166666666666669</v>
      </c>
      <c r="K114" s="274">
        <v>0.75</v>
      </c>
      <c r="L114" s="274">
        <v>0.66666666666666663</v>
      </c>
      <c r="M114" s="274">
        <v>0.20833333333333334</v>
      </c>
      <c r="N114" s="274">
        <v>0</v>
      </c>
      <c r="O114" s="271" t="s">
        <v>80</v>
      </c>
      <c r="P114" s="271"/>
      <c r="Q114" s="328" t="e">
        <v>#REF!</v>
      </c>
      <c r="R114" s="328" t="e">
        <v>#REF!</v>
      </c>
      <c r="S114" s="357"/>
      <c r="T114" s="301"/>
      <c r="U114" s="301"/>
      <c r="V114" s="275">
        <f>VLOOKUP(Table2[[#This Row],[Course]],Data!$A$1:$E$56,4,FALSE)</f>
        <v>45</v>
      </c>
      <c r="W114" s="275">
        <f>VLOOKUP(Table2[[#This Row],[Course]],Data!$A$1:$E$56,5,FALSE)</f>
        <v>5</v>
      </c>
      <c r="X114" s="275">
        <v>543</v>
      </c>
      <c r="Y114" s="275">
        <v>37</v>
      </c>
      <c r="Z114" s="275">
        <v>0</v>
      </c>
      <c r="AA114" s="275">
        <v>34</v>
      </c>
      <c r="AB114" s="276">
        <v>0</v>
      </c>
      <c r="AC114" s="275">
        <v>3</v>
      </c>
      <c r="AD114" s="275">
        <v>0</v>
      </c>
      <c r="AE114" s="275">
        <v>0</v>
      </c>
      <c r="AF114" s="271" t="s">
        <v>205</v>
      </c>
      <c r="AG114" s="277">
        <f ca="1">Table2[[#This Row],[End Date]]+2-TODAY()</f>
        <v>-199</v>
      </c>
      <c r="AH114" s="275">
        <f>IF(ISBLANK(Table2[[#This Row],[Roster Received By]]),1,0)</f>
        <v>0</v>
      </c>
      <c r="AI114" s="275">
        <f ca="1">IF(Table2[[#This Row],[Start Date]]&gt;TODAY(),1,)</f>
        <v>0</v>
      </c>
    </row>
    <row r="115" spans="1:35" s="345" customFormat="1" ht="14.25" customHeight="1" x14ac:dyDescent="0.25">
      <c r="A115" s="270"/>
      <c r="B115" s="343" t="s">
        <v>327</v>
      </c>
      <c r="C115" s="272" t="str">
        <f>VLOOKUP(Table2[[#This Row],[Course]],Data!$A$1:$E$56,2,FALSE)</f>
        <v>F-4J-0023</v>
      </c>
      <c r="D115" s="272" t="str">
        <f>VLOOKUP(Table2[[#This Row],[Course]],Data!$A$1:$E$56,3,FALSE)</f>
        <v>11A2</v>
      </c>
      <c r="E115" s="271" t="s">
        <v>116</v>
      </c>
      <c r="F115" s="327">
        <v>45327</v>
      </c>
      <c r="G115" s="327">
        <v>45331</v>
      </c>
      <c r="H115" s="327"/>
      <c r="I115" s="274">
        <v>0.54166666666666663</v>
      </c>
      <c r="J115" s="274">
        <v>0.41666666666666669</v>
      </c>
      <c r="K115" s="274">
        <v>0.875</v>
      </c>
      <c r="L115" s="274">
        <v>0.79166666666666663</v>
      </c>
      <c r="M115" s="274">
        <v>0.33333333333333331</v>
      </c>
      <c r="N115" s="274">
        <v>0.125</v>
      </c>
      <c r="O115" s="271" t="s">
        <v>227</v>
      </c>
      <c r="P115" s="271" t="s">
        <v>223</v>
      </c>
      <c r="Q115" s="298" t="e">
        <v>#REF!</v>
      </c>
      <c r="R115" s="328" t="e">
        <v>#REF!</v>
      </c>
      <c r="S115" s="298"/>
      <c r="T115" s="301"/>
      <c r="U115" s="301"/>
      <c r="V115" s="275">
        <f>VLOOKUP(Table2[[#This Row],[Course]],Data!$A$1:$E$56,4,FALSE)</f>
        <v>25</v>
      </c>
      <c r="W115" s="275">
        <f>VLOOKUP(Table2[[#This Row],[Course]],Data!$A$1:$E$56,5,FALSE)</f>
        <v>2</v>
      </c>
      <c r="X115" s="275">
        <v>45</v>
      </c>
      <c r="Y115" s="275">
        <v>13</v>
      </c>
      <c r="Z115" s="275">
        <v>0</v>
      </c>
      <c r="AA115" s="275">
        <v>7</v>
      </c>
      <c r="AB115" s="276">
        <v>0</v>
      </c>
      <c r="AC115" s="275">
        <v>4</v>
      </c>
      <c r="AD115" s="275">
        <v>0</v>
      </c>
      <c r="AE115" s="331">
        <v>0</v>
      </c>
      <c r="AF115" s="271" t="s">
        <v>208</v>
      </c>
      <c r="AG115" s="277">
        <f ca="1">Table2[[#This Row],[End Date]]+2-TODAY()</f>
        <v>-199</v>
      </c>
      <c r="AH115" s="275">
        <f>IF(ISBLANK(Table2[[#This Row],[Roster Received By]]),1,0)</f>
        <v>0</v>
      </c>
      <c r="AI115" s="275">
        <f ca="1">IF(Table2[[#This Row],[Start Date]]&gt;TODAY(),1,)</f>
        <v>0</v>
      </c>
    </row>
    <row r="116" spans="1:35" s="345" customFormat="1" ht="14.25" customHeight="1" x14ac:dyDescent="0.25">
      <c r="A116" s="270"/>
      <c r="B116" s="325" t="s">
        <v>40</v>
      </c>
      <c r="C116" s="272" t="str">
        <f>VLOOKUP(Table2[[#This Row],[Course]],Data!$A$1:$E$56,2,FALSE)</f>
        <v>A-493-2017</v>
      </c>
      <c r="D116" s="272" t="str">
        <f>VLOOKUP(Table2[[#This Row],[Course]],Data!$A$1:$E$56,3,FALSE)</f>
        <v>12x3</v>
      </c>
      <c r="E116" s="370" t="s">
        <v>193</v>
      </c>
      <c r="F116" s="273">
        <v>45327</v>
      </c>
      <c r="G116" s="273">
        <v>45331</v>
      </c>
      <c r="H116" s="350">
        <v>0.33333333333333331</v>
      </c>
      <c r="I116" s="350"/>
      <c r="J116" s="327"/>
      <c r="K116" s="327"/>
      <c r="L116" s="327"/>
      <c r="M116" s="327"/>
      <c r="N116" s="327"/>
      <c r="O116" s="271" t="s">
        <v>78</v>
      </c>
      <c r="P116" s="271"/>
      <c r="Q116" s="298" t="e">
        <v>#REF!</v>
      </c>
      <c r="R116" s="328" t="e">
        <v>#REF!</v>
      </c>
      <c r="S116" s="298"/>
      <c r="T116" s="301"/>
      <c r="U116" s="301"/>
      <c r="V116" s="275">
        <f>VLOOKUP(Table2[[#This Row],[Course]],Data!$A$1:$E$56,4,FALSE)</f>
        <v>25</v>
      </c>
      <c r="W116" s="275">
        <f>VLOOKUP(Table2[[#This Row],[Course]],Data!$A$1:$E$56,5,FALSE)</f>
        <v>2</v>
      </c>
      <c r="X116" s="275">
        <v>0</v>
      </c>
      <c r="Y116" s="275">
        <v>24</v>
      </c>
      <c r="Z116" s="275">
        <v>0</v>
      </c>
      <c r="AA116" s="275">
        <v>25</v>
      </c>
      <c r="AB116" s="276">
        <v>0</v>
      </c>
      <c r="AC116" s="275">
        <v>8</v>
      </c>
      <c r="AD116" s="275">
        <v>9</v>
      </c>
      <c r="AE116" s="275">
        <v>0</v>
      </c>
      <c r="AF116" s="271" t="s">
        <v>213</v>
      </c>
      <c r="AG116" s="277">
        <f ca="1">Table2[[#This Row],[End Date]]+2-TODAY()</f>
        <v>-199</v>
      </c>
      <c r="AH116" s="275">
        <f>IF(ISBLANK(Table2[[#This Row],[Roster Received By]]),1,0)</f>
        <v>0</v>
      </c>
      <c r="AI116" s="275">
        <f ca="1">IF(Table2[[#This Row],[Start Date]]&gt;TODAY(),1,)</f>
        <v>0</v>
      </c>
    </row>
    <row r="117" spans="1:35" s="345" customFormat="1" ht="14.25" customHeight="1" x14ac:dyDescent="0.25">
      <c r="A117" s="270"/>
      <c r="B117" s="271" t="s">
        <v>19</v>
      </c>
      <c r="C117" s="272" t="str">
        <f>VLOOKUP(Table2[[#This Row],[Course]],Data!$A$1:$E$56,2,FALSE)</f>
        <v>A-493-0099</v>
      </c>
      <c r="D117" s="272" t="str">
        <f>VLOOKUP(Table2[[#This Row],[Course]],Data!$A$1:$E$56,3,FALSE)</f>
        <v>12JW</v>
      </c>
      <c r="E117" s="271" t="s">
        <v>116</v>
      </c>
      <c r="F117" s="327">
        <v>45328</v>
      </c>
      <c r="G117" s="327">
        <v>45330</v>
      </c>
      <c r="H117" s="327"/>
      <c r="I117" s="274">
        <v>0.33333333333333331</v>
      </c>
      <c r="J117" s="274">
        <v>0.20833333333333334</v>
      </c>
      <c r="K117" s="274">
        <v>0.66666666666666663</v>
      </c>
      <c r="L117" s="274">
        <v>0.58333333333333337</v>
      </c>
      <c r="M117" s="274">
        <v>0.125</v>
      </c>
      <c r="N117" s="274">
        <v>0.91666666666666663</v>
      </c>
      <c r="O117" s="271" t="s">
        <v>88</v>
      </c>
      <c r="P117" s="271"/>
      <c r="Q117" s="331" t="e">
        <v>#REF!</v>
      </c>
      <c r="R117" s="331" t="e">
        <v>#REF!</v>
      </c>
      <c r="S117" s="332"/>
      <c r="T117" s="270"/>
      <c r="U117" s="270"/>
      <c r="V117" s="275">
        <f>VLOOKUP(Table2[[#This Row],[Course]],Data!$A$1:$E$56,4,FALSE)</f>
        <v>45</v>
      </c>
      <c r="W117" s="275">
        <f>VLOOKUP(Table2[[#This Row],[Course]],Data!$A$1:$E$56,5,FALSE)</f>
        <v>3</v>
      </c>
      <c r="X117" s="275">
        <v>431</v>
      </c>
      <c r="Y117" s="275">
        <v>37</v>
      </c>
      <c r="Z117" s="275">
        <v>0</v>
      </c>
      <c r="AA117" s="275">
        <v>32</v>
      </c>
      <c r="AB117" s="276">
        <v>0</v>
      </c>
      <c r="AC117" s="275">
        <v>5</v>
      </c>
      <c r="AD117" s="275">
        <v>0</v>
      </c>
      <c r="AE117" s="275">
        <v>0</v>
      </c>
      <c r="AF117" s="271" t="s">
        <v>189</v>
      </c>
      <c r="AG117" s="277">
        <f ca="1">Table2[[#This Row],[End Date]]+2-TODAY()</f>
        <v>-200</v>
      </c>
      <c r="AH117" s="275">
        <f>IF(ISBLANK(Table2[[#This Row],[Roster Received By]]),1,0)</f>
        <v>0</v>
      </c>
      <c r="AI117" s="275">
        <f ca="1">IF(Table2[[#This Row],[Start Date]]&gt;TODAY(),1,)</f>
        <v>0</v>
      </c>
    </row>
    <row r="118" spans="1:35" s="354" customFormat="1" ht="14.25" customHeight="1" x14ac:dyDescent="0.25">
      <c r="A118" s="270"/>
      <c r="B118" s="271" t="s">
        <v>20</v>
      </c>
      <c r="C118" s="272" t="str">
        <f>VLOOKUP(Table2[[#This Row],[Course]],Data!$A$1:$E$56,2,FALSE)</f>
        <v xml:space="preserve">A-493-0075 </v>
      </c>
      <c r="D118" s="272" t="str">
        <f>VLOOKUP(Table2[[#This Row],[Course]],Data!$A$1:$E$56,3,FALSE)</f>
        <v>714U</v>
      </c>
      <c r="E118" s="271" t="s">
        <v>150</v>
      </c>
      <c r="F118" s="327">
        <v>45328</v>
      </c>
      <c r="G118" s="327">
        <v>45331</v>
      </c>
      <c r="H118" s="344">
        <v>0.33333333333333331</v>
      </c>
      <c r="I118" s="344"/>
      <c r="J118" s="327"/>
      <c r="K118" s="327"/>
      <c r="L118" s="327"/>
      <c r="M118" s="327"/>
      <c r="N118" s="327"/>
      <c r="O118" s="271" t="s">
        <v>94</v>
      </c>
      <c r="P118" s="271"/>
      <c r="Q118" s="331" t="e">
        <v>#REF!</v>
      </c>
      <c r="R118" s="331" t="e">
        <v>#REF!</v>
      </c>
      <c r="S118" s="332"/>
      <c r="T118" s="270"/>
      <c r="U118" s="270"/>
      <c r="V118" s="275">
        <f>VLOOKUP(Table2[[#This Row],[Course]],Data!$A$1:$E$56,4,FALSE)</f>
        <v>30</v>
      </c>
      <c r="W118" s="275">
        <f>VLOOKUP(Table2[[#This Row],[Course]],Data!$A$1:$E$56,5,FALSE)</f>
        <v>4</v>
      </c>
      <c r="X118" s="275">
        <v>29</v>
      </c>
      <c r="Y118" s="275">
        <v>9</v>
      </c>
      <c r="Z118" s="275">
        <v>0</v>
      </c>
      <c r="AA118" s="275">
        <v>8</v>
      </c>
      <c r="AB118" s="276">
        <v>0</v>
      </c>
      <c r="AC118" s="275">
        <v>1</v>
      </c>
      <c r="AD118" s="275">
        <v>0</v>
      </c>
      <c r="AE118" s="275">
        <v>0</v>
      </c>
      <c r="AF118" s="271" t="s">
        <v>189</v>
      </c>
      <c r="AG118" s="277">
        <f ca="1">Table2[[#This Row],[End Date]]+2-TODAY()</f>
        <v>-199</v>
      </c>
      <c r="AH118" s="275">
        <f>IF(ISBLANK(Table2[[#This Row],[Roster Received By]]),1,0)</f>
        <v>0</v>
      </c>
      <c r="AI118" s="275">
        <f ca="1">IF(Table2[[#This Row],[Start Date]]&gt;TODAY(),1,)</f>
        <v>0</v>
      </c>
    </row>
    <row r="119" spans="1:35" s="345" customFormat="1" ht="14.25" customHeight="1" x14ac:dyDescent="0.25">
      <c r="A119" s="271"/>
      <c r="B119" s="325" t="s">
        <v>270</v>
      </c>
      <c r="C119" s="272" t="str">
        <f>VLOOKUP(Table2[[#This Row],[Course]],Data!$A$1:$E$56,2,FALSE)</f>
        <v>A-493-0331</v>
      </c>
      <c r="D119" s="272" t="str">
        <f>VLOOKUP(Table2[[#This Row],[Course]],Data!$A$1:$E$56,3,FALSE)</f>
        <v>10UG</v>
      </c>
      <c r="E119" s="271" t="s">
        <v>116</v>
      </c>
      <c r="F119" s="327">
        <v>45328</v>
      </c>
      <c r="G119" s="327">
        <v>45330</v>
      </c>
      <c r="H119" s="327"/>
      <c r="I119" s="274">
        <v>0.5</v>
      </c>
      <c r="J119" s="274">
        <v>0.375</v>
      </c>
      <c r="K119" s="274">
        <v>0.83333333333333337</v>
      </c>
      <c r="L119" s="274">
        <v>0.75</v>
      </c>
      <c r="M119" s="274">
        <v>0.29166666666666669</v>
      </c>
      <c r="N119" s="274">
        <v>8.3333333333333329E-2</v>
      </c>
      <c r="O119" s="271" t="s">
        <v>86</v>
      </c>
      <c r="P119" s="271" t="s">
        <v>90</v>
      </c>
      <c r="Q119" s="328" t="e">
        <v>#REF!</v>
      </c>
      <c r="R119" s="328" t="e">
        <v>#REF!</v>
      </c>
      <c r="S119" s="357"/>
      <c r="T119" s="301"/>
      <c r="U119" s="301"/>
      <c r="V119" s="275">
        <f>VLOOKUP(Table2[[#This Row],[Course]],Data!$A$1:$E$56,4,FALSE)</f>
        <v>40</v>
      </c>
      <c r="W119" s="275">
        <f>VLOOKUP(Table2[[#This Row],[Course]],Data!$A$1:$E$56,5,FALSE)</f>
        <v>3</v>
      </c>
      <c r="X119" s="275">
        <v>709</v>
      </c>
      <c r="Y119" s="275">
        <v>40</v>
      </c>
      <c r="Z119" s="275">
        <v>5</v>
      </c>
      <c r="AA119" s="275">
        <v>33</v>
      </c>
      <c r="AB119" s="276">
        <v>0</v>
      </c>
      <c r="AC119" s="275">
        <v>8</v>
      </c>
      <c r="AD119" s="275">
        <v>0</v>
      </c>
      <c r="AE119" s="275">
        <v>0</v>
      </c>
      <c r="AF119" s="271" t="s">
        <v>208</v>
      </c>
      <c r="AG119" s="277">
        <f ca="1">Table2[[#This Row],[End Date]]+2-TODAY()</f>
        <v>-200</v>
      </c>
      <c r="AH119" s="275">
        <f>IF(ISBLANK(Table2[[#This Row],[Roster Received By]]),1,0)</f>
        <v>0</v>
      </c>
      <c r="AI119" s="275">
        <f ca="1">IF(Table2[[#This Row],[Start Date]]&gt;TODAY(),1,)</f>
        <v>0</v>
      </c>
    </row>
    <row r="120" spans="1:35" s="345" customFormat="1" ht="14.25" customHeight="1" x14ac:dyDescent="0.25">
      <c r="A120" s="270"/>
      <c r="B120" s="271" t="s">
        <v>18</v>
      </c>
      <c r="C120" s="272" t="str">
        <f>VLOOKUP(Table2[[#This Row],[Course]],Data!$A$1:$E$56,2,FALSE)</f>
        <v>A-493-0013</v>
      </c>
      <c r="D120" s="272">
        <f>VLOOKUP(Table2[[#This Row],[Course]],Data!$A$1:$E$56,3,FALSE)</f>
        <v>3683</v>
      </c>
      <c r="E120" s="271" t="s">
        <v>157</v>
      </c>
      <c r="F120" s="327">
        <v>45330</v>
      </c>
      <c r="G120" s="327">
        <v>45332</v>
      </c>
      <c r="H120" s="344">
        <v>0.33333333333333331</v>
      </c>
      <c r="I120" s="344"/>
      <c r="J120" s="344"/>
      <c r="K120" s="344"/>
      <c r="L120" s="344"/>
      <c r="M120" s="344"/>
      <c r="N120" s="327"/>
      <c r="O120" s="270" t="s">
        <v>78</v>
      </c>
      <c r="P120" s="270"/>
      <c r="Q120" s="328" t="e">
        <v>#REF!</v>
      </c>
      <c r="R120" s="328" t="e">
        <v>#REF!</v>
      </c>
      <c r="S120" s="357"/>
      <c r="T120" s="301"/>
      <c r="U120" s="301"/>
      <c r="V120" s="275">
        <f>VLOOKUP(Table2[[#This Row],[Course]],Data!$A$1:$E$56,4,FALSE)</f>
        <v>40</v>
      </c>
      <c r="W120" s="275">
        <v>3</v>
      </c>
      <c r="X120" s="275">
        <v>5</v>
      </c>
      <c r="Y120" s="275">
        <v>6</v>
      </c>
      <c r="Z120" s="275">
        <v>0</v>
      </c>
      <c r="AA120" s="275">
        <v>9</v>
      </c>
      <c r="AB120" s="276">
        <v>0</v>
      </c>
      <c r="AC120" s="275">
        <v>1</v>
      </c>
      <c r="AD120" s="275">
        <v>4</v>
      </c>
      <c r="AE120" s="275">
        <v>0</v>
      </c>
      <c r="AF120" s="271" t="s">
        <v>191</v>
      </c>
      <c r="AG120" s="277">
        <f ca="1">Table2[[#This Row],[End Date]]+2-TODAY()</f>
        <v>-198</v>
      </c>
      <c r="AH120" s="275">
        <f>IF(ISBLANK(Table2[[#This Row],[Roster Received By]]),1,0)</f>
        <v>0</v>
      </c>
      <c r="AI120" s="275">
        <f ca="1">IF(Table2[[#This Row],[Start Date]]&gt;TODAY(),1,)</f>
        <v>0</v>
      </c>
    </row>
    <row r="121" spans="1:35" s="345" customFormat="1" ht="14.25" customHeight="1" x14ac:dyDescent="0.25">
      <c r="A121" s="270"/>
      <c r="B121" s="271" t="s">
        <v>24</v>
      </c>
      <c r="C121" s="272" t="str">
        <f>VLOOKUP(Table2[[#This Row],[Course]],Data!$A$1:$E$56,2,FALSE)</f>
        <v>A-493-0083</v>
      </c>
      <c r="D121" s="272" t="str">
        <f>VLOOKUP(Table2[[#This Row],[Course]],Data!$A$1:$E$56,3,FALSE)</f>
        <v>339E</v>
      </c>
      <c r="E121" s="356" t="s">
        <v>103</v>
      </c>
      <c r="F121" s="336">
        <v>45330</v>
      </c>
      <c r="G121" s="336">
        <v>45330</v>
      </c>
      <c r="H121" s="274">
        <v>0.33333333333333331</v>
      </c>
      <c r="I121" s="274"/>
      <c r="J121" s="327"/>
      <c r="K121" s="327"/>
      <c r="L121" s="327"/>
      <c r="M121" s="327"/>
      <c r="N121" s="327"/>
      <c r="O121" s="271" t="s">
        <v>78</v>
      </c>
      <c r="P121" s="271"/>
      <c r="Q121" s="298" t="e">
        <v>#REF!</v>
      </c>
      <c r="R121" s="328" t="e">
        <v>#REF!</v>
      </c>
      <c r="S121" s="298"/>
      <c r="T121" s="301"/>
      <c r="U121" s="301"/>
      <c r="V121" s="275">
        <f>VLOOKUP(Table2[[#This Row],[Course]],Data!$A$1:$E$56,4,FALSE)</f>
        <v>30</v>
      </c>
      <c r="W121" s="275">
        <f>VLOOKUP(Table2[[#This Row],[Course]],Data!$A$1:$E$56,5,FALSE)</f>
        <v>1</v>
      </c>
      <c r="X121" s="275">
        <v>89</v>
      </c>
      <c r="Y121" s="275">
        <v>30</v>
      </c>
      <c r="Z121" s="275">
        <v>0</v>
      </c>
      <c r="AA121" s="275">
        <v>30</v>
      </c>
      <c r="AB121" s="276">
        <v>0</v>
      </c>
      <c r="AC121" s="275">
        <v>1</v>
      </c>
      <c r="AD121" s="275">
        <v>1</v>
      </c>
      <c r="AE121" s="275">
        <v>0</v>
      </c>
      <c r="AF121" s="271" t="s">
        <v>213</v>
      </c>
      <c r="AG121" s="277">
        <f ca="1">Table2[[#This Row],[End Date]]+2-TODAY()</f>
        <v>-200</v>
      </c>
      <c r="AH121" s="275">
        <f>IF(ISBLANK(Table2[[#This Row],[Roster Received By]]),1,0)</f>
        <v>0</v>
      </c>
      <c r="AI121" s="275">
        <f ca="1">IF(Table2[[#This Row],[Start Date]]&gt;TODAY(),1,)</f>
        <v>0</v>
      </c>
    </row>
    <row r="122" spans="1:35" s="345" customFormat="1" ht="14.25" customHeight="1" x14ac:dyDescent="0.25">
      <c r="A122" s="270"/>
      <c r="B122" s="271" t="s">
        <v>184</v>
      </c>
      <c r="C122" s="272" t="str">
        <f>VLOOKUP(Table2[[#This Row],[Course]],Data!$A$1:$E$56,2,FALSE)</f>
        <v>A-4J-0022</v>
      </c>
      <c r="D122" s="272" t="str">
        <f>VLOOKUP(Table2[[#This Row],[Course]],Data!$A$1:$E$56,3,FALSE)</f>
        <v>09ER</v>
      </c>
      <c r="E122" s="271" t="s">
        <v>116</v>
      </c>
      <c r="F122" s="273">
        <v>45334</v>
      </c>
      <c r="G122" s="327">
        <v>45338</v>
      </c>
      <c r="H122" s="327"/>
      <c r="I122" s="274">
        <v>0.54166666666666663</v>
      </c>
      <c r="J122" s="274">
        <v>0.41666666666666669</v>
      </c>
      <c r="K122" s="274">
        <v>0.875</v>
      </c>
      <c r="L122" s="274">
        <v>0.79166666666666663</v>
      </c>
      <c r="M122" s="274">
        <v>0.33333333333333331</v>
      </c>
      <c r="N122" s="274">
        <v>0.125</v>
      </c>
      <c r="O122" s="270" t="s">
        <v>89</v>
      </c>
      <c r="P122" s="270" t="s">
        <v>187</v>
      </c>
      <c r="Q122" s="298" t="e">
        <v>#REF!</v>
      </c>
      <c r="R122" s="328" t="e">
        <v>#REF!</v>
      </c>
      <c r="S122" s="298"/>
      <c r="T122" s="301"/>
      <c r="U122" s="301"/>
      <c r="V122" s="275">
        <f>VLOOKUP(Table2[[#This Row],[Course]],Data!$A$1:$E$56,4,FALSE)</f>
        <v>45</v>
      </c>
      <c r="W122" s="275">
        <f>VLOOKUP(Table2[[#This Row],[Course]],Data!$A$1:$E$56,5,FALSE)</f>
        <v>5</v>
      </c>
      <c r="X122" s="275">
        <v>282</v>
      </c>
      <c r="Y122" s="275">
        <v>32</v>
      </c>
      <c r="Z122" s="275">
        <v>0</v>
      </c>
      <c r="AA122" s="275">
        <v>24</v>
      </c>
      <c r="AB122" s="276">
        <v>1</v>
      </c>
      <c r="AC122" s="275">
        <v>7</v>
      </c>
      <c r="AD122" s="275">
        <v>0</v>
      </c>
      <c r="AE122" s="275">
        <v>0</v>
      </c>
      <c r="AF122" s="271" t="s">
        <v>191</v>
      </c>
      <c r="AG122" s="277">
        <f ca="1">Table2[[#This Row],[End Date]]+2-TODAY()</f>
        <v>-192</v>
      </c>
      <c r="AH122" s="275">
        <f>IF(ISBLANK(Table2[[#This Row],[Roster Received By]]),1,0)</f>
        <v>0</v>
      </c>
      <c r="AI122" s="275">
        <f ca="1">IF(Table2[[#This Row],[Start Date]]&gt;TODAY(),1,)</f>
        <v>0</v>
      </c>
    </row>
    <row r="123" spans="1:35" s="345" customFormat="1" ht="14.25" customHeight="1" x14ac:dyDescent="0.25">
      <c r="A123" s="270"/>
      <c r="B123" s="271" t="s">
        <v>236</v>
      </c>
      <c r="C123" s="272" t="str">
        <f>VLOOKUP(Table2[[#This Row],[Course]],Data!$A$1:$E$56,2,FALSE)</f>
        <v>A-493-0103</v>
      </c>
      <c r="D123" s="272" t="str">
        <f>VLOOKUP(Table2[[#This Row],[Course]],Data!$A$1:$E$56,3,FALSE)</f>
        <v>12JY</v>
      </c>
      <c r="E123" s="271" t="s">
        <v>133</v>
      </c>
      <c r="F123" s="327">
        <v>45334</v>
      </c>
      <c r="G123" s="327">
        <v>45338</v>
      </c>
      <c r="H123" s="344">
        <v>0.33333333333333331</v>
      </c>
      <c r="I123" s="344"/>
      <c r="J123" s="327"/>
      <c r="K123" s="327"/>
      <c r="L123" s="327"/>
      <c r="M123" s="327"/>
      <c r="N123" s="327"/>
      <c r="O123" s="271" t="s">
        <v>94</v>
      </c>
      <c r="P123" s="271"/>
      <c r="Q123" s="331" t="e">
        <v>#REF!</v>
      </c>
      <c r="R123" s="331" t="e">
        <v>#REF!</v>
      </c>
      <c r="S123" s="332"/>
      <c r="T123" s="270"/>
      <c r="U123" s="270"/>
      <c r="V123" s="275">
        <f>VLOOKUP(Table2[[#This Row],[Course]],Data!$A$1:$E$56,4,FALSE)</f>
        <v>25</v>
      </c>
      <c r="W123" s="275">
        <f>VLOOKUP(Table2[[#This Row],[Course]],Data!$A$1:$E$56,5,FALSE)</f>
        <v>5</v>
      </c>
      <c r="X123" s="275">
        <v>58</v>
      </c>
      <c r="Y123" s="275">
        <v>25</v>
      </c>
      <c r="Z123" s="275">
        <v>5</v>
      </c>
      <c r="AA123" s="275">
        <v>24</v>
      </c>
      <c r="AB123" s="276">
        <v>0</v>
      </c>
      <c r="AC123" s="275">
        <v>3</v>
      </c>
      <c r="AD123" s="275">
        <v>2</v>
      </c>
      <c r="AE123" s="275">
        <v>0</v>
      </c>
      <c r="AF123" s="271" t="s">
        <v>189</v>
      </c>
      <c r="AG123" s="277">
        <f ca="1">Table2[[#This Row],[End Date]]+2-TODAY()</f>
        <v>-192</v>
      </c>
      <c r="AH123" s="275">
        <f>IF(ISBLANK(Table2[[#This Row],[Roster Received By]]),1,0)</f>
        <v>0</v>
      </c>
      <c r="AI123" s="275">
        <f ca="1">IF(Table2[[#This Row],[Start Date]]&gt;TODAY(),1,)</f>
        <v>0</v>
      </c>
    </row>
    <row r="124" spans="1:35" s="345" customFormat="1" ht="14.25" customHeight="1" x14ac:dyDescent="0.25">
      <c r="A124" s="270"/>
      <c r="B124" s="271" t="s">
        <v>17</v>
      </c>
      <c r="C124" s="272" t="str">
        <f>VLOOKUP(Table2[[#This Row],[Course]],Data!$A$1:$E$56,2,FALSE)</f>
        <v>A-493-0012</v>
      </c>
      <c r="D124" s="272">
        <f>VLOOKUP(Table2[[#This Row],[Course]],Data!$A$1:$E$56,3,FALSE)</f>
        <v>3682</v>
      </c>
      <c r="E124" s="271" t="s">
        <v>155</v>
      </c>
      <c r="F124" s="327">
        <v>45334</v>
      </c>
      <c r="G124" s="327">
        <v>45338</v>
      </c>
      <c r="H124" s="344">
        <v>0.33333333333333331</v>
      </c>
      <c r="I124" s="344"/>
      <c r="J124" s="344"/>
      <c r="K124" s="344"/>
      <c r="L124" s="344"/>
      <c r="M124" s="344"/>
      <c r="N124" s="327"/>
      <c r="O124" s="270" t="s">
        <v>78</v>
      </c>
      <c r="P124" s="270"/>
      <c r="Q124" s="328" t="e">
        <v>#REF!</v>
      </c>
      <c r="R124" s="328" t="e">
        <v>#REF!</v>
      </c>
      <c r="S124" s="357"/>
      <c r="T124" s="301"/>
      <c r="U124" s="301"/>
      <c r="V124" s="275">
        <f>VLOOKUP(Table2[[#This Row],[Course]],Data!$A$1:$E$56,4,FALSE)</f>
        <v>40</v>
      </c>
      <c r="W124" s="275">
        <f>VLOOKUP(Table2[[#This Row],[Course]],Data!$A$1:$E$56,5,FALSE)</f>
        <v>5</v>
      </c>
      <c r="X124" s="275">
        <v>25</v>
      </c>
      <c r="Y124" s="275">
        <v>14</v>
      </c>
      <c r="Z124" s="275">
        <v>0</v>
      </c>
      <c r="AA124" s="275">
        <v>37</v>
      </c>
      <c r="AB124" s="276">
        <v>0</v>
      </c>
      <c r="AC124" s="275">
        <v>2</v>
      </c>
      <c r="AD124" s="275">
        <v>25</v>
      </c>
      <c r="AE124" s="275">
        <v>0</v>
      </c>
      <c r="AF124" s="271" t="s">
        <v>191</v>
      </c>
      <c r="AG124" s="277">
        <f ca="1">Table2[[#This Row],[End Date]]+2-TODAY()</f>
        <v>-192</v>
      </c>
      <c r="AH124" s="275">
        <f>IF(ISBLANK(Table2[[#This Row],[Roster Received By]]),1,0)</f>
        <v>0</v>
      </c>
      <c r="AI124" s="275">
        <f ca="1">IF(Table2[[#This Row],[Start Date]]&gt;TODAY(),1,)</f>
        <v>0</v>
      </c>
    </row>
    <row r="125" spans="1:35" s="345" customFormat="1" ht="14.25" customHeight="1" x14ac:dyDescent="0.25">
      <c r="A125" s="270"/>
      <c r="B125" s="271" t="s">
        <v>20</v>
      </c>
      <c r="C125" s="272" t="str">
        <f>VLOOKUP(Table2[[#This Row],[Course]],Data!$A$1:$E$56,2,FALSE)</f>
        <v xml:space="preserve">A-493-0075 </v>
      </c>
      <c r="D125" s="272" t="str">
        <f>VLOOKUP(Table2[[#This Row],[Course]],Data!$A$1:$E$56,3,FALSE)</f>
        <v>714U</v>
      </c>
      <c r="E125" s="271" t="s">
        <v>109</v>
      </c>
      <c r="F125" s="327">
        <v>45334</v>
      </c>
      <c r="G125" s="327">
        <v>45337</v>
      </c>
      <c r="H125" s="344">
        <v>0.33333333333333331</v>
      </c>
      <c r="I125" s="344"/>
      <c r="J125" s="327"/>
      <c r="K125" s="327"/>
      <c r="L125" s="327"/>
      <c r="M125" s="327"/>
      <c r="N125" s="327"/>
      <c r="O125" s="271" t="s">
        <v>94</v>
      </c>
      <c r="P125" s="271"/>
      <c r="Q125" s="331" t="e">
        <v>#REF!</v>
      </c>
      <c r="R125" s="331" t="e">
        <v>#REF!</v>
      </c>
      <c r="S125" s="332"/>
      <c r="T125" s="270"/>
      <c r="U125" s="270"/>
      <c r="V125" s="275">
        <f>VLOOKUP(Table2[[#This Row],[Course]],Data!$A$1:$E$56,4,FALSE)</f>
        <v>30</v>
      </c>
      <c r="W125" s="275">
        <f>VLOOKUP(Table2[[#This Row],[Course]],Data!$A$1:$E$56,5,FALSE)</f>
        <v>4</v>
      </c>
      <c r="X125" s="275">
        <v>6</v>
      </c>
      <c r="Y125" s="275">
        <v>23</v>
      </c>
      <c r="Z125" s="275">
        <v>0</v>
      </c>
      <c r="AA125" s="275">
        <v>13</v>
      </c>
      <c r="AB125" s="276">
        <v>0</v>
      </c>
      <c r="AC125" s="275">
        <v>10</v>
      </c>
      <c r="AD125" s="275">
        <v>0</v>
      </c>
      <c r="AE125" s="275">
        <v>0</v>
      </c>
      <c r="AF125" s="271" t="s">
        <v>189</v>
      </c>
      <c r="AG125" s="277">
        <f ca="1">Table2[[#This Row],[End Date]]+2-TODAY()</f>
        <v>-193</v>
      </c>
      <c r="AH125" s="275">
        <f>IF(ISBLANK(Table2[[#This Row],[Roster Received By]]),1,0)</f>
        <v>0</v>
      </c>
      <c r="AI125" s="275">
        <f ca="1">IF(Table2[[#This Row],[Start Date]]&gt;TODAY(),1,)</f>
        <v>0</v>
      </c>
    </row>
    <row r="126" spans="1:35" s="345" customFormat="1" ht="14.25" customHeight="1" x14ac:dyDescent="0.25">
      <c r="A126" s="270"/>
      <c r="B126" s="271" t="s">
        <v>249</v>
      </c>
      <c r="C126" s="272" t="str">
        <f>VLOOKUP(Table2[[#This Row],[Course]],Data!$A$1:$E$56,2,FALSE)</f>
        <v>A-322-2604</v>
      </c>
      <c r="D126" s="272" t="str">
        <f>VLOOKUP(Table2[[#This Row],[Course]],Data!$A$1:$E$56,3,FALSE)</f>
        <v>10ZZ</v>
      </c>
      <c r="E126" s="271" t="s">
        <v>116</v>
      </c>
      <c r="F126" s="327">
        <v>45334</v>
      </c>
      <c r="G126" s="327">
        <v>45338</v>
      </c>
      <c r="H126" s="327"/>
      <c r="I126" s="274">
        <v>0.79166666666666663</v>
      </c>
      <c r="J126" s="274">
        <v>0.66666666666666663</v>
      </c>
      <c r="K126" s="274">
        <v>8.3333333333333329E-2</v>
      </c>
      <c r="L126" s="274">
        <v>0</v>
      </c>
      <c r="M126" s="274">
        <v>0.54166666666666663</v>
      </c>
      <c r="N126" s="274">
        <v>0.33333333333333331</v>
      </c>
      <c r="O126" s="271" t="s">
        <v>83</v>
      </c>
      <c r="P126" s="271"/>
      <c r="Q126" s="298" t="e">
        <v>#REF!</v>
      </c>
      <c r="R126" s="328" t="e">
        <v>#REF!</v>
      </c>
      <c r="S126" s="298"/>
      <c r="T126" s="301"/>
      <c r="U126" s="301"/>
      <c r="V126" s="275">
        <f>VLOOKUP(Table2[[#This Row],[Course]],Data!$A$1:$E$56,4,FALSE)</f>
        <v>45</v>
      </c>
      <c r="W126" s="275">
        <f>VLOOKUP(Table2[[#This Row],[Course]],Data!$A$1:$E$56,5,FALSE)</f>
        <v>5</v>
      </c>
      <c r="X126" s="275">
        <v>97</v>
      </c>
      <c r="Y126" s="275">
        <v>45</v>
      </c>
      <c r="Z126" s="275"/>
      <c r="AA126" s="275">
        <v>31</v>
      </c>
      <c r="AB126" s="276">
        <v>4</v>
      </c>
      <c r="AC126" s="275">
        <v>11</v>
      </c>
      <c r="AD126" s="275">
        <v>1</v>
      </c>
      <c r="AE126" s="275">
        <v>0</v>
      </c>
      <c r="AF126" s="271" t="s">
        <v>191</v>
      </c>
      <c r="AG126" s="277">
        <f ca="1">Table2[[#This Row],[End Date]]+2-TODAY()</f>
        <v>-192</v>
      </c>
      <c r="AH126" s="275">
        <f>IF(ISBLANK(Table2[[#This Row],[Roster Received By]]),1,0)</f>
        <v>0</v>
      </c>
      <c r="AI126" s="275">
        <f ca="1">IF(Table2[[#This Row],[Start Date]]&gt;TODAY(),1,)</f>
        <v>0</v>
      </c>
    </row>
    <row r="127" spans="1:35" s="345" customFormat="1" ht="14.25" customHeight="1" x14ac:dyDescent="0.25">
      <c r="A127" s="270"/>
      <c r="B127" s="271" t="s">
        <v>24</v>
      </c>
      <c r="C127" s="272" t="str">
        <f>VLOOKUP(Table2[[#This Row],[Course]],Data!$A$1:$E$56,2,FALSE)</f>
        <v>A-493-0083</v>
      </c>
      <c r="D127" s="272" t="str">
        <f>VLOOKUP(Table2[[#This Row],[Course]],Data!$A$1:$E$56,3,FALSE)</f>
        <v>339E</v>
      </c>
      <c r="E127" s="271" t="s">
        <v>116</v>
      </c>
      <c r="F127" s="336">
        <v>45334</v>
      </c>
      <c r="G127" s="336">
        <v>45334</v>
      </c>
      <c r="H127" s="273"/>
      <c r="I127" s="274">
        <v>1100.4583333333333</v>
      </c>
      <c r="J127" s="274">
        <v>1100.3333333333333</v>
      </c>
      <c r="K127" s="274">
        <v>0.79166666666666663</v>
      </c>
      <c r="L127" s="274">
        <v>0.70833333333333337</v>
      </c>
      <c r="M127" s="274">
        <v>0.25</v>
      </c>
      <c r="N127" s="274">
        <v>4.1666666666666664E-2</v>
      </c>
      <c r="O127" s="271" t="s">
        <v>78</v>
      </c>
      <c r="P127" s="271"/>
      <c r="Q127" s="298" t="e">
        <v>#REF!</v>
      </c>
      <c r="R127" s="328" t="e">
        <v>#REF!</v>
      </c>
      <c r="S127" s="298"/>
      <c r="T127" s="301"/>
      <c r="U127" s="301"/>
      <c r="V127" s="275">
        <f>VLOOKUP(Table2[[#This Row],[Course]],Data!$A$1:$E$56,4,FALSE)</f>
        <v>30</v>
      </c>
      <c r="W127" s="275">
        <f>VLOOKUP(Table2[[#This Row],[Course]],Data!$A$1:$E$56,5,FALSE)</f>
        <v>1</v>
      </c>
      <c r="X127" s="275">
        <v>0</v>
      </c>
      <c r="Y127" s="275">
        <v>30</v>
      </c>
      <c r="Z127" s="275">
        <v>2</v>
      </c>
      <c r="AA127" s="275">
        <v>29</v>
      </c>
      <c r="AB127" s="276">
        <v>0</v>
      </c>
      <c r="AC127" s="275">
        <v>3</v>
      </c>
      <c r="AD127" s="275">
        <v>0</v>
      </c>
      <c r="AE127" s="275">
        <v>0</v>
      </c>
      <c r="AF127" s="271" t="s">
        <v>213</v>
      </c>
      <c r="AG127" s="277">
        <f ca="1">Table2[[#This Row],[End Date]]+2-TODAY()</f>
        <v>-196</v>
      </c>
      <c r="AH127" s="275">
        <f>IF(ISBLANK(Table2[[#This Row],[Roster Received By]]),1,0)</f>
        <v>0</v>
      </c>
      <c r="AI127" s="275">
        <f ca="1">IF(Table2[[#This Row],[Start Date]]&gt;TODAY(),1,)</f>
        <v>0</v>
      </c>
    </row>
    <row r="128" spans="1:35" s="345" customFormat="1" ht="14.25" customHeight="1" x14ac:dyDescent="0.25">
      <c r="A128" s="271"/>
      <c r="B128" s="325" t="s">
        <v>34</v>
      </c>
      <c r="C128" s="272" t="str">
        <f>VLOOKUP(Table2[[#This Row],[Course]],Data!$A$1:$E$56,2,FALSE)</f>
        <v>A-493-0085</v>
      </c>
      <c r="D128" s="272">
        <f>VLOOKUP(Table2[[#This Row],[Course]],Data!$A$1:$E$56,3,FALSE)</f>
        <v>3555</v>
      </c>
      <c r="E128" s="325" t="s">
        <v>116</v>
      </c>
      <c r="F128" s="327">
        <v>45334</v>
      </c>
      <c r="G128" s="327">
        <v>45337</v>
      </c>
      <c r="H128" s="327"/>
      <c r="I128" s="274">
        <v>0.5</v>
      </c>
      <c r="J128" s="274">
        <v>0.375</v>
      </c>
      <c r="K128" s="274">
        <v>0.79166666666666663</v>
      </c>
      <c r="L128" s="274">
        <v>0.70833333333333337</v>
      </c>
      <c r="M128" s="274">
        <v>0.25</v>
      </c>
      <c r="N128" s="274">
        <v>4.1666666666666664E-2</v>
      </c>
      <c r="O128" s="271" t="s">
        <v>86</v>
      </c>
      <c r="P128" s="271" t="s">
        <v>90</v>
      </c>
      <c r="Q128" s="328" t="e">
        <v>#REF!</v>
      </c>
      <c r="R128" s="328" t="e">
        <v>#REF!</v>
      </c>
      <c r="S128" s="357"/>
      <c r="T128" s="301"/>
      <c r="U128" s="301"/>
      <c r="V128" s="275">
        <f>VLOOKUP(Table2[[#This Row],[Course]],Data!$A$1:$E$56,4,FALSE)</f>
        <v>30</v>
      </c>
      <c r="W128" s="275">
        <f>VLOOKUP(Table2[[#This Row],[Course]],Data!$A$1:$E$56,5,FALSE)</f>
        <v>4</v>
      </c>
      <c r="X128" s="275">
        <v>464</v>
      </c>
      <c r="Y128" s="275">
        <v>28</v>
      </c>
      <c r="Z128" s="275">
        <v>0</v>
      </c>
      <c r="AA128" s="275">
        <v>27</v>
      </c>
      <c r="AB128" s="276">
        <v>1</v>
      </c>
      <c r="AC128" s="275">
        <v>2</v>
      </c>
      <c r="AD128" s="275">
        <v>0</v>
      </c>
      <c r="AE128" s="275">
        <v>0</v>
      </c>
      <c r="AF128" s="271" t="s">
        <v>208</v>
      </c>
      <c r="AG128" s="277">
        <f ca="1">Table2[[#This Row],[End Date]]+2-TODAY()</f>
        <v>-193</v>
      </c>
      <c r="AH128" s="275">
        <f>IF(ISBLANK(Table2[[#This Row],[Roster Received By]]),1,0)</f>
        <v>0</v>
      </c>
      <c r="AI128" s="275">
        <f ca="1">IF(Table2[[#This Row],[Start Date]]&gt;TODAY(),1,)</f>
        <v>0</v>
      </c>
    </row>
    <row r="129" spans="1:35" s="345" customFormat="1" ht="14.25" customHeight="1" x14ac:dyDescent="0.25">
      <c r="A129" s="270"/>
      <c r="B129" s="271" t="s">
        <v>18</v>
      </c>
      <c r="C129" s="272" t="str">
        <f>VLOOKUP(Table2[[#This Row],[Course]],Data!$A$1:$E$56,2,FALSE)</f>
        <v>A-493-0013</v>
      </c>
      <c r="D129" s="272">
        <f>VLOOKUP(Table2[[#This Row],[Course]],Data!$A$1:$E$56,3,FALSE)</f>
        <v>3683</v>
      </c>
      <c r="E129" s="371" t="s">
        <v>119</v>
      </c>
      <c r="F129" s="273">
        <v>45335</v>
      </c>
      <c r="G129" s="327">
        <v>45337</v>
      </c>
      <c r="H129" s="344">
        <v>0.33333333333333331</v>
      </c>
      <c r="I129" s="344"/>
      <c r="J129" s="327"/>
      <c r="K129" s="327"/>
      <c r="L129" s="327"/>
      <c r="M129" s="327"/>
      <c r="N129" s="327"/>
      <c r="O129" s="271" t="s">
        <v>78</v>
      </c>
      <c r="P129" s="271"/>
      <c r="Q129" s="298" t="e">
        <v>#REF!</v>
      </c>
      <c r="R129" s="328" t="e">
        <v>#REF!</v>
      </c>
      <c r="S129" s="298"/>
      <c r="T129" s="301"/>
      <c r="U129" s="301"/>
      <c r="V129" s="275">
        <f>VLOOKUP(Table2[[#This Row],[Course]],Data!$A$1:$E$56,4,FALSE)</f>
        <v>40</v>
      </c>
      <c r="W129" s="275">
        <v>3</v>
      </c>
      <c r="X129" s="275">
        <v>15</v>
      </c>
      <c r="Y129" s="275">
        <v>20</v>
      </c>
      <c r="Z129" s="275">
        <v>0</v>
      </c>
      <c r="AA129" s="275">
        <v>37</v>
      </c>
      <c r="AB129" s="276">
        <v>0</v>
      </c>
      <c r="AC129" s="275">
        <v>3</v>
      </c>
      <c r="AD129" s="275">
        <v>21</v>
      </c>
      <c r="AE129" s="272">
        <v>20</v>
      </c>
      <c r="AF129" s="271" t="s">
        <v>191</v>
      </c>
      <c r="AG129" s="277">
        <f ca="1">Table2[[#This Row],[End Date]]+2-TODAY()</f>
        <v>-193</v>
      </c>
      <c r="AH129" s="275">
        <f>IF(ISBLANK(Table2[[#This Row],[Roster Received By]]),1,0)</f>
        <v>0</v>
      </c>
      <c r="AI129" s="275">
        <f ca="1">IF(Table2[[#This Row],[Start Date]]&gt;TODAY(),1,)</f>
        <v>0</v>
      </c>
    </row>
    <row r="130" spans="1:35" s="345" customFormat="1" ht="14.25" customHeight="1" x14ac:dyDescent="0.25">
      <c r="A130" s="270" t="s">
        <v>501</v>
      </c>
      <c r="B130" s="325" t="s">
        <v>334</v>
      </c>
      <c r="C130" s="272" t="str">
        <f>VLOOKUP(Table2[[#This Row],[Course]],Data!$A$1:$E$56,2,FALSE)</f>
        <v>Holiday</v>
      </c>
      <c r="D130" s="272" t="str">
        <f>VLOOKUP(Table2[[#This Row],[Course]],Data!$A$1:$E$56,3,FALSE)</f>
        <v>Holiday</v>
      </c>
      <c r="E130" s="271"/>
      <c r="F130" s="327">
        <v>45341</v>
      </c>
      <c r="G130" s="327">
        <v>45341</v>
      </c>
      <c r="H130" s="344">
        <v>0</v>
      </c>
      <c r="I130" s="344"/>
      <c r="J130" s="327"/>
      <c r="K130" s="327"/>
      <c r="L130" s="327"/>
      <c r="M130" s="327"/>
      <c r="N130" s="327"/>
      <c r="O130" s="271"/>
      <c r="P130" s="271"/>
      <c r="Q130" s="331" t="e">
        <v>#REF!</v>
      </c>
      <c r="R130" s="331" t="e">
        <v>#REF!</v>
      </c>
      <c r="S130" s="332">
        <v>0</v>
      </c>
      <c r="T130" s="270">
        <v>0</v>
      </c>
      <c r="U130" s="270">
        <v>0</v>
      </c>
      <c r="V130" s="275">
        <f>VLOOKUP(Table2[[#This Row],[Course]],Data!$A$1:$E$56,4,FALSE)</f>
        <v>0</v>
      </c>
      <c r="W130" s="275">
        <f>VLOOKUP(Table2[[#This Row],[Course]],Data!$A$1:$E$56,5,FALSE)</f>
        <v>0</v>
      </c>
      <c r="X130" s="275">
        <v>0</v>
      </c>
      <c r="Y130" s="275">
        <v>0</v>
      </c>
      <c r="Z130" s="275">
        <v>0</v>
      </c>
      <c r="AA130" s="275">
        <v>0</v>
      </c>
      <c r="AB130" s="276">
        <v>0</v>
      </c>
      <c r="AC130" s="275">
        <v>0</v>
      </c>
      <c r="AD130" s="275">
        <v>0</v>
      </c>
      <c r="AE130" s="275">
        <v>0</v>
      </c>
      <c r="AF130" s="271" t="s">
        <v>194</v>
      </c>
      <c r="AG130" s="277">
        <f ca="1">Table2[[#This Row],[End Date]]+2-TODAY()</f>
        <v>-189</v>
      </c>
      <c r="AH130" s="275">
        <f>IF(ISBLANK(Table2[[#This Row],[Roster Received By]]),1,0)</f>
        <v>0</v>
      </c>
      <c r="AI130" s="275">
        <f ca="1">IF(Table2[[#This Row],[Start Date]]&gt;TODAY(),1,)</f>
        <v>0</v>
      </c>
    </row>
    <row r="131" spans="1:35" s="345" customFormat="1" ht="14.25" customHeight="1" x14ac:dyDescent="0.25">
      <c r="A131" s="270"/>
      <c r="B131" s="325" t="s">
        <v>26</v>
      </c>
      <c r="C131" s="272" t="str">
        <f>VLOOKUP(Table2[[#This Row],[Course]],Data!$A$1:$E$56,2,FALSE)</f>
        <v>A-493-2301</v>
      </c>
      <c r="D131" s="272" t="str">
        <f>VLOOKUP(Table2[[#This Row],[Course]],Data!$A$1:$E$56,3,FALSE)</f>
        <v>05ZD</v>
      </c>
      <c r="E131" s="325" t="s">
        <v>165</v>
      </c>
      <c r="F131" s="326">
        <v>45342</v>
      </c>
      <c r="G131" s="326">
        <v>45342</v>
      </c>
      <c r="H131" s="344">
        <v>0.33333333333333331</v>
      </c>
      <c r="I131" s="344"/>
      <c r="J131" s="327"/>
      <c r="K131" s="327"/>
      <c r="L131" s="327"/>
      <c r="M131" s="327"/>
      <c r="N131" s="327"/>
      <c r="O131" s="271" t="s">
        <v>78</v>
      </c>
      <c r="P131" s="271"/>
      <c r="Q131" s="276" t="e">
        <v>#REF!</v>
      </c>
      <c r="R131" s="331" t="e">
        <v>#REF!</v>
      </c>
      <c r="S131" s="276"/>
      <c r="T131" s="270"/>
      <c r="U131" s="270"/>
      <c r="V131" s="275">
        <f>VLOOKUP(Table2[[#This Row],[Course]],Data!$A$1:$E$56,4,FALSE)</f>
        <v>30</v>
      </c>
      <c r="W131" s="275">
        <f>VLOOKUP(Table2[[#This Row],[Course]],Data!$A$1:$E$56,5,FALSE)</f>
        <v>1</v>
      </c>
      <c r="X131" s="275">
        <v>21</v>
      </c>
      <c r="Y131" s="275">
        <v>9</v>
      </c>
      <c r="Z131" s="275">
        <v>0</v>
      </c>
      <c r="AA131" s="275">
        <v>8</v>
      </c>
      <c r="AB131" s="276">
        <v>0</v>
      </c>
      <c r="AC131" s="275">
        <v>3</v>
      </c>
      <c r="AD131" s="275">
        <v>2</v>
      </c>
      <c r="AE131" s="275">
        <v>0</v>
      </c>
      <c r="AF131" s="271" t="s">
        <v>191</v>
      </c>
      <c r="AG131" s="277">
        <f ca="1">Table2[[#This Row],[End Date]]+2-TODAY()</f>
        <v>-188</v>
      </c>
      <c r="AH131" s="275">
        <f>IF(ISBLANK(Table2[[#This Row],[Roster Received By]]),1,0)</f>
        <v>0</v>
      </c>
      <c r="AI131" s="275">
        <f ca="1">IF(Table2[[#This Row],[Start Date]]&gt;TODAY(),1,)</f>
        <v>0</v>
      </c>
    </row>
    <row r="132" spans="1:35" s="345" customFormat="1" ht="14.25" customHeight="1" x14ac:dyDescent="0.25">
      <c r="A132" s="270"/>
      <c r="B132" s="325" t="s">
        <v>274</v>
      </c>
      <c r="C132" s="272" t="str">
        <f>VLOOKUP(Table2[[#This Row],[Course]],Data!$A$1:$E$56,2,FALSE)</f>
        <v>A-493-0335</v>
      </c>
      <c r="D132" s="272" t="str">
        <f>VLOOKUP(Table2[[#This Row],[Course]],Data!$A$1:$E$56,3,FALSE)</f>
        <v>09ND</v>
      </c>
      <c r="E132" s="271" t="s">
        <v>116</v>
      </c>
      <c r="F132" s="327">
        <v>45342</v>
      </c>
      <c r="G132" s="327">
        <v>45345</v>
      </c>
      <c r="H132" s="327"/>
      <c r="I132" s="274">
        <v>0.5</v>
      </c>
      <c r="J132" s="274">
        <v>0.375</v>
      </c>
      <c r="K132" s="274">
        <v>0.83333333333333337</v>
      </c>
      <c r="L132" s="274">
        <v>0.75</v>
      </c>
      <c r="M132" s="274">
        <v>0.29166666666666669</v>
      </c>
      <c r="N132" s="274">
        <v>8.3333333333333329E-2</v>
      </c>
      <c r="O132" s="271" t="s">
        <v>81</v>
      </c>
      <c r="P132" s="271"/>
      <c r="Q132" s="328" t="e">
        <v>#REF!</v>
      </c>
      <c r="R132" s="328" t="e">
        <v>#REF!</v>
      </c>
      <c r="S132" s="357"/>
      <c r="T132" s="301"/>
      <c r="U132" s="301"/>
      <c r="V132" s="275">
        <f>VLOOKUP(Table2[[#This Row],[Course]],Data!$A$1:$E$56,4,FALSE)</f>
        <v>30</v>
      </c>
      <c r="W132" s="275">
        <f>VLOOKUP(Table2[[#This Row],[Course]],Data!$A$1:$E$56,5,FALSE)</f>
        <v>4</v>
      </c>
      <c r="X132" s="275">
        <v>499</v>
      </c>
      <c r="Y132" s="275">
        <v>30</v>
      </c>
      <c r="Z132" s="275">
        <v>4</v>
      </c>
      <c r="AA132" s="275">
        <v>31</v>
      </c>
      <c r="AB132" s="276">
        <v>0</v>
      </c>
      <c r="AC132" s="275">
        <v>3</v>
      </c>
      <c r="AD132" s="275">
        <v>0</v>
      </c>
      <c r="AE132" s="275">
        <v>0</v>
      </c>
      <c r="AF132" s="271" t="s">
        <v>208</v>
      </c>
      <c r="AG132" s="277">
        <f ca="1">Table2[[#This Row],[End Date]]+2-TODAY()</f>
        <v>-185</v>
      </c>
      <c r="AH132" s="275">
        <f>IF(ISBLANK(Table2[[#This Row],[Roster Received By]]),1,0)</f>
        <v>0</v>
      </c>
      <c r="AI132" s="275">
        <f ca="1">IF(Table2[[#This Row],[Start Date]]&gt;TODAY(),1,)</f>
        <v>0</v>
      </c>
    </row>
    <row r="133" spans="1:35" s="345" customFormat="1" ht="14.25" customHeight="1" x14ac:dyDescent="0.25">
      <c r="A133" s="270"/>
      <c r="B133" s="325" t="s">
        <v>288</v>
      </c>
      <c r="C133" s="272" t="str">
        <f>VLOOKUP(Table2[[#This Row],[Course]],Data!$A$1:$E$56,2,FALSE)</f>
        <v>A-493-0073</v>
      </c>
      <c r="D133" s="272" t="str">
        <f>VLOOKUP(Table2[[#This Row],[Course]],Data!$A$1:$E$56,3,FALSE)</f>
        <v>714S</v>
      </c>
      <c r="E133" s="325" t="s">
        <v>116</v>
      </c>
      <c r="F133" s="326">
        <v>45342</v>
      </c>
      <c r="G133" s="326">
        <v>45345</v>
      </c>
      <c r="H133" s="327"/>
      <c r="I133" s="274">
        <v>0.54166666666666663</v>
      </c>
      <c r="J133" s="274">
        <v>0.41666666666666669</v>
      </c>
      <c r="K133" s="274">
        <v>0.875</v>
      </c>
      <c r="L133" s="274">
        <v>0.79166666666666663</v>
      </c>
      <c r="M133" s="274">
        <v>0.33333333333333331</v>
      </c>
      <c r="N133" s="274">
        <v>0.125</v>
      </c>
      <c r="O133" s="271" t="s">
        <v>94</v>
      </c>
      <c r="P133" s="271"/>
      <c r="Q133" s="331" t="e">
        <v>#REF!</v>
      </c>
      <c r="R133" s="331" t="e">
        <v>#REF!</v>
      </c>
      <c r="S133" s="332"/>
      <c r="T133" s="270"/>
      <c r="U133" s="270"/>
      <c r="V133" s="275">
        <f>VLOOKUP(Table2[[#This Row],[Course]],Data!$A$1:$E$56,4,FALSE)</f>
        <v>30</v>
      </c>
      <c r="W133" s="275">
        <f>VLOOKUP(Table2[[#This Row],[Course]],Data!$A$1:$E$56,5,FALSE)</f>
        <v>4</v>
      </c>
      <c r="X133" s="275">
        <v>453</v>
      </c>
      <c r="Y133" s="275">
        <v>29</v>
      </c>
      <c r="Z133" s="275">
        <v>0</v>
      </c>
      <c r="AA133" s="275">
        <v>23</v>
      </c>
      <c r="AB133" s="276">
        <v>0</v>
      </c>
      <c r="AC133" s="275">
        <v>6</v>
      </c>
      <c r="AD133" s="275">
        <v>0</v>
      </c>
      <c r="AE133" s="275">
        <v>0</v>
      </c>
      <c r="AF133" s="271" t="s">
        <v>189</v>
      </c>
      <c r="AG133" s="277">
        <f ca="1">Table2[[#This Row],[End Date]]+2-TODAY()</f>
        <v>-185</v>
      </c>
      <c r="AH133" s="275">
        <f>IF(ISBLANK(Table2[[#This Row],[Roster Received By]]),1,0)</f>
        <v>0</v>
      </c>
      <c r="AI133" s="275">
        <f ca="1">IF(Table2[[#This Row],[Start Date]]&gt;TODAY(),1,)</f>
        <v>0</v>
      </c>
    </row>
    <row r="134" spans="1:35" s="345" customFormat="1" ht="14.25" customHeight="1" x14ac:dyDescent="0.25">
      <c r="A134" s="347" t="s">
        <v>502</v>
      </c>
      <c r="B134" s="361" t="s">
        <v>310</v>
      </c>
      <c r="C134" s="348" t="str">
        <f>VLOOKUP(Table2[[#This Row],[Course]],Data!$A$1:$E$56,2,FALSE)</f>
        <v>A-4J-0019</v>
      </c>
      <c r="D134" s="348" t="str">
        <f>VLOOKUP(Table2[[#This Row],[Course]],Data!$A$1:$E$56,3,FALSE)</f>
        <v>28SL/285M</v>
      </c>
      <c r="E134" s="340" t="s">
        <v>340</v>
      </c>
      <c r="F134" s="349">
        <v>45342</v>
      </c>
      <c r="G134" s="349">
        <v>45345</v>
      </c>
      <c r="H134" s="344">
        <v>0.33333333333333331</v>
      </c>
      <c r="I134" s="351"/>
      <c r="J134" s="352"/>
      <c r="K134" s="352"/>
      <c r="L134" s="352"/>
      <c r="M134" s="352"/>
      <c r="N134" s="352"/>
      <c r="O134" s="340" t="s">
        <v>259</v>
      </c>
      <c r="P134" s="340" t="s">
        <v>273</v>
      </c>
      <c r="Q134" s="303"/>
      <c r="R134" s="297"/>
      <c r="S134" s="303"/>
      <c r="T134" s="314"/>
      <c r="U134" s="314"/>
      <c r="V134" s="338">
        <v>20</v>
      </c>
      <c r="W134" s="353">
        <v>3</v>
      </c>
      <c r="X134" s="353">
        <v>0</v>
      </c>
      <c r="Y134" s="353">
        <v>20</v>
      </c>
      <c r="Z134" s="353">
        <v>0</v>
      </c>
      <c r="AA134" s="338">
        <v>20</v>
      </c>
      <c r="AB134" s="338">
        <v>0</v>
      </c>
      <c r="AC134" s="339">
        <v>0</v>
      </c>
      <c r="AD134" s="339">
        <v>0</v>
      </c>
      <c r="AE134" s="339">
        <v>0</v>
      </c>
      <c r="AF134" s="340" t="s">
        <v>191</v>
      </c>
      <c r="AG134" s="341">
        <f ca="1">Table2[[#This Row],[End Date]]+2-TODAY()</f>
        <v>-185</v>
      </c>
      <c r="AH134" s="339">
        <f>IF(ISBLANK(Table2[[#This Row],[Roster Received By]]),1,0)</f>
        <v>0</v>
      </c>
      <c r="AI134" s="339">
        <f ca="1">IF(Table2[[#This Row],[Start Date]]&gt;TODAY(),1,)</f>
        <v>0</v>
      </c>
    </row>
    <row r="135" spans="1:35" s="345" customFormat="1" ht="14.25" customHeight="1" x14ac:dyDescent="0.25">
      <c r="A135" s="270"/>
      <c r="B135" s="325" t="s">
        <v>28</v>
      </c>
      <c r="C135" s="272" t="str">
        <f>VLOOKUP(Table2[[#This Row],[Course]],Data!$A$1:$E$56,2,FALSE)</f>
        <v>A-493-0092</v>
      </c>
      <c r="D135" s="272">
        <f>VLOOKUP(Table2[[#This Row],[Course]],Data!$A$1:$E$56,3,FALSE)</f>
        <v>5891</v>
      </c>
      <c r="E135" s="271" t="s">
        <v>110</v>
      </c>
      <c r="F135" s="327">
        <v>45343</v>
      </c>
      <c r="G135" s="327">
        <v>45345</v>
      </c>
      <c r="H135" s="344">
        <v>0.33333333333333331</v>
      </c>
      <c r="I135" s="344"/>
      <c r="J135" s="327"/>
      <c r="K135" s="327"/>
      <c r="L135" s="327"/>
      <c r="M135" s="327"/>
      <c r="N135" s="327"/>
      <c r="O135" s="271" t="s">
        <v>84</v>
      </c>
      <c r="P135" s="271" t="s">
        <v>198</v>
      </c>
      <c r="Q135" s="331" t="e">
        <v>#REF!</v>
      </c>
      <c r="R135" s="331" t="e">
        <v>#REF!</v>
      </c>
      <c r="S135" s="331"/>
      <c r="T135" s="270"/>
      <c r="U135" s="270"/>
      <c r="V135" s="275">
        <f>VLOOKUP(Table2[[#This Row],[Course]],Data!$A$1:$E$56,4,FALSE)</f>
        <v>25</v>
      </c>
      <c r="W135" s="275">
        <f>VLOOKUP(Table2[[#This Row],[Course]],Data!$A$1:$E$56,5,FALSE)</f>
        <v>3</v>
      </c>
      <c r="X135" s="275">
        <v>0</v>
      </c>
      <c r="Y135" s="275">
        <v>9</v>
      </c>
      <c r="Z135" s="275">
        <v>0</v>
      </c>
      <c r="AA135" s="275">
        <v>9</v>
      </c>
      <c r="AB135" s="276">
        <v>0</v>
      </c>
      <c r="AC135" s="275">
        <v>0</v>
      </c>
      <c r="AD135" s="275">
        <v>0</v>
      </c>
      <c r="AE135" s="275">
        <v>0</v>
      </c>
      <c r="AF135" s="271" t="s">
        <v>191</v>
      </c>
      <c r="AG135" s="277">
        <f ca="1">Table2[[#This Row],[End Date]]+2-TODAY()</f>
        <v>-185</v>
      </c>
      <c r="AH135" s="275">
        <f>IF(ISBLANK(Table2[[#This Row],[Roster Received By]]),1,0)</f>
        <v>0</v>
      </c>
      <c r="AI135" s="275">
        <f ca="1">IF(Table2[[#This Row],[Start Date]]&gt;TODAY(),1,)</f>
        <v>0</v>
      </c>
    </row>
    <row r="136" spans="1:35" s="345" customFormat="1" ht="14.25" customHeight="1" x14ac:dyDescent="0.25">
      <c r="A136" s="270"/>
      <c r="B136" s="271" t="s">
        <v>11</v>
      </c>
      <c r="C136" s="272" t="str">
        <f>VLOOKUP(Table2[[#This Row],[Course]],Data!$A$1:$E$56,2,FALSE)</f>
        <v>A-493-0070</v>
      </c>
      <c r="D136" s="272" t="str">
        <f>VLOOKUP(Table2[[#This Row],[Course]],Data!$A$1:$E$56,3,FALSE)</f>
        <v>450V</v>
      </c>
      <c r="E136" s="271" t="s">
        <v>116</v>
      </c>
      <c r="F136" s="327">
        <v>45348</v>
      </c>
      <c r="G136" s="327">
        <v>45349</v>
      </c>
      <c r="H136" s="327"/>
      <c r="I136" s="274">
        <v>0.75</v>
      </c>
      <c r="J136" s="274">
        <v>0.625</v>
      </c>
      <c r="K136" s="274">
        <v>8.3333333333333329E-2</v>
      </c>
      <c r="L136" s="274">
        <v>0</v>
      </c>
      <c r="M136" s="274">
        <v>0.54166666666666663</v>
      </c>
      <c r="N136" s="274">
        <v>0.33333333333333331</v>
      </c>
      <c r="O136" s="271" t="s">
        <v>81</v>
      </c>
      <c r="P136" s="271"/>
      <c r="Q136" s="328" t="e">
        <v>#REF!</v>
      </c>
      <c r="R136" s="328" t="e">
        <v>#REF!</v>
      </c>
      <c r="S136" s="357"/>
      <c r="T136" s="301"/>
      <c r="U136" s="301"/>
      <c r="V136" s="275">
        <f>VLOOKUP(Table2[[#This Row],[Course]],Data!$A$1:$E$56,4,FALSE)</f>
        <v>30</v>
      </c>
      <c r="W136" s="275">
        <f>VLOOKUP(Table2[[#This Row],[Course]],Data!$A$1:$E$56,5,FALSE)</f>
        <v>1</v>
      </c>
      <c r="X136" s="275">
        <v>0</v>
      </c>
      <c r="Y136" s="275">
        <v>19</v>
      </c>
      <c r="Z136" s="275">
        <v>0</v>
      </c>
      <c r="AA136" s="275">
        <v>22</v>
      </c>
      <c r="AB136" s="276">
        <v>0</v>
      </c>
      <c r="AC136" s="275">
        <v>0</v>
      </c>
      <c r="AD136" s="275">
        <v>0</v>
      </c>
      <c r="AE136" s="275">
        <v>0</v>
      </c>
      <c r="AF136" s="271" t="s">
        <v>208</v>
      </c>
      <c r="AG136" s="277">
        <f ca="1">Table2[[#This Row],[End Date]]+2-TODAY()</f>
        <v>-181</v>
      </c>
      <c r="AH136" s="275">
        <f>IF(ISBLANK(Table2[[#This Row],[Roster Received By]]),1,0)</f>
        <v>0</v>
      </c>
      <c r="AI136" s="275">
        <f ca="1">IF(Table2[[#This Row],[Start Date]]&gt;TODAY(),1,)</f>
        <v>0</v>
      </c>
    </row>
    <row r="137" spans="1:35" s="345" customFormat="1" ht="14.25" customHeight="1" x14ac:dyDescent="0.25">
      <c r="A137" s="271"/>
      <c r="B137" s="271" t="s">
        <v>236</v>
      </c>
      <c r="C137" s="272" t="str">
        <f>VLOOKUP(Table2[[#This Row],[Course]],Data!$A$1:$E$56,2,FALSE)</f>
        <v>A-493-0103</v>
      </c>
      <c r="D137" s="272" t="str">
        <f>VLOOKUP(Table2[[#This Row],[Course]],Data!$A$1:$E$56,3,FALSE)</f>
        <v>12JY</v>
      </c>
      <c r="E137" s="271" t="s">
        <v>156</v>
      </c>
      <c r="F137" s="327">
        <v>45348</v>
      </c>
      <c r="G137" s="327">
        <v>45352</v>
      </c>
      <c r="H137" s="344">
        <v>0.33333333333333331</v>
      </c>
      <c r="I137" s="344"/>
      <c r="J137" s="327"/>
      <c r="K137" s="327"/>
      <c r="L137" s="327"/>
      <c r="M137" s="327"/>
      <c r="N137" s="327"/>
      <c r="O137" s="271" t="s">
        <v>94</v>
      </c>
      <c r="P137" s="271"/>
      <c r="Q137" s="331" t="e">
        <v>#REF!</v>
      </c>
      <c r="R137" s="331" t="e">
        <v>#REF!</v>
      </c>
      <c r="S137" s="332"/>
      <c r="T137" s="270"/>
      <c r="U137" s="270"/>
      <c r="V137" s="275">
        <f>VLOOKUP(Table2[[#This Row],[Course]],Data!$A$1:$E$56,4,FALSE)</f>
        <v>25</v>
      </c>
      <c r="W137" s="275">
        <f>VLOOKUP(Table2[[#This Row],[Course]],Data!$A$1:$E$56,5,FALSE)</f>
        <v>5</v>
      </c>
      <c r="X137" s="275">
        <v>44</v>
      </c>
      <c r="Y137" s="275">
        <v>25</v>
      </c>
      <c r="Z137" s="275">
        <v>3</v>
      </c>
      <c r="AA137" s="275">
        <v>20</v>
      </c>
      <c r="AB137" s="276">
        <v>0</v>
      </c>
      <c r="AC137" s="275">
        <v>5</v>
      </c>
      <c r="AD137" s="275">
        <v>0</v>
      </c>
      <c r="AE137" s="275">
        <v>0</v>
      </c>
      <c r="AF137" s="271" t="s">
        <v>189</v>
      </c>
      <c r="AG137" s="277">
        <f ca="1">Table2[[#This Row],[End Date]]+2-TODAY()</f>
        <v>-178</v>
      </c>
      <c r="AH137" s="275">
        <f>IF(ISBLANK(Table2[[#This Row],[Roster Received By]]),1,0)</f>
        <v>0</v>
      </c>
      <c r="AI137" s="275">
        <f ca="1">IF(Table2[[#This Row],[Start Date]]&gt;TODAY(),1,)</f>
        <v>0</v>
      </c>
    </row>
    <row r="138" spans="1:35" s="354" customFormat="1" x14ac:dyDescent="0.25">
      <c r="A138" s="270"/>
      <c r="B138" s="271" t="s">
        <v>17</v>
      </c>
      <c r="C138" s="272" t="str">
        <f>VLOOKUP(Table2[[#This Row],[Course]],Data!$A$1:$E$56,2,FALSE)</f>
        <v>A-493-0012</v>
      </c>
      <c r="D138" s="272">
        <f>VLOOKUP(Table2[[#This Row],[Course]],Data!$A$1:$E$56,3,FALSE)</f>
        <v>3682</v>
      </c>
      <c r="E138" s="271" t="s">
        <v>133</v>
      </c>
      <c r="F138" s="327">
        <v>45348</v>
      </c>
      <c r="G138" s="327">
        <v>45352</v>
      </c>
      <c r="H138" s="344">
        <v>0.33333333333333331</v>
      </c>
      <c r="I138" s="344"/>
      <c r="J138" s="327"/>
      <c r="K138" s="327"/>
      <c r="L138" s="327"/>
      <c r="M138" s="327"/>
      <c r="N138" s="327"/>
      <c r="O138" s="271" t="s">
        <v>78</v>
      </c>
      <c r="P138" s="271"/>
      <c r="Q138" s="298" t="e">
        <v>#REF!</v>
      </c>
      <c r="R138" s="328" t="e">
        <v>#REF!</v>
      </c>
      <c r="S138" s="298"/>
      <c r="T138" s="301"/>
      <c r="U138" s="301"/>
      <c r="V138" s="275">
        <f>VLOOKUP(Table2[[#This Row],[Course]],Data!$A$1:$E$56,4,FALSE)</f>
        <v>40</v>
      </c>
      <c r="W138" s="275">
        <f>VLOOKUP(Table2[[#This Row],[Course]],Data!$A$1:$E$56,5,FALSE)</f>
        <v>5</v>
      </c>
      <c r="X138" s="275">
        <v>30</v>
      </c>
      <c r="Y138" s="275">
        <v>40</v>
      </c>
      <c r="Z138" s="275">
        <v>1</v>
      </c>
      <c r="AA138" s="275">
        <v>28</v>
      </c>
      <c r="AB138" s="276">
        <v>10</v>
      </c>
      <c r="AC138" s="275">
        <v>3</v>
      </c>
      <c r="AD138" s="275">
        <v>1</v>
      </c>
      <c r="AE138" s="275">
        <v>0</v>
      </c>
      <c r="AF138" s="271" t="s">
        <v>191</v>
      </c>
      <c r="AG138" s="277">
        <f ca="1">Table2[[#This Row],[End Date]]+2-TODAY()</f>
        <v>-178</v>
      </c>
      <c r="AH138" s="275">
        <f>IF(ISBLANK(Table2[[#This Row],[Roster Received By]]),1,0)</f>
        <v>0</v>
      </c>
      <c r="AI138" s="275">
        <f ca="1">IF(Table2[[#This Row],[Start Date]]&gt;TODAY(),1,)</f>
        <v>0</v>
      </c>
    </row>
    <row r="139" spans="1:35" s="345" customFormat="1" ht="14.25" customHeight="1" x14ac:dyDescent="0.25">
      <c r="A139" s="270"/>
      <c r="B139" s="271" t="s">
        <v>249</v>
      </c>
      <c r="C139" s="272" t="str">
        <f>VLOOKUP(Table2[[#This Row],[Course]],Data!$A$1:$E$56,2,FALSE)</f>
        <v>A-322-2604</v>
      </c>
      <c r="D139" s="272" t="str">
        <f>VLOOKUP(Table2[[#This Row],[Course]],Data!$A$1:$E$56,3,FALSE)</f>
        <v>10ZZ</v>
      </c>
      <c r="E139" s="271" t="s">
        <v>116</v>
      </c>
      <c r="F139" s="327">
        <v>45348</v>
      </c>
      <c r="G139" s="327">
        <v>45352</v>
      </c>
      <c r="H139" s="327"/>
      <c r="I139" s="274">
        <v>0.33333333333333331</v>
      </c>
      <c r="J139" s="274">
        <v>0.20833333333333334</v>
      </c>
      <c r="K139" s="274">
        <v>0.66666666666666663</v>
      </c>
      <c r="L139" s="274">
        <v>0.58333333333333337</v>
      </c>
      <c r="M139" s="274">
        <v>0.125</v>
      </c>
      <c r="N139" s="274">
        <v>0.91666666666666663</v>
      </c>
      <c r="O139" s="271" t="s">
        <v>83</v>
      </c>
      <c r="P139" s="271"/>
      <c r="Q139" s="298" t="e">
        <v>#REF!</v>
      </c>
      <c r="R139" s="328" t="e">
        <v>#REF!</v>
      </c>
      <c r="S139" s="298"/>
      <c r="T139" s="301"/>
      <c r="U139" s="301"/>
      <c r="V139" s="275">
        <f>VLOOKUP(Table2[[#This Row],[Course]],Data!$A$1:$E$56,4,FALSE)</f>
        <v>45</v>
      </c>
      <c r="W139" s="275">
        <f>VLOOKUP(Table2[[#This Row],[Course]],Data!$A$1:$E$56,5,FALSE)</f>
        <v>5</v>
      </c>
      <c r="X139" s="275">
        <v>403</v>
      </c>
      <c r="Y139" s="275">
        <v>45</v>
      </c>
      <c r="Z139" s="275">
        <v>1</v>
      </c>
      <c r="AA139" s="275">
        <v>43</v>
      </c>
      <c r="AB139" s="276">
        <v>1</v>
      </c>
      <c r="AC139" s="275">
        <v>2</v>
      </c>
      <c r="AD139" s="275">
        <v>0</v>
      </c>
      <c r="AE139" s="275">
        <v>0</v>
      </c>
      <c r="AF139" s="271" t="s">
        <v>208</v>
      </c>
      <c r="AG139" s="277">
        <f ca="1">Table2[[#This Row],[End Date]]+2-TODAY()</f>
        <v>-178</v>
      </c>
      <c r="AH139" s="275">
        <f>IF(ISBLANK(Table2[[#This Row],[Roster Received By]]),1,0)</f>
        <v>0</v>
      </c>
      <c r="AI139" s="275">
        <f ca="1">IF(Table2[[#This Row],[Start Date]]&gt;TODAY(),1,)</f>
        <v>0</v>
      </c>
    </row>
    <row r="140" spans="1:35" s="345" customFormat="1" ht="14.25" customHeight="1" x14ac:dyDescent="0.25">
      <c r="A140" s="270"/>
      <c r="B140" s="271" t="s">
        <v>25</v>
      </c>
      <c r="C140" s="272" t="str">
        <f>VLOOKUP(Table2[[#This Row],[Course]],Data!$A$1:$E$56,2,FALSE)</f>
        <v>A-493-2300</v>
      </c>
      <c r="D140" s="272" t="str">
        <f>VLOOKUP(Table2[[#This Row],[Course]],Data!$A$1:$E$56,3,FALSE)</f>
        <v>993F</v>
      </c>
      <c r="E140" s="271" t="s">
        <v>147</v>
      </c>
      <c r="F140" s="327">
        <v>45348</v>
      </c>
      <c r="G140" s="327">
        <v>45349</v>
      </c>
      <c r="H140" s="344">
        <v>0.33333333333333331</v>
      </c>
      <c r="I140" s="344"/>
      <c r="J140" s="327"/>
      <c r="K140" s="327"/>
      <c r="L140" s="327"/>
      <c r="M140" s="327"/>
      <c r="N140" s="327"/>
      <c r="O140" s="271" t="s">
        <v>78</v>
      </c>
      <c r="P140" s="271"/>
      <c r="Q140" s="276" t="e">
        <v>#REF!</v>
      </c>
      <c r="R140" s="331" t="e">
        <v>#REF!</v>
      </c>
      <c r="S140" s="276"/>
      <c r="T140" s="270"/>
      <c r="U140" s="270"/>
      <c r="V140" s="275">
        <f>VLOOKUP(Table2[[#This Row],[Course]],Data!$A$1:$E$56,4,FALSE)</f>
        <v>30</v>
      </c>
      <c r="W140" s="275">
        <f>VLOOKUP(Table2[[#This Row],[Course]],Data!$A$1:$E$56,5,FALSE)</f>
        <v>2</v>
      </c>
      <c r="X140" s="275">
        <v>40</v>
      </c>
      <c r="Y140" s="275">
        <v>14</v>
      </c>
      <c r="Z140" s="275">
        <v>0</v>
      </c>
      <c r="AA140" s="275">
        <v>14</v>
      </c>
      <c r="AB140" s="276">
        <v>0</v>
      </c>
      <c r="AC140" s="275">
        <v>3</v>
      </c>
      <c r="AD140" s="275">
        <v>3</v>
      </c>
      <c r="AE140" s="342">
        <v>0</v>
      </c>
      <c r="AF140" s="343" t="s">
        <v>191</v>
      </c>
      <c r="AG140" s="277">
        <f ca="1">Table2[[#This Row],[End Date]]+2-TODAY()</f>
        <v>-181</v>
      </c>
      <c r="AH140" s="275">
        <f>IF(ISBLANK(Table2[[#This Row],[Roster Received By]]),1,0)</f>
        <v>0</v>
      </c>
      <c r="AI140" s="275">
        <f ca="1">IF(Table2[[#This Row],[Start Date]]&gt;TODAY(),1,)</f>
        <v>0</v>
      </c>
    </row>
    <row r="141" spans="1:35" s="345" customFormat="1" ht="14.25" customHeight="1" x14ac:dyDescent="0.25">
      <c r="A141" s="270"/>
      <c r="B141" s="325" t="s">
        <v>281</v>
      </c>
      <c r="C141" s="272" t="str">
        <f>VLOOKUP(Table2[[#This Row],[Course]],Data!$A$1:$E$56,2,FALSE)</f>
        <v>A-493-0550</v>
      </c>
      <c r="D141" s="272" t="str">
        <f>VLOOKUP(Table2[[#This Row],[Course]],Data!$A$1:$E$56,3,FALSE)</f>
        <v>09K5</v>
      </c>
      <c r="E141" s="271" t="s">
        <v>116</v>
      </c>
      <c r="F141" s="326">
        <v>45348</v>
      </c>
      <c r="G141" s="326">
        <v>45352</v>
      </c>
      <c r="H141" s="327"/>
      <c r="I141" s="274">
        <v>0.33333333333333331</v>
      </c>
      <c r="J141" s="274">
        <v>0.20833333333333334</v>
      </c>
      <c r="K141" s="274">
        <v>0.66666666666666663</v>
      </c>
      <c r="L141" s="274">
        <v>0.58333333333333337</v>
      </c>
      <c r="M141" s="274">
        <v>0.125</v>
      </c>
      <c r="N141" s="274">
        <v>0.91666666666666663</v>
      </c>
      <c r="O141" s="271" t="s">
        <v>85</v>
      </c>
      <c r="P141" s="271"/>
      <c r="Q141" s="331" t="e">
        <v>#REF!</v>
      </c>
      <c r="R141" s="331" t="e">
        <v>#REF!</v>
      </c>
      <c r="S141" s="332"/>
      <c r="T141" s="270"/>
      <c r="U141" s="270"/>
      <c r="V141" s="275">
        <f>VLOOKUP(Table2[[#This Row],[Course]],Data!$A$1:$E$56,4,FALSE)</f>
        <v>45</v>
      </c>
      <c r="W141" s="275">
        <f>VLOOKUP(Table2[[#This Row],[Course]],Data!$A$1:$E$56,5,FALSE)</f>
        <v>4</v>
      </c>
      <c r="X141" s="275">
        <v>480</v>
      </c>
      <c r="Y141" s="275">
        <v>45</v>
      </c>
      <c r="Z141" s="275">
        <v>3</v>
      </c>
      <c r="AA141" s="275">
        <v>39</v>
      </c>
      <c r="AB141" s="276">
        <v>0</v>
      </c>
      <c r="AC141" s="275">
        <v>9</v>
      </c>
      <c r="AD141" s="275">
        <v>4</v>
      </c>
      <c r="AE141" s="275">
        <v>0</v>
      </c>
      <c r="AF141" s="271" t="s">
        <v>205</v>
      </c>
      <c r="AG141" s="277">
        <f ca="1">Table2[[#This Row],[End Date]]+2-TODAY()</f>
        <v>-178</v>
      </c>
      <c r="AH141" s="275">
        <f>IF(ISBLANK(Table2[[#This Row],[Roster Received By]]),1,0)</f>
        <v>0</v>
      </c>
      <c r="AI141" s="275">
        <f ca="1">IF(Table2[[#This Row],[Start Date]]&gt;TODAY(),1,)</f>
        <v>0</v>
      </c>
    </row>
    <row r="142" spans="1:35" s="345" customFormat="1" ht="14.25" customHeight="1" x14ac:dyDescent="0.25">
      <c r="A142" s="270"/>
      <c r="B142" s="325" t="s">
        <v>292</v>
      </c>
      <c r="C142" s="272" t="str">
        <f>VLOOKUP(Table2[[#This Row],[Course]],Data!$A$1:$E$56,2,FALSE)</f>
        <v>A-493-0078</v>
      </c>
      <c r="D142" s="272">
        <f>VLOOKUP(Table2[[#This Row],[Course]],Data!$A$1:$E$56,3,FALSE)</f>
        <v>1228</v>
      </c>
      <c r="E142" s="325" t="s">
        <v>116</v>
      </c>
      <c r="F142" s="326">
        <v>45348</v>
      </c>
      <c r="G142" s="326">
        <v>45352</v>
      </c>
      <c r="H142" s="327"/>
      <c r="I142" s="274">
        <v>0.54166666666666663</v>
      </c>
      <c r="J142" s="274">
        <v>0.41666666666666669</v>
      </c>
      <c r="K142" s="274">
        <v>0.875</v>
      </c>
      <c r="L142" s="274">
        <v>0.79166666666666663</v>
      </c>
      <c r="M142" s="274">
        <v>0.33333333333333331</v>
      </c>
      <c r="N142" s="274">
        <v>0.125</v>
      </c>
      <c r="O142" s="271" t="s">
        <v>80</v>
      </c>
      <c r="P142" s="271"/>
      <c r="Q142" s="331" t="e">
        <v>#REF!</v>
      </c>
      <c r="R142" s="331" t="e">
        <v>#REF!</v>
      </c>
      <c r="S142" s="332"/>
      <c r="T142" s="270"/>
      <c r="U142" s="270"/>
      <c r="V142" s="275">
        <f>VLOOKUP(Table2[[#This Row],[Course]],Data!$A$1:$E$56,4,FALSE)</f>
        <v>45</v>
      </c>
      <c r="W142" s="275">
        <f>VLOOKUP(Table2[[#This Row],[Course]],Data!$A$1:$E$56,5,FALSE)</f>
        <v>5</v>
      </c>
      <c r="X142" s="275">
        <v>836</v>
      </c>
      <c r="Y142" s="275">
        <v>45</v>
      </c>
      <c r="Z142" s="275">
        <v>0</v>
      </c>
      <c r="AA142" s="275">
        <v>38</v>
      </c>
      <c r="AB142" s="276">
        <v>1</v>
      </c>
      <c r="AC142" s="275">
        <v>6</v>
      </c>
      <c r="AD142" s="275">
        <v>0</v>
      </c>
      <c r="AE142" s="275">
        <v>0</v>
      </c>
      <c r="AF142" s="271" t="s">
        <v>205</v>
      </c>
      <c r="AG142" s="277">
        <f ca="1">Table2[[#This Row],[End Date]]+2-TODAY()</f>
        <v>-178</v>
      </c>
      <c r="AH142" s="275">
        <f>IF(ISBLANK(Table2[[#This Row],[Roster Received By]]),1,0)</f>
        <v>0</v>
      </c>
      <c r="AI142" s="275">
        <f ca="1">IF(Table2[[#This Row],[Start Date]]&gt;TODAY(),1,)</f>
        <v>0</v>
      </c>
    </row>
    <row r="143" spans="1:35" s="345" customFormat="1" ht="14.25" customHeight="1" x14ac:dyDescent="0.25">
      <c r="A143" s="270"/>
      <c r="B143" s="325" t="s">
        <v>303</v>
      </c>
      <c r="C143" s="272" t="str">
        <f>VLOOKUP(Table2[[#This Row],[Course]],Data!$A$1:$E$56,2,FALSE)</f>
        <v>A-570-0100</v>
      </c>
      <c r="D143" s="272" t="str">
        <f>VLOOKUP(Table2[[#This Row],[Course]],Data!$A$1:$E$56,3,FALSE)</f>
        <v>18B7</v>
      </c>
      <c r="E143" s="325" t="s">
        <v>116</v>
      </c>
      <c r="F143" s="327">
        <v>45348</v>
      </c>
      <c r="G143" s="327">
        <v>45352</v>
      </c>
      <c r="H143" s="327"/>
      <c r="I143" s="274">
        <v>0.79166666666666663</v>
      </c>
      <c r="J143" s="274">
        <v>0.66666666666666663</v>
      </c>
      <c r="K143" s="274">
        <v>8.3333333333333329E-2</v>
      </c>
      <c r="L143" s="274">
        <v>0</v>
      </c>
      <c r="M143" s="274">
        <v>0.54166666666666663</v>
      </c>
      <c r="N143" s="274">
        <v>0.33333333333333331</v>
      </c>
      <c r="O143" s="271" t="s">
        <v>89</v>
      </c>
      <c r="P143" s="271"/>
      <c r="Q143" s="298" t="e">
        <v>#REF!</v>
      </c>
      <c r="R143" s="328" t="e">
        <v>#REF!</v>
      </c>
      <c r="S143" s="298"/>
      <c r="T143" s="301"/>
      <c r="U143" s="301"/>
      <c r="V143" s="275">
        <f>VLOOKUP(Table2[[#This Row],[Course]],Data!$A$1:$E$56,4,FALSE)</f>
        <v>30</v>
      </c>
      <c r="W143" s="275">
        <f>VLOOKUP(Table2[[#This Row],[Course]],Data!$A$1:$E$56,5,FALSE)</f>
        <v>4</v>
      </c>
      <c r="X143" s="275">
        <v>90</v>
      </c>
      <c r="Y143" s="275">
        <v>30</v>
      </c>
      <c r="Z143" s="275">
        <v>0</v>
      </c>
      <c r="AA143" s="275">
        <v>20</v>
      </c>
      <c r="AB143" s="276">
        <v>2</v>
      </c>
      <c r="AC143" s="275">
        <v>8</v>
      </c>
      <c r="AD143" s="275">
        <v>0</v>
      </c>
      <c r="AE143" s="272">
        <v>0</v>
      </c>
      <c r="AF143" s="271" t="s">
        <v>208</v>
      </c>
      <c r="AG143" s="277">
        <f ca="1">Table2[[#This Row],[End Date]]+2-TODAY()</f>
        <v>-178</v>
      </c>
      <c r="AH143" s="275">
        <f>IF(ISBLANK(Table2[[#This Row],[Roster Received By]]),1,0)</f>
        <v>0</v>
      </c>
      <c r="AI143" s="275">
        <f ca="1">IF(Table2[[#This Row],[Start Date]]&gt;TODAY(),1,)</f>
        <v>0</v>
      </c>
    </row>
    <row r="144" spans="1:35" s="345" customFormat="1" ht="14.25" customHeight="1" x14ac:dyDescent="0.25">
      <c r="A144" s="271"/>
      <c r="B144" s="271" t="s">
        <v>38</v>
      </c>
      <c r="C144" s="272" t="str">
        <f>VLOOKUP(Table2[[#This Row],[Course]],Data!$A$1:$E$56,2,FALSE)</f>
        <v>A-493-0072</v>
      </c>
      <c r="D144" s="272" t="str">
        <f>VLOOKUP(Table2[[#This Row],[Course]],Data!$A$1:$E$56,3,FALSE)</f>
        <v>713U</v>
      </c>
      <c r="E144" s="325" t="s">
        <v>110</v>
      </c>
      <c r="F144" s="327">
        <v>45348</v>
      </c>
      <c r="G144" s="327">
        <v>45351</v>
      </c>
      <c r="H144" s="350">
        <v>0.33333333333333331</v>
      </c>
      <c r="I144" s="350"/>
      <c r="J144" s="327"/>
      <c r="K144" s="327"/>
      <c r="L144" s="327"/>
      <c r="M144" s="327"/>
      <c r="N144" s="327"/>
      <c r="O144" s="271" t="s">
        <v>84</v>
      </c>
      <c r="P144" s="271" t="s">
        <v>198</v>
      </c>
      <c r="Q144" s="298" t="e">
        <v>#REF!</v>
      </c>
      <c r="R144" s="298" t="e">
        <v>#REF!</v>
      </c>
      <c r="S144" s="357"/>
      <c r="T144" s="301"/>
      <c r="U144" s="301"/>
      <c r="V144" s="275">
        <f>VLOOKUP(Table2[[#This Row],[Course]],Data!$A$1:$E$56,4,FALSE)</f>
        <v>30</v>
      </c>
      <c r="W144" s="275">
        <f>VLOOKUP(Table2[[#This Row],[Course]],Data!$A$1:$E$56,5,FALSE)</f>
        <v>4</v>
      </c>
      <c r="X144" s="275">
        <v>0</v>
      </c>
      <c r="Y144" s="275">
        <v>30</v>
      </c>
      <c r="Z144" s="275">
        <v>0</v>
      </c>
      <c r="AA144" s="275">
        <v>27</v>
      </c>
      <c r="AB144" s="276">
        <v>0</v>
      </c>
      <c r="AC144" s="275">
        <v>4</v>
      </c>
      <c r="AD144" s="275">
        <v>0</v>
      </c>
      <c r="AE144" s="272">
        <v>0</v>
      </c>
      <c r="AF144" s="271" t="s">
        <v>208</v>
      </c>
      <c r="AG144" s="277">
        <f ca="1">Table2[[#This Row],[End Date]]+2-TODAY()</f>
        <v>-179</v>
      </c>
      <c r="AH144" s="275">
        <f>IF(ISBLANK(Table2[[#This Row],[Roster Received By]]),1,0)</f>
        <v>0</v>
      </c>
      <c r="AI144" s="275">
        <f ca="1">IF(Table2[[#This Row],[Start Date]]&gt;TODAY(),1,)</f>
        <v>0</v>
      </c>
    </row>
    <row r="145" spans="1:35" s="345" customFormat="1" ht="14.25" customHeight="1" x14ac:dyDescent="0.25">
      <c r="A145" s="270"/>
      <c r="B145" s="361" t="s">
        <v>317</v>
      </c>
      <c r="C145" s="272" t="str">
        <f>VLOOKUP(Table2[[#This Row],[Course]],Data!$A$1:$E$56,2,FALSE)</f>
        <v>A-493-2098</v>
      </c>
      <c r="D145" s="272" t="str">
        <f>VLOOKUP(Table2[[#This Row],[Course]],Data!$A$1:$E$56,3,FALSE)</f>
        <v>09WW</v>
      </c>
      <c r="E145" s="271" t="s">
        <v>116</v>
      </c>
      <c r="F145" s="327">
        <v>45348</v>
      </c>
      <c r="G145" s="327">
        <v>45352</v>
      </c>
      <c r="H145" s="327"/>
      <c r="I145" s="274">
        <v>0.79166666666666663</v>
      </c>
      <c r="J145" s="274">
        <v>0.66666666666666663</v>
      </c>
      <c r="K145" s="274">
        <v>8.3333333333333329E-2</v>
      </c>
      <c r="L145" s="274">
        <v>0</v>
      </c>
      <c r="M145" s="274">
        <v>0.54166666666666663</v>
      </c>
      <c r="N145" s="274">
        <v>0.33333333333333331</v>
      </c>
      <c r="O145" s="271" t="s">
        <v>83</v>
      </c>
      <c r="P145" s="271"/>
      <c r="Q145" s="276" t="e">
        <v>#REF!</v>
      </c>
      <c r="R145" s="331" t="e">
        <v>#REF!</v>
      </c>
      <c r="S145" s="276"/>
      <c r="T145" s="270"/>
      <c r="U145" s="270"/>
      <c r="V145" s="275">
        <f>VLOOKUP(Table2[[#This Row],[Course]],Data!$A$1:$E$56,4,FALSE)</f>
        <v>100</v>
      </c>
      <c r="W145" s="275">
        <f>VLOOKUP(Table2[[#This Row],[Course]],Data!$A$1:$E$56,5,FALSE)</f>
        <v>5</v>
      </c>
      <c r="X145" s="275">
        <v>237</v>
      </c>
      <c r="Y145" s="275">
        <v>100</v>
      </c>
      <c r="Z145" s="275">
        <v>4</v>
      </c>
      <c r="AA145" s="275">
        <v>87</v>
      </c>
      <c r="AB145" s="276">
        <v>2</v>
      </c>
      <c r="AC145" s="275">
        <v>15</v>
      </c>
      <c r="AD145" s="275">
        <v>2</v>
      </c>
      <c r="AE145" s="275">
        <v>0</v>
      </c>
      <c r="AF145" s="271" t="s">
        <v>205</v>
      </c>
      <c r="AG145" s="277">
        <f ca="1">Table2[[#This Row],[End Date]]+2-TODAY()</f>
        <v>-178</v>
      </c>
      <c r="AH145" s="275">
        <f>IF(ISBLANK(Table2[[#This Row],[Roster Received By]]),1,0)</f>
        <v>0</v>
      </c>
      <c r="AI145" s="275">
        <f ca="1">IF(Table2[[#This Row],[Start Date]]&gt;TODAY(),1,)</f>
        <v>0</v>
      </c>
    </row>
    <row r="146" spans="1:35" s="270" customFormat="1" x14ac:dyDescent="0.25">
      <c r="B146" s="271" t="s">
        <v>19</v>
      </c>
      <c r="C146" s="272" t="str">
        <f>VLOOKUP(Table2[[#This Row],[Course]],Data!$A$1:$E$56,2,FALSE)</f>
        <v>A-493-0099</v>
      </c>
      <c r="D146" s="272" t="str">
        <f>VLOOKUP(Table2[[#This Row],[Course]],Data!$A$1:$E$56,3,FALSE)</f>
        <v>12JW</v>
      </c>
      <c r="E146" s="271" t="s">
        <v>116</v>
      </c>
      <c r="F146" s="327">
        <v>45349</v>
      </c>
      <c r="G146" s="327">
        <v>45351</v>
      </c>
      <c r="H146" s="327"/>
      <c r="I146" s="274">
        <v>0.79166666666666663</v>
      </c>
      <c r="J146" s="274">
        <v>0.66666666666666663</v>
      </c>
      <c r="K146" s="274">
        <v>0.125</v>
      </c>
      <c r="L146" s="274">
        <v>4.1666666666666664E-2</v>
      </c>
      <c r="M146" s="274">
        <v>0.58333333333333337</v>
      </c>
      <c r="N146" s="274">
        <v>0.375</v>
      </c>
      <c r="O146" s="271" t="s">
        <v>88</v>
      </c>
      <c r="P146" s="271"/>
      <c r="Q146" s="328" t="e">
        <v>#REF!</v>
      </c>
      <c r="R146" s="328" t="e">
        <v>#REF!</v>
      </c>
      <c r="S146" s="357"/>
      <c r="T146" s="301"/>
      <c r="U146" s="301"/>
      <c r="V146" s="275">
        <f>VLOOKUP(Table2[[#This Row],[Course]],Data!$A$1:$E$56,4,FALSE)</f>
        <v>45</v>
      </c>
      <c r="W146" s="275">
        <f>VLOOKUP(Table2[[#This Row],[Course]],Data!$A$1:$E$56,5,FALSE)</f>
        <v>3</v>
      </c>
      <c r="X146" s="275">
        <v>102</v>
      </c>
      <c r="Y146" s="275">
        <v>24</v>
      </c>
      <c r="Z146" s="275">
        <v>0</v>
      </c>
      <c r="AA146" s="275">
        <v>23</v>
      </c>
      <c r="AB146" s="276">
        <v>0</v>
      </c>
      <c r="AC146" s="275">
        <v>1</v>
      </c>
      <c r="AD146" s="275">
        <v>0</v>
      </c>
      <c r="AE146" s="276">
        <v>0</v>
      </c>
      <c r="AF146" s="271" t="s">
        <v>189</v>
      </c>
      <c r="AG146" s="277">
        <f ca="1">Table2[[#This Row],[End Date]]+2-TODAY()</f>
        <v>-179</v>
      </c>
      <c r="AH146" s="275">
        <f>IF(ISBLANK(Table2[[#This Row],[Roster Received By]]),1,0)</f>
        <v>0</v>
      </c>
      <c r="AI146" s="275">
        <f ca="1">IF(Table2[[#This Row],[Start Date]]&gt;TODAY(),1,)</f>
        <v>0</v>
      </c>
    </row>
    <row r="147" spans="1:35" s="354" customFormat="1" ht="14.25" customHeight="1" x14ac:dyDescent="0.25">
      <c r="A147" s="270"/>
      <c r="B147" s="271" t="s">
        <v>7</v>
      </c>
      <c r="C147" s="272" t="str">
        <f>VLOOKUP(Table2[[#This Row],[Course]],Data!$A$1:$E$56,2,FALSE)</f>
        <v>A-493-0015</v>
      </c>
      <c r="D147" s="272">
        <f>VLOOKUP(Table2[[#This Row],[Course]],Data!$A$1:$E$56,3,FALSE)</f>
        <v>3879</v>
      </c>
      <c r="E147" s="271" t="s">
        <v>116</v>
      </c>
      <c r="F147" s="327">
        <v>45350</v>
      </c>
      <c r="G147" s="327">
        <v>45350</v>
      </c>
      <c r="H147" s="327"/>
      <c r="I147" s="274">
        <v>0.75</v>
      </c>
      <c r="J147" s="274">
        <v>0.625</v>
      </c>
      <c r="K147" s="274">
        <v>8.3333333333333329E-2</v>
      </c>
      <c r="L147" s="274">
        <v>0</v>
      </c>
      <c r="M147" s="274">
        <v>0.54166666666666663</v>
      </c>
      <c r="N147" s="274">
        <v>0.33333333333333331</v>
      </c>
      <c r="O147" s="271" t="s">
        <v>81</v>
      </c>
      <c r="P147" s="271"/>
      <c r="Q147" s="328" t="e">
        <v>#REF!</v>
      </c>
      <c r="R147" s="328" t="e">
        <v>#REF!</v>
      </c>
      <c r="S147" s="298"/>
      <c r="T147" s="301"/>
      <c r="U147" s="301"/>
      <c r="V147" s="275">
        <f>VLOOKUP(Table2[[#This Row],[Course]],Data!$A$1:$E$56,4,FALSE)</f>
        <v>30</v>
      </c>
      <c r="W147" s="275">
        <f>VLOOKUP(Table2[[#This Row],[Course]],Data!$A$1:$E$56,5,FALSE)</f>
        <v>1</v>
      </c>
      <c r="X147" s="275">
        <v>0</v>
      </c>
      <c r="Y147" s="275">
        <v>35</v>
      </c>
      <c r="Z147" s="275">
        <v>0</v>
      </c>
      <c r="AA147" s="275">
        <v>29</v>
      </c>
      <c r="AB147" s="276">
        <v>0</v>
      </c>
      <c r="AC147" s="275">
        <v>2</v>
      </c>
      <c r="AD147" s="275">
        <v>0</v>
      </c>
      <c r="AE147" s="275">
        <v>0</v>
      </c>
      <c r="AF147" s="271" t="s">
        <v>208</v>
      </c>
      <c r="AG147" s="277">
        <f ca="1">Table2[[#This Row],[End Date]]+2-TODAY()</f>
        <v>-180</v>
      </c>
      <c r="AH147" s="275">
        <f>IF(ISBLANK(Table2[[#This Row],[Roster Received By]]),1,0)</f>
        <v>0</v>
      </c>
      <c r="AI147" s="275">
        <f ca="1">IF(Table2[[#This Row],[Start Date]]&gt;TODAY(),1,)</f>
        <v>0</v>
      </c>
    </row>
    <row r="148" spans="1:35" s="354" customFormat="1" ht="14.25" customHeight="1" x14ac:dyDescent="0.25">
      <c r="A148" s="270"/>
      <c r="B148" s="325" t="s">
        <v>35</v>
      </c>
      <c r="C148" s="272" t="str">
        <f>VLOOKUP(Table2[[#This Row],[Course]],Data!$A$1:$E$56,2,FALSE)</f>
        <v>A-493-2501</v>
      </c>
      <c r="D148" s="272" t="str">
        <f>VLOOKUP(Table2[[#This Row],[Course]],Data!$A$1:$E$56,3,FALSE)</f>
        <v>05ZE</v>
      </c>
      <c r="E148" s="325" t="s">
        <v>147</v>
      </c>
      <c r="F148" s="326">
        <v>45350</v>
      </c>
      <c r="G148" s="326">
        <v>45350</v>
      </c>
      <c r="H148" s="344">
        <v>0.33333333333333331</v>
      </c>
      <c r="I148" s="344"/>
      <c r="J148" s="327"/>
      <c r="K148" s="327"/>
      <c r="L148" s="327"/>
      <c r="M148" s="327"/>
      <c r="N148" s="327"/>
      <c r="O148" s="271" t="s">
        <v>78</v>
      </c>
      <c r="P148" s="271"/>
      <c r="Q148" s="276" t="e">
        <v>#REF!</v>
      </c>
      <c r="R148" s="331" t="e">
        <v>#REF!</v>
      </c>
      <c r="S148" s="276"/>
      <c r="T148" s="270"/>
      <c r="U148" s="270"/>
      <c r="V148" s="275">
        <f>VLOOKUP(Table2[[#This Row],[Course]],Data!$A$1:$E$56,4,FALSE)</f>
        <v>30</v>
      </c>
      <c r="W148" s="275">
        <f>VLOOKUP(Table2[[#This Row],[Course]],Data!$A$1:$E$56,5,FALSE)</f>
        <v>1</v>
      </c>
      <c r="X148" s="275">
        <v>80</v>
      </c>
      <c r="Y148" s="275">
        <v>10</v>
      </c>
      <c r="Z148" s="275">
        <v>0</v>
      </c>
      <c r="AA148" s="275">
        <v>7</v>
      </c>
      <c r="AB148" s="276">
        <v>0</v>
      </c>
      <c r="AC148" s="275">
        <v>3</v>
      </c>
      <c r="AD148" s="275">
        <v>4</v>
      </c>
      <c r="AE148" s="272">
        <v>0</v>
      </c>
      <c r="AF148" s="271" t="s">
        <v>191</v>
      </c>
      <c r="AG148" s="277">
        <f ca="1">Table2[[#This Row],[End Date]]+2-TODAY()</f>
        <v>-180</v>
      </c>
      <c r="AH148" s="275">
        <f>IF(ISBLANK(Table2[[#This Row],[Roster Received By]]),1,0)</f>
        <v>0</v>
      </c>
      <c r="AI148" s="275">
        <f ca="1">IF(Table2[[#This Row],[Start Date]]&gt;TODAY(),1,)</f>
        <v>0</v>
      </c>
    </row>
    <row r="149" spans="1:35" s="354" customFormat="1" ht="16.5" customHeight="1" x14ac:dyDescent="0.25">
      <c r="A149" s="270"/>
      <c r="B149" s="271" t="s">
        <v>9</v>
      </c>
      <c r="C149" s="272" t="str">
        <f>VLOOKUP(Table2[[#This Row],[Course]],Data!$A$1:$E$56,2,FALSE)</f>
        <v>A-493-0020</v>
      </c>
      <c r="D149" s="272">
        <f>VLOOKUP(Table2[[#This Row],[Course]],Data!$A$1:$E$56,3,FALSE)</f>
        <v>3888</v>
      </c>
      <c r="E149" s="271" t="s">
        <v>116</v>
      </c>
      <c r="F149" s="327">
        <v>45351</v>
      </c>
      <c r="G149" s="327">
        <v>45351</v>
      </c>
      <c r="H149" s="327"/>
      <c r="I149" s="274">
        <v>0.75</v>
      </c>
      <c r="J149" s="274">
        <v>0.625</v>
      </c>
      <c r="K149" s="274">
        <v>8.3333333333333329E-2</v>
      </c>
      <c r="L149" s="274">
        <v>0</v>
      </c>
      <c r="M149" s="274">
        <v>0.54166666666666663</v>
      </c>
      <c r="N149" s="274">
        <v>0.33333333333333331</v>
      </c>
      <c r="O149" s="271" t="s">
        <v>81</v>
      </c>
      <c r="P149" s="271"/>
      <c r="Q149" s="328" t="e">
        <v>#REF!</v>
      </c>
      <c r="R149" s="328" t="e">
        <v>#REF!</v>
      </c>
      <c r="S149" s="357"/>
      <c r="T149" s="301"/>
      <c r="U149" s="301"/>
      <c r="V149" s="275">
        <f>VLOOKUP(Table2[[#This Row],[Course]],Data!$A$1:$E$56,4,FALSE)</f>
        <v>30</v>
      </c>
      <c r="W149" s="275">
        <f>VLOOKUP(Table2[[#This Row],[Course]],Data!$A$1:$E$56,5,FALSE)</f>
        <v>1</v>
      </c>
      <c r="X149" s="275">
        <v>0</v>
      </c>
      <c r="Y149" s="275">
        <v>19</v>
      </c>
      <c r="Z149" s="275">
        <v>0</v>
      </c>
      <c r="AA149" s="275">
        <v>18</v>
      </c>
      <c r="AB149" s="276">
        <v>0</v>
      </c>
      <c r="AC149" s="275">
        <v>1</v>
      </c>
      <c r="AD149" s="275">
        <v>0</v>
      </c>
      <c r="AE149" s="275">
        <v>0</v>
      </c>
      <c r="AF149" s="271" t="s">
        <v>208</v>
      </c>
      <c r="AG149" s="277">
        <f ca="1">Table2[[#This Row],[End Date]]+2-TODAY()</f>
        <v>-179</v>
      </c>
      <c r="AH149" s="275">
        <f>IF(ISBLANK(Table2[[#This Row],[Roster Received By]]),1,0)</f>
        <v>0</v>
      </c>
      <c r="AI149" s="275">
        <f ca="1">IF(Table2[[#This Row],[Start Date]]&gt;TODAY(),1,)</f>
        <v>0</v>
      </c>
    </row>
    <row r="150" spans="1:35" s="345" customFormat="1" ht="16.5" customHeight="1" x14ac:dyDescent="0.25">
      <c r="A150" s="270"/>
      <c r="B150" s="271" t="s">
        <v>184</v>
      </c>
      <c r="C150" s="272" t="str">
        <f>VLOOKUP(Table2[[#This Row],[Course]],Data!$A$1:$E$56,2,FALSE)</f>
        <v>A-4J-0022</v>
      </c>
      <c r="D150" s="272" t="str">
        <f>VLOOKUP(Table2[[#This Row],[Course]],Data!$A$1:$E$56,3,FALSE)</f>
        <v>09ER</v>
      </c>
      <c r="E150" s="271" t="s">
        <v>116</v>
      </c>
      <c r="F150" s="273">
        <v>45355</v>
      </c>
      <c r="G150" s="327">
        <v>45359</v>
      </c>
      <c r="H150" s="327"/>
      <c r="I150" s="274">
        <v>0.54166666666666663</v>
      </c>
      <c r="J150" s="274">
        <v>0.41666666666666669</v>
      </c>
      <c r="K150" s="274">
        <v>0.875</v>
      </c>
      <c r="L150" s="274">
        <v>0.79166666666666663</v>
      </c>
      <c r="M150" s="274">
        <v>0.33333333333333331</v>
      </c>
      <c r="N150" s="274">
        <v>0.125</v>
      </c>
      <c r="O150" s="270" t="s">
        <v>187</v>
      </c>
      <c r="P150" s="270"/>
      <c r="Q150" s="276" t="e">
        <v>#REF!</v>
      </c>
      <c r="R150" s="331" t="e">
        <v>#REF!</v>
      </c>
      <c r="S150" s="276"/>
      <c r="T150" s="270"/>
      <c r="U150" s="270"/>
      <c r="V150" s="275">
        <f>VLOOKUP(Table2[[#This Row],[Course]],Data!$A$1:$E$56,4,FALSE)</f>
        <v>45</v>
      </c>
      <c r="W150" s="275">
        <f>VLOOKUP(Table2[[#This Row],[Course]],Data!$A$1:$E$56,5,FALSE)</f>
        <v>5</v>
      </c>
      <c r="X150" s="275">
        <v>282</v>
      </c>
      <c r="Y150" s="275">
        <v>20</v>
      </c>
      <c r="Z150" s="275">
        <v>0</v>
      </c>
      <c r="AA150" s="275">
        <v>16</v>
      </c>
      <c r="AB150" s="276">
        <v>0</v>
      </c>
      <c r="AC150" s="275">
        <v>5</v>
      </c>
      <c r="AD150" s="275">
        <v>1</v>
      </c>
      <c r="AE150" s="275">
        <v>0</v>
      </c>
      <c r="AF150" s="271" t="s">
        <v>191</v>
      </c>
      <c r="AG150" s="277">
        <f ca="1">Table2[[#This Row],[End Date]]+2-TODAY()</f>
        <v>-171</v>
      </c>
      <c r="AH150" s="275">
        <f>IF(ISBLANK(Table2[[#This Row],[Roster Received By]]),1,0)</f>
        <v>0</v>
      </c>
      <c r="AI150" s="275">
        <f ca="1">IF(Table2[[#This Row],[Start Date]]&gt;TODAY(),1,)</f>
        <v>0</v>
      </c>
    </row>
    <row r="151" spans="1:35" s="345" customFormat="1" ht="16.5" customHeight="1" x14ac:dyDescent="0.25">
      <c r="A151" s="271"/>
      <c r="B151" s="271" t="s">
        <v>236</v>
      </c>
      <c r="C151" s="272" t="str">
        <f>VLOOKUP(Table2[[#This Row],[Course]],Data!$A$1:$E$56,2,FALSE)</f>
        <v>A-493-0103</v>
      </c>
      <c r="D151" s="272" t="str">
        <f>VLOOKUP(Table2[[#This Row],[Course]],Data!$A$1:$E$56,3,FALSE)</f>
        <v>12JY</v>
      </c>
      <c r="E151" s="346" t="s">
        <v>140</v>
      </c>
      <c r="F151" s="327">
        <v>45355</v>
      </c>
      <c r="G151" s="327">
        <v>45359</v>
      </c>
      <c r="H151" s="344">
        <v>0.33333333333333331</v>
      </c>
      <c r="I151" s="344"/>
      <c r="J151" s="327"/>
      <c r="K151" s="327"/>
      <c r="L151" s="327"/>
      <c r="M151" s="327"/>
      <c r="N151" s="327"/>
      <c r="O151" s="271" t="s">
        <v>94</v>
      </c>
      <c r="P151" s="271"/>
      <c r="Q151" s="331" t="e">
        <v>#REF!</v>
      </c>
      <c r="R151" s="331" t="e">
        <v>#REF!</v>
      </c>
      <c r="S151" s="332"/>
      <c r="T151" s="270"/>
      <c r="U151" s="270"/>
      <c r="V151" s="275">
        <f>VLOOKUP(Table2[[#This Row],[Course]],Data!$A$1:$E$56,4,FALSE)</f>
        <v>25</v>
      </c>
      <c r="W151" s="275">
        <f>VLOOKUP(Table2[[#This Row],[Course]],Data!$A$1:$E$56,5,FALSE)</f>
        <v>5</v>
      </c>
      <c r="X151" s="275">
        <v>388</v>
      </c>
      <c r="Y151" s="275">
        <v>25</v>
      </c>
      <c r="Z151" s="275">
        <v>5</v>
      </c>
      <c r="AA151" s="275">
        <v>20</v>
      </c>
      <c r="AB151" s="276">
        <v>0</v>
      </c>
      <c r="AC151" s="275">
        <v>6</v>
      </c>
      <c r="AD151" s="275">
        <v>0</v>
      </c>
      <c r="AE151" s="275">
        <v>0</v>
      </c>
      <c r="AF151" s="271" t="s">
        <v>189</v>
      </c>
      <c r="AG151" s="277">
        <f ca="1">Table2[[#This Row],[End Date]]+2-TODAY()</f>
        <v>-171</v>
      </c>
      <c r="AH151" s="275">
        <f>IF(ISBLANK(Table2[[#This Row],[Roster Received By]]),1,0)</f>
        <v>0</v>
      </c>
      <c r="AI151" s="275">
        <f ca="1">IF(Table2[[#This Row],[Start Date]]&gt;TODAY(),1,)</f>
        <v>0</v>
      </c>
    </row>
    <row r="152" spans="1:35" s="345" customFormat="1" ht="14.25" customHeight="1" x14ac:dyDescent="0.25">
      <c r="A152" s="270"/>
      <c r="B152" s="271" t="s">
        <v>243</v>
      </c>
      <c r="C152" s="272" t="str">
        <f>VLOOKUP(Table2[[#This Row],[Course]],Data!$A$1:$E$56,2,FALSE)</f>
        <v>A-493-0061</v>
      </c>
      <c r="D152" s="272" t="str">
        <f>VLOOKUP(Table2[[#This Row],[Course]],Data!$A$1:$E$56,3,FALSE)</f>
        <v>288E</v>
      </c>
      <c r="E152" s="271" t="s">
        <v>116</v>
      </c>
      <c r="F152" s="326">
        <v>45355</v>
      </c>
      <c r="G152" s="326">
        <v>45359</v>
      </c>
      <c r="H152" s="327"/>
      <c r="I152" s="274">
        <v>0.33333333333333331</v>
      </c>
      <c r="J152" s="274">
        <v>0.20833333333333334</v>
      </c>
      <c r="K152" s="274">
        <v>0.66666666666666663</v>
      </c>
      <c r="L152" s="274">
        <v>0.58333333333333337</v>
      </c>
      <c r="M152" s="274">
        <v>0.125</v>
      </c>
      <c r="N152" s="274">
        <v>0.91666666666666663</v>
      </c>
      <c r="O152" s="271" t="s">
        <v>92</v>
      </c>
      <c r="P152" s="271"/>
      <c r="Q152" s="331" t="e">
        <v>#REF!</v>
      </c>
      <c r="R152" s="331" t="e">
        <v>#REF!</v>
      </c>
      <c r="S152" s="331"/>
      <c r="T152" s="270"/>
      <c r="U152" s="270"/>
      <c r="V152" s="275">
        <f>VLOOKUP(Table2[[#This Row],[Course]],Data!$A$1:$E$56,4,FALSE)</f>
        <v>45</v>
      </c>
      <c r="W152" s="275">
        <f>VLOOKUP(Table2[[#This Row],[Course]],Data!$A$1:$E$56,5,FALSE)</f>
        <v>5</v>
      </c>
      <c r="X152" s="275">
        <v>480</v>
      </c>
      <c r="Y152" s="275">
        <v>39</v>
      </c>
      <c r="Z152" s="275">
        <v>0</v>
      </c>
      <c r="AA152" s="275">
        <v>30</v>
      </c>
      <c r="AB152" s="276">
        <v>0</v>
      </c>
      <c r="AC152" s="275">
        <v>9</v>
      </c>
      <c r="AD152" s="275">
        <v>1</v>
      </c>
      <c r="AE152" s="275">
        <v>0</v>
      </c>
      <c r="AF152" s="271" t="s">
        <v>189</v>
      </c>
      <c r="AG152" s="277">
        <f ca="1">Table2[[#This Row],[End Date]]+2-TODAY()</f>
        <v>-171</v>
      </c>
      <c r="AH152" s="275">
        <f>IF(ISBLANK(Table2[[#This Row],[Roster Received By]]),1,0)</f>
        <v>0</v>
      </c>
      <c r="AI152" s="275">
        <f ca="1">IF(Table2[[#This Row],[Start Date]]&gt;TODAY(),1,)</f>
        <v>0</v>
      </c>
    </row>
    <row r="153" spans="1:35" s="345" customFormat="1" ht="14.25" customHeight="1" x14ac:dyDescent="0.25">
      <c r="A153" s="270"/>
      <c r="B153" s="271" t="s">
        <v>249</v>
      </c>
      <c r="C153" s="272" t="str">
        <f>VLOOKUP(Table2[[#This Row],[Course]],Data!$A$1:$E$56,2,FALSE)</f>
        <v>A-322-2604</v>
      </c>
      <c r="D153" s="272" t="str">
        <f>VLOOKUP(Table2[[#This Row],[Course]],Data!$A$1:$E$56,3,FALSE)</f>
        <v>10ZZ</v>
      </c>
      <c r="E153" s="271" t="s">
        <v>116</v>
      </c>
      <c r="F153" s="327">
        <v>45355</v>
      </c>
      <c r="G153" s="327">
        <v>45359</v>
      </c>
      <c r="H153" s="327"/>
      <c r="I153" s="274">
        <v>0.54166666666666663</v>
      </c>
      <c r="J153" s="274">
        <v>0.41666666666666669</v>
      </c>
      <c r="K153" s="274">
        <v>0.875</v>
      </c>
      <c r="L153" s="274">
        <v>0.79166666666666663</v>
      </c>
      <c r="M153" s="274">
        <v>0.33333333333333331</v>
      </c>
      <c r="N153" s="274">
        <v>0.125</v>
      </c>
      <c r="O153" s="271" t="s">
        <v>83</v>
      </c>
      <c r="P153" s="271"/>
      <c r="Q153" s="298" t="e">
        <v>#REF!</v>
      </c>
      <c r="R153" s="328" t="e">
        <v>#REF!</v>
      </c>
      <c r="S153" s="298"/>
      <c r="T153" s="301"/>
      <c r="U153" s="301"/>
      <c r="V153" s="275">
        <f>VLOOKUP(Table2[[#This Row],[Course]],Data!$A$1:$E$56,4,FALSE)</f>
        <v>45</v>
      </c>
      <c r="W153" s="275">
        <f>VLOOKUP(Table2[[#This Row],[Course]],Data!$A$1:$E$56,5,FALSE)</f>
        <v>5</v>
      </c>
      <c r="X153" s="275">
        <v>653</v>
      </c>
      <c r="Y153" s="275">
        <v>45</v>
      </c>
      <c r="Z153" s="275">
        <v>2</v>
      </c>
      <c r="AA153" s="275">
        <v>41</v>
      </c>
      <c r="AB153" s="276">
        <v>3</v>
      </c>
      <c r="AC153" s="275">
        <v>3</v>
      </c>
      <c r="AD153" s="275">
        <v>2</v>
      </c>
      <c r="AE153" s="275">
        <v>0</v>
      </c>
      <c r="AF153" s="271" t="s">
        <v>208</v>
      </c>
      <c r="AG153" s="277">
        <f ca="1">Table2[[#This Row],[End Date]]+2-TODAY()</f>
        <v>-171</v>
      </c>
      <c r="AH153" s="275">
        <f>IF(ISBLANK(Table2[[#This Row],[Roster Received By]]),1,0)</f>
        <v>0</v>
      </c>
      <c r="AI153" s="275">
        <f ca="1">IF(Table2[[#This Row],[Start Date]]&gt;TODAY(),1,)</f>
        <v>0</v>
      </c>
    </row>
    <row r="154" spans="1:35" s="345" customFormat="1" ht="14.25" customHeight="1" x14ac:dyDescent="0.25">
      <c r="A154" s="270"/>
      <c r="B154" s="325" t="s">
        <v>25</v>
      </c>
      <c r="C154" s="272" t="str">
        <f>VLOOKUP(Table2[[#This Row],[Course]],Data!$A$1:$E$56,2,FALSE)</f>
        <v>A-493-2300</v>
      </c>
      <c r="D154" s="272" t="str">
        <f>VLOOKUP(Table2[[#This Row],[Course]],Data!$A$1:$E$56,3,FALSE)</f>
        <v>993F</v>
      </c>
      <c r="E154" s="325" t="s">
        <v>148</v>
      </c>
      <c r="F154" s="327">
        <v>45355</v>
      </c>
      <c r="G154" s="327">
        <v>45356</v>
      </c>
      <c r="H154" s="344">
        <v>0.33333333333333331</v>
      </c>
      <c r="I154" s="344"/>
      <c r="J154" s="327"/>
      <c r="K154" s="327"/>
      <c r="L154" s="327"/>
      <c r="M154" s="327"/>
      <c r="N154" s="327"/>
      <c r="O154" s="271" t="s">
        <v>78</v>
      </c>
      <c r="P154" s="271"/>
      <c r="Q154" s="276" t="e">
        <v>#REF!</v>
      </c>
      <c r="R154" s="331" t="e">
        <v>#REF!</v>
      </c>
      <c r="S154" s="276"/>
      <c r="T154" s="270"/>
      <c r="U154" s="270"/>
      <c r="V154" s="275">
        <f>VLOOKUP(Table2[[#This Row],[Course]],Data!$A$1:$E$56,4,FALSE)</f>
        <v>30</v>
      </c>
      <c r="W154" s="275">
        <f>VLOOKUP(Table2[[#This Row],[Course]],Data!$A$1:$E$56,5,FALSE)</f>
        <v>2</v>
      </c>
      <c r="X154" s="275">
        <v>16</v>
      </c>
      <c r="Y154" s="275">
        <v>18</v>
      </c>
      <c r="Z154" s="275">
        <v>0</v>
      </c>
      <c r="AA154" s="275">
        <v>18</v>
      </c>
      <c r="AB154" s="276">
        <v>0</v>
      </c>
      <c r="AC154" s="275">
        <v>6</v>
      </c>
      <c r="AD154" s="275">
        <v>6</v>
      </c>
      <c r="AE154" s="275">
        <v>0</v>
      </c>
      <c r="AF154" s="271" t="s">
        <v>191</v>
      </c>
      <c r="AG154" s="277">
        <f ca="1">Table2[[#This Row],[End Date]]+2-TODAY()</f>
        <v>-174</v>
      </c>
      <c r="AH154" s="275">
        <f>IF(ISBLANK(Table2[[#This Row],[Roster Received By]]),1,0)</f>
        <v>0</v>
      </c>
      <c r="AI154" s="275">
        <f ca="1">IF(Table2[[#This Row],[Start Date]]&gt;TODAY(),1,)</f>
        <v>0</v>
      </c>
    </row>
    <row r="155" spans="1:35" s="345" customFormat="1" ht="14.25" customHeight="1" x14ac:dyDescent="0.25">
      <c r="A155" s="270" t="s">
        <v>503</v>
      </c>
      <c r="B155" s="325" t="s">
        <v>281</v>
      </c>
      <c r="C155" s="272" t="str">
        <f>VLOOKUP(Table2[[#This Row],[Course]],Data!$A$1:$E$56,2,FALSE)</f>
        <v>A-493-0550</v>
      </c>
      <c r="D155" s="272" t="str">
        <f>VLOOKUP(Table2[[#This Row],[Course]],Data!$A$1:$E$56,3,FALSE)</f>
        <v>09K5</v>
      </c>
      <c r="E155" s="271" t="s">
        <v>116</v>
      </c>
      <c r="F155" s="326">
        <v>45355</v>
      </c>
      <c r="G155" s="326">
        <v>45359</v>
      </c>
      <c r="H155" s="327"/>
      <c r="I155" s="274">
        <v>0.33333333333333331</v>
      </c>
      <c r="J155" s="274">
        <v>0.20833333333333334</v>
      </c>
      <c r="K155" s="274">
        <v>0.66666666666666663</v>
      </c>
      <c r="L155" s="274">
        <v>0.58333333333333337</v>
      </c>
      <c r="M155" s="274">
        <v>0.125</v>
      </c>
      <c r="N155" s="274">
        <v>0.91666666666666663</v>
      </c>
      <c r="O155" s="271" t="s">
        <v>80</v>
      </c>
      <c r="P155" s="271"/>
      <c r="Q155" s="331" t="e">
        <v>#REF!</v>
      </c>
      <c r="R155" s="331" t="e">
        <v>#REF!</v>
      </c>
      <c r="S155" s="332"/>
      <c r="T155" s="270"/>
      <c r="U155" s="270"/>
      <c r="V155" s="275">
        <f>VLOOKUP(Table2[[#This Row],[Course]],Data!$A$1:$E$56,4,FALSE)</f>
        <v>45</v>
      </c>
      <c r="W155" s="275">
        <f>VLOOKUP(Table2[[#This Row],[Course]],Data!$A$1:$E$56,5,FALSE)</f>
        <v>4</v>
      </c>
      <c r="X155" s="275">
        <v>480</v>
      </c>
      <c r="Y155" s="275">
        <v>26</v>
      </c>
      <c r="Z155" s="275">
        <v>0</v>
      </c>
      <c r="AA155" s="275">
        <v>17</v>
      </c>
      <c r="AB155" s="276">
        <v>0</v>
      </c>
      <c r="AC155" s="275">
        <v>9</v>
      </c>
      <c r="AD155" s="275">
        <v>0</v>
      </c>
      <c r="AE155" s="275">
        <v>0</v>
      </c>
      <c r="AF155" s="271" t="s">
        <v>205</v>
      </c>
      <c r="AG155" s="277">
        <f ca="1">Table2[[#This Row],[End Date]]+2-TODAY()</f>
        <v>-171</v>
      </c>
      <c r="AH155" s="275">
        <f>IF(ISBLANK(Table2[[#This Row],[Roster Received By]]),1,0)</f>
        <v>0</v>
      </c>
      <c r="AI155" s="275">
        <f ca="1">IF(Table2[[#This Row],[Start Date]]&gt;TODAY(),1,)</f>
        <v>0</v>
      </c>
    </row>
    <row r="156" spans="1:35" s="345" customFormat="1" ht="14.25" customHeight="1" x14ac:dyDescent="0.25">
      <c r="A156" s="270"/>
      <c r="B156" s="271" t="s">
        <v>19</v>
      </c>
      <c r="C156" s="272" t="str">
        <f>VLOOKUP(Table2[[#This Row],[Course]],Data!$A$1:$E$56,2,FALSE)</f>
        <v>A-493-0099</v>
      </c>
      <c r="D156" s="272" t="str">
        <f>VLOOKUP(Table2[[#This Row],[Course]],Data!$A$1:$E$56,3,FALSE)</f>
        <v>12JW</v>
      </c>
      <c r="E156" s="271" t="s">
        <v>116</v>
      </c>
      <c r="F156" s="327">
        <v>45356</v>
      </c>
      <c r="G156" s="327">
        <v>45358</v>
      </c>
      <c r="H156" s="327"/>
      <c r="I156" s="274">
        <v>0.33333333333333331</v>
      </c>
      <c r="J156" s="274">
        <v>0.20833333333333334</v>
      </c>
      <c r="K156" s="274">
        <v>0.66666666666666663</v>
      </c>
      <c r="L156" s="274">
        <v>0.58333333333333337</v>
      </c>
      <c r="M156" s="274">
        <v>0.125</v>
      </c>
      <c r="N156" s="274">
        <v>0.91666666666666663</v>
      </c>
      <c r="O156" s="271" t="s">
        <v>88</v>
      </c>
      <c r="P156" s="271"/>
      <c r="Q156" s="331" t="e">
        <v>#REF!</v>
      </c>
      <c r="R156" s="331" t="e">
        <v>#REF!</v>
      </c>
      <c r="S156" s="332"/>
      <c r="T156" s="270"/>
      <c r="U156" s="270"/>
      <c r="V156" s="275">
        <f>VLOOKUP(Table2[[#This Row],[Course]],Data!$A$1:$E$56,4,FALSE)</f>
        <v>45</v>
      </c>
      <c r="W156" s="275">
        <f>VLOOKUP(Table2[[#This Row],[Course]],Data!$A$1:$E$56,5,FALSE)</f>
        <v>3</v>
      </c>
      <c r="X156" s="275">
        <v>431</v>
      </c>
      <c r="Y156" s="275">
        <v>44</v>
      </c>
      <c r="Z156" s="275">
        <v>0</v>
      </c>
      <c r="AA156" s="275">
        <v>34</v>
      </c>
      <c r="AB156" s="276">
        <v>1</v>
      </c>
      <c r="AC156" s="275">
        <v>9</v>
      </c>
      <c r="AD156" s="275">
        <v>0</v>
      </c>
      <c r="AE156" s="275">
        <v>0</v>
      </c>
      <c r="AF156" s="271" t="s">
        <v>189</v>
      </c>
      <c r="AG156" s="277">
        <f ca="1">Table2[[#This Row],[End Date]]+2-TODAY()</f>
        <v>-172</v>
      </c>
      <c r="AH156" s="275">
        <f>IF(ISBLANK(Table2[[#This Row],[Roster Received By]]),1,0)</f>
        <v>0</v>
      </c>
      <c r="AI156" s="275">
        <f ca="1">IF(Table2[[#This Row],[Start Date]]&gt;TODAY(),1,)</f>
        <v>0</v>
      </c>
    </row>
    <row r="157" spans="1:35" s="345" customFormat="1" ht="16.5" customHeight="1" x14ac:dyDescent="0.25">
      <c r="A157" s="270"/>
      <c r="B157" s="271" t="s">
        <v>24</v>
      </c>
      <c r="C157" s="272" t="str">
        <f>VLOOKUP(Table2[[#This Row],[Course]],Data!$A$1:$E$56,2,FALSE)</f>
        <v>A-493-0083</v>
      </c>
      <c r="D157" s="272" t="str">
        <f>VLOOKUP(Table2[[#This Row],[Course]],Data!$A$1:$E$56,3,FALSE)</f>
        <v>339E</v>
      </c>
      <c r="E157" s="271" t="s">
        <v>116</v>
      </c>
      <c r="F157" s="273">
        <v>45356</v>
      </c>
      <c r="G157" s="273">
        <v>45356</v>
      </c>
      <c r="H157" s="273"/>
      <c r="I157" s="274">
        <v>0.33333333333333331</v>
      </c>
      <c r="J157" s="274">
        <v>0.20833333333333334</v>
      </c>
      <c r="K157" s="274">
        <v>0.66666666666666663</v>
      </c>
      <c r="L157" s="274">
        <v>0.58333333333333337</v>
      </c>
      <c r="M157" s="274">
        <v>0.125</v>
      </c>
      <c r="N157" s="274">
        <v>0.91666666666666663</v>
      </c>
      <c r="O157" s="271" t="s">
        <v>78</v>
      </c>
      <c r="P157" s="271"/>
      <c r="Q157" s="298" t="e">
        <v>#REF!</v>
      </c>
      <c r="R157" s="328" t="e">
        <v>#REF!</v>
      </c>
      <c r="S157" s="298"/>
      <c r="T157" s="301"/>
      <c r="U157" s="301"/>
      <c r="V157" s="275">
        <f>VLOOKUP(Table2[[#This Row],[Course]],Data!$A$1:$E$56,4,FALSE)</f>
        <v>30</v>
      </c>
      <c r="W157" s="275">
        <f>VLOOKUP(Table2[[#This Row],[Course]],Data!$A$1:$E$56,5,FALSE)</f>
        <v>1</v>
      </c>
      <c r="X157" s="275">
        <v>0</v>
      </c>
      <c r="Y157" s="275">
        <v>30</v>
      </c>
      <c r="Z157" s="275">
        <v>4</v>
      </c>
      <c r="AA157" s="275">
        <v>29</v>
      </c>
      <c r="AB157" s="276">
        <v>0</v>
      </c>
      <c r="AC157" s="275">
        <v>1</v>
      </c>
      <c r="AD157" s="275">
        <v>2</v>
      </c>
      <c r="AE157" s="275">
        <v>0</v>
      </c>
      <c r="AF157" s="271" t="s">
        <v>191</v>
      </c>
      <c r="AG157" s="277">
        <f ca="1">Table2[[#This Row],[End Date]]+2-TODAY()</f>
        <v>-174</v>
      </c>
      <c r="AH157" s="275">
        <f>IF(ISBLANK(Table2[[#This Row],[Roster Received By]]),1,0)</f>
        <v>0</v>
      </c>
      <c r="AI157" s="275">
        <f ca="1">IF(Table2[[#This Row],[Start Date]]&gt;TODAY(),1,)</f>
        <v>0</v>
      </c>
    </row>
    <row r="158" spans="1:35" s="345" customFormat="1" ht="14.25" customHeight="1" x14ac:dyDescent="0.25">
      <c r="A158" s="271"/>
      <c r="B158" s="325" t="s">
        <v>270</v>
      </c>
      <c r="C158" s="272" t="str">
        <f>VLOOKUP(Table2[[#This Row],[Course]],Data!$A$1:$E$56,2,FALSE)</f>
        <v>A-493-0331</v>
      </c>
      <c r="D158" s="272" t="str">
        <f>VLOOKUP(Table2[[#This Row],[Course]],Data!$A$1:$E$56,3,FALSE)</f>
        <v>10UG</v>
      </c>
      <c r="E158" s="271" t="s">
        <v>116</v>
      </c>
      <c r="F158" s="327">
        <v>45356</v>
      </c>
      <c r="G158" s="327">
        <v>45358</v>
      </c>
      <c r="H158" s="327"/>
      <c r="I158" s="274">
        <v>0.5</v>
      </c>
      <c r="J158" s="274">
        <v>0.375</v>
      </c>
      <c r="K158" s="274">
        <v>0.83333333333333337</v>
      </c>
      <c r="L158" s="274">
        <v>0.75</v>
      </c>
      <c r="M158" s="274">
        <v>0.29166666666666669</v>
      </c>
      <c r="N158" s="274">
        <v>8.3333333333333329E-2</v>
      </c>
      <c r="O158" s="271" t="s">
        <v>84</v>
      </c>
      <c r="P158" s="271"/>
      <c r="Q158" s="331" t="e">
        <v>#REF!</v>
      </c>
      <c r="R158" s="331" t="e">
        <v>#REF!</v>
      </c>
      <c r="S158" s="332"/>
      <c r="T158" s="270"/>
      <c r="U158" s="270"/>
      <c r="V158" s="275">
        <f>VLOOKUP(Table2[[#This Row],[Course]],Data!$A$1:$E$56,4,FALSE)</f>
        <v>40</v>
      </c>
      <c r="W158" s="275">
        <f>VLOOKUP(Table2[[#This Row],[Course]],Data!$A$1:$E$56,5,FALSE)</f>
        <v>3</v>
      </c>
      <c r="X158" s="275">
        <v>709</v>
      </c>
      <c r="Y158" s="275">
        <v>40</v>
      </c>
      <c r="Z158" s="275">
        <v>5</v>
      </c>
      <c r="AA158" s="275">
        <v>30</v>
      </c>
      <c r="AB158" s="276">
        <v>0</v>
      </c>
      <c r="AC158" s="275">
        <v>12</v>
      </c>
      <c r="AD158" s="275">
        <v>0</v>
      </c>
      <c r="AE158" s="275">
        <v>0</v>
      </c>
      <c r="AF158" s="271" t="s">
        <v>208</v>
      </c>
      <c r="AG158" s="277">
        <f ca="1">Table2[[#This Row],[End Date]]+2-TODAY()</f>
        <v>-172</v>
      </c>
      <c r="AH158" s="275">
        <f>IF(ISBLANK(Table2[[#This Row],[Roster Received By]]),1,0)</f>
        <v>0</v>
      </c>
      <c r="AI158" s="275">
        <f ca="1">IF(Table2[[#This Row],[Start Date]]&gt;TODAY(),1,)</f>
        <v>0</v>
      </c>
    </row>
    <row r="159" spans="1:35" s="345" customFormat="1" ht="14.25" customHeight="1" x14ac:dyDescent="0.25">
      <c r="A159" s="270"/>
      <c r="B159" s="325" t="s">
        <v>27</v>
      </c>
      <c r="C159" s="272" t="str">
        <f>VLOOKUP(Table2[[#This Row],[Course]],Data!$A$1:$E$56,2,FALSE)</f>
        <v>A-493-0216</v>
      </c>
      <c r="D159" s="272" t="str">
        <f>VLOOKUP(Table2[[#This Row],[Course]],Data!$A$1:$E$56,3,FALSE)</f>
        <v>12X8</v>
      </c>
      <c r="E159" s="325" t="s">
        <v>148</v>
      </c>
      <c r="F159" s="273">
        <v>45357</v>
      </c>
      <c r="G159" s="273">
        <v>45357</v>
      </c>
      <c r="H159" s="344">
        <v>0.33333333333333331</v>
      </c>
      <c r="I159" s="344"/>
      <c r="J159" s="327"/>
      <c r="K159" s="327"/>
      <c r="L159" s="327"/>
      <c r="M159" s="327"/>
      <c r="N159" s="327"/>
      <c r="O159" s="271" t="s">
        <v>78</v>
      </c>
      <c r="P159" s="271"/>
      <c r="Q159" s="276" t="e">
        <v>#REF!</v>
      </c>
      <c r="R159" s="331" t="e">
        <v>#REF!</v>
      </c>
      <c r="S159" s="276"/>
      <c r="T159" s="270"/>
      <c r="U159" s="270"/>
      <c r="V159" s="275">
        <f>VLOOKUP(Table2[[#This Row],[Course]],Data!$A$1:$E$56,4,FALSE)</f>
        <v>30</v>
      </c>
      <c r="W159" s="275">
        <f>VLOOKUP(Table2[[#This Row],[Course]],Data!$A$1:$E$56,5,FALSE)</f>
        <v>1</v>
      </c>
      <c r="X159" s="275">
        <v>15</v>
      </c>
      <c r="Y159" s="275">
        <v>18</v>
      </c>
      <c r="Z159" s="275">
        <v>0</v>
      </c>
      <c r="AA159" s="275">
        <v>18</v>
      </c>
      <c r="AB159" s="276">
        <v>0</v>
      </c>
      <c r="AC159" s="275">
        <v>5</v>
      </c>
      <c r="AD159" s="275">
        <v>12</v>
      </c>
      <c r="AE159" s="272">
        <v>0</v>
      </c>
      <c r="AF159" s="372" t="s">
        <v>191</v>
      </c>
      <c r="AG159" s="373">
        <f ca="1">Table2[[#This Row],[End Date]]+2-TODAY()</f>
        <v>-173</v>
      </c>
      <c r="AH159" s="275">
        <f>IF(ISBLANK(Table2[[#This Row],[Roster Received By]]),1,0)</f>
        <v>0</v>
      </c>
      <c r="AI159" s="272">
        <f ca="1">IF(Table2[[#This Row],[Start Date]]&gt;TODAY(),1,)</f>
        <v>0</v>
      </c>
    </row>
    <row r="160" spans="1:35" s="345" customFormat="1" ht="14.25" customHeight="1" x14ac:dyDescent="0.25">
      <c r="A160" s="270"/>
      <c r="B160" s="271" t="s">
        <v>214</v>
      </c>
      <c r="C160" s="272" t="str">
        <f>VLOOKUP(Table2[[#This Row],[Course]],Data!$A$1:$E$56,2,FALSE)</f>
        <v>A-493-0665</v>
      </c>
      <c r="D160" s="272" t="str">
        <f>VLOOKUP(Table2[[#This Row],[Course]],Data!$A$1:$E$56,3,FALSE)</f>
        <v>10KW</v>
      </c>
      <c r="E160" s="271" t="s">
        <v>116</v>
      </c>
      <c r="F160" s="327">
        <v>45362</v>
      </c>
      <c r="G160" s="327">
        <v>45366</v>
      </c>
      <c r="H160" s="327"/>
      <c r="I160" s="274">
        <v>0.33333333333333331</v>
      </c>
      <c r="J160" s="274">
        <v>0.20833333333333334</v>
      </c>
      <c r="K160" s="274">
        <v>0.625</v>
      </c>
      <c r="L160" s="274">
        <v>0.54166666666666663</v>
      </c>
      <c r="M160" s="274">
        <v>8.3333333333333329E-2</v>
      </c>
      <c r="N160" s="274">
        <v>0.875</v>
      </c>
      <c r="O160" s="271" t="s">
        <v>83</v>
      </c>
      <c r="P160" s="271"/>
      <c r="Q160" s="276" t="e">
        <v>#REF!</v>
      </c>
      <c r="R160" s="331" t="e">
        <v>#REF!</v>
      </c>
      <c r="S160" s="276"/>
      <c r="T160" s="270"/>
      <c r="U160" s="270"/>
      <c r="V160" s="275">
        <f>VLOOKUP(Table2[[#This Row],[Course]],Data!$A$1:$E$56,4,FALSE)</f>
        <v>45</v>
      </c>
      <c r="W160" s="275">
        <f>VLOOKUP(Table2[[#This Row],[Course]],Data!$A$1:$E$56,5,FALSE)</f>
        <v>5</v>
      </c>
      <c r="X160" s="275">
        <v>127</v>
      </c>
      <c r="Y160" s="275">
        <v>45</v>
      </c>
      <c r="Z160" s="275">
        <v>1</v>
      </c>
      <c r="AA160" s="275">
        <v>40</v>
      </c>
      <c r="AB160" s="276">
        <v>2</v>
      </c>
      <c r="AC160" s="275">
        <v>4</v>
      </c>
      <c r="AD160" s="275">
        <v>1</v>
      </c>
      <c r="AE160" s="275">
        <v>0</v>
      </c>
      <c r="AF160" s="271" t="s">
        <v>191</v>
      </c>
      <c r="AG160" s="277">
        <f ca="1">Table2[[#This Row],[End Date]]+2-TODAY()</f>
        <v>-164</v>
      </c>
      <c r="AH160" s="275">
        <f>IF(ISBLANK(Table2[[#This Row],[Roster Received By]]),1,0)</f>
        <v>0</v>
      </c>
      <c r="AI160" s="275">
        <f ca="1">IF(Table2[[#This Row],[Start Date]]&gt;TODAY(),1,)</f>
        <v>0</v>
      </c>
    </row>
    <row r="161" spans="1:35" s="345" customFormat="1" ht="14.25" customHeight="1" x14ac:dyDescent="0.25">
      <c r="A161" s="271"/>
      <c r="B161" s="271" t="s">
        <v>236</v>
      </c>
      <c r="C161" s="272" t="str">
        <f>VLOOKUP(Table2[[#This Row],[Course]],Data!$A$1:$E$56,2,FALSE)</f>
        <v>A-493-0103</v>
      </c>
      <c r="D161" s="272" t="str">
        <f>VLOOKUP(Table2[[#This Row],[Course]],Data!$A$1:$E$56,3,FALSE)</f>
        <v>12JY</v>
      </c>
      <c r="E161" s="346" t="s">
        <v>140</v>
      </c>
      <c r="F161" s="327">
        <v>45362</v>
      </c>
      <c r="G161" s="327">
        <v>45366</v>
      </c>
      <c r="H161" s="344">
        <v>0.33333333333333331</v>
      </c>
      <c r="I161" s="344"/>
      <c r="J161" s="327"/>
      <c r="K161" s="327"/>
      <c r="L161" s="327"/>
      <c r="M161" s="327"/>
      <c r="N161" s="327"/>
      <c r="O161" s="271" t="s">
        <v>94</v>
      </c>
      <c r="P161" s="271"/>
      <c r="Q161" s="331" t="e">
        <v>#REF!</v>
      </c>
      <c r="R161" s="331" t="e">
        <v>#REF!</v>
      </c>
      <c r="S161" s="331"/>
      <c r="T161" s="270"/>
      <c r="U161" s="270"/>
      <c r="V161" s="275">
        <f>VLOOKUP(Table2[[#This Row],[Course]],Data!$A$1:$E$56,4,FALSE)</f>
        <v>25</v>
      </c>
      <c r="W161" s="275">
        <f>VLOOKUP(Table2[[#This Row],[Course]],Data!$A$1:$E$56,5,FALSE)</f>
        <v>5</v>
      </c>
      <c r="X161" s="275">
        <v>388</v>
      </c>
      <c r="Y161" s="275">
        <v>25</v>
      </c>
      <c r="Z161" s="275">
        <v>2</v>
      </c>
      <c r="AA161" s="275">
        <v>25</v>
      </c>
      <c r="AB161" s="276">
        <v>0</v>
      </c>
      <c r="AC161" s="275">
        <v>3</v>
      </c>
      <c r="AD161" s="275">
        <v>1</v>
      </c>
      <c r="AE161" s="275">
        <v>0</v>
      </c>
      <c r="AF161" s="271" t="s">
        <v>189</v>
      </c>
      <c r="AG161" s="277">
        <f ca="1">Table2[[#This Row],[End Date]]+2-TODAY()</f>
        <v>-164</v>
      </c>
      <c r="AH161" s="275">
        <f>IF(ISBLANK(Table2[[#This Row],[Roster Received By]]),1,0)</f>
        <v>0</v>
      </c>
      <c r="AI161" s="275">
        <f ca="1">IF(Table2[[#This Row],[Start Date]]&gt;TODAY(),1,)</f>
        <v>0</v>
      </c>
    </row>
    <row r="162" spans="1:35" s="354" customFormat="1" x14ac:dyDescent="0.25">
      <c r="A162" s="270"/>
      <c r="B162" s="271" t="s">
        <v>14</v>
      </c>
      <c r="C162" s="272" t="str">
        <f>VLOOKUP(Table2[[#This Row],[Course]],Data!$A$1:$E$56,2,FALSE)</f>
        <v>A-493-0030</v>
      </c>
      <c r="D162" s="272" t="str">
        <f>VLOOKUP(Table2[[#This Row],[Course]],Data!$A$1:$E$56,3,FALSE)</f>
        <v>286X</v>
      </c>
      <c r="E162" s="271" t="s">
        <v>156</v>
      </c>
      <c r="F162" s="327">
        <v>45362</v>
      </c>
      <c r="G162" s="327">
        <v>45366</v>
      </c>
      <c r="H162" s="344">
        <v>0.33333333333333331</v>
      </c>
      <c r="I162" s="344"/>
      <c r="J162" s="327"/>
      <c r="K162" s="327"/>
      <c r="L162" s="327"/>
      <c r="M162" s="327"/>
      <c r="N162" s="327"/>
      <c r="O162" s="271" t="s">
        <v>95</v>
      </c>
      <c r="P162" s="271"/>
      <c r="Q162" s="276" t="e">
        <v>#REF!</v>
      </c>
      <c r="R162" s="331" t="e">
        <v>#REF!</v>
      </c>
      <c r="S162" s="276"/>
      <c r="T162" s="270"/>
      <c r="U162" s="270"/>
      <c r="V162" s="275">
        <f>VLOOKUP(Table2[[#This Row],[Course]],Data!$A$1:$E$56,4,FALSE)</f>
        <v>25</v>
      </c>
      <c r="W162" s="275">
        <f>VLOOKUP(Table2[[#This Row],[Course]],Data!$A$1:$E$56,5,FALSE)</f>
        <v>5</v>
      </c>
      <c r="X162" s="275">
        <v>15</v>
      </c>
      <c r="Y162" s="275">
        <v>8</v>
      </c>
      <c r="Z162" s="275">
        <v>0</v>
      </c>
      <c r="AA162" s="275">
        <v>7</v>
      </c>
      <c r="AB162" s="276">
        <v>1</v>
      </c>
      <c r="AC162" s="275">
        <v>0</v>
      </c>
      <c r="AD162" s="275">
        <v>1</v>
      </c>
      <c r="AE162" s="275">
        <v>1</v>
      </c>
      <c r="AF162" s="271" t="s">
        <v>205</v>
      </c>
      <c r="AG162" s="277">
        <f ca="1">Table2[[#This Row],[End Date]]+2-TODAY()</f>
        <v>-164</v>
      </c>
      <c r="AH162" s="275">
        <f>IF(ISBLANK(Table2[[#This Row],[Roster Received By]]),1,0)</f>
        <v>0</v>
      </c>
      <c r="AI162" s="275">
        <f ca="1">IF(Table2[[#This Row],[Start Date]]&gt;TODAY(),1,)</f>
        <v>0</v>
      </c>
    </row>
    <row r="163" spans="1:35" s="345" customFormat="1" ht="14.25" customHeight="1" x14ac:dyDescent="0.25">
      <c r="A163" s="270" t="s">
        <v>503</v>
      </c>
      <c r="B163" s="271" t="s">
        <v>15</v>
      </c>
      <c r="C163" s="272" t="str">
        <f>VLOOKUP(Table2[[#This Row],[Course]],Data!$A$1:$E$56,2,FALSE)</f>
        <v>A-493-0021</v>
      </c>
      <c r="D163" s="272" t="str">
        <f>VLOOKUP(Table2[[#This Row],[Course]],Data!$A$1:$E$56,3,FALSE)</f>
        <v>18BN</v>
      </c>
      <c r="E163" s="271" t="s">
        <v>120</v>
      </c>
      <c r="F163" s="327">
        <v>45362</v>
      </c>
      <c r="G163" s="327">
        <v>45366</v>
      </c>
      <c r="H163" s="344">
        <v>0.33333333333333331</v>
      </c>
      <c r="I163" s="344"/>
      <c r="J163" s="327"/>
      <c r="K163" s="327"/>
      <c r="L163" s="327"/>
      <c r="M163" s="327"/>
      <c r="N163" s="327"/>
      <c r="O163" s="271" t="s">
        <v>94</v>
      </c>
      <c r="P163" s="271"/>
      <c r="Q163" s="331" t="e">
        <v>#REF!</v>
      </c>
      <c r="R163" s="331" t="e">
        <v>#REF!</v>
      </c>
      <c r="S163" s="332"/>
      <c r="T163" s="270"/>
      <c r="U163" s="270"/>
      <c r="V163" s="275">
        <f>VLOOKUP(Table2[[#This Row],[Course]],Data!$A$1:$E$56,4,FALSE)</f>
        <v>35</v>
      </c>
      <c r="W163" s="275">
        <f>VLOOKUP(Table2[[#This Row],[Course]],Data!$A$1:$E$56,5,FALSE)</f>
        <v>5</v>
      </c>
      <c r="X163" s="275">
        <v>15</v>
      </c>
      <c r="Y163" s="275">
        <v>25</v>
      </c>
      <c r="Z163" s="275">
        <v>0</v>
      </c>
      <c r="AA163" s="275">
        <v>19</v>
      </c>
      <c r="AB163" s="276">
        <v>0</v>
      </c>
      <c r="AC163" s="275">
        <v>5</v>
      </c>
      <c r="AD163" s="275">
        <v>0</v>
      </c>
      <c r="AE163" s="275">
        <v>0</v>
      </c>
      <c r="AF163" s="271" t="s">
        <v>189</v>
      </c>
      <c r="AG163" s="277">
        <f ca="1">Table2[[#This Row],[End Date]]+2-TODAY()</f>
        <v>-164</v>
      </c>
      <c r="AH163" s="275">
        <f>IF(ISBLANK(Table2[[#This Row],[Roster Received By]]),1,0)</f>
        <v>0</v>
      </c>
      <c r="AI163" s="275">
        <f ca="1">IF(Table2[[#This Row],[Start Date]]&gt;TODAY(),1,)</f>
        <v>0</v>
      </c>
    </row>
    <row r="164" spans="1:35" s="270" customFormat="1" x14ac:dyDescent="0.25">
      <c r="B164" s="271" t="s">
        <v>17</v>
      </c>
      <c r="C164" s="272" t="str">
        <f>VLOOKUP(Table2[[#This Row],[Course]],Data!$A$1:$E$56,2,FALSE)</f>
        <v>A-493-0012</v>
      </c>
      <c r="D164" s="272">
        <f>VLOOKUP(Table2[[#This Row],[Course]],Data!$A$1:$E$56,3,FALSE)</f>
        <v>3682</v>
      </c>
      <c r="E164" s="271" t="s">
        <v>287</v>
      </c>
      <c r="F164" s="327">
        <v>45362</v>
      </c>
      <c r="G164" s="327">
        <v>45366</v>
      </c>
      <c r="H164" s="344">
        <v>0.33333333333333331</v>
      </c>
      <c r="I164" s="344"/>
      <c r="J164" s="327"/>
      <c r="K164" s="327"/>
      <c r="L164" s="327"/>
      <c r="M164" s="327"/>
      <c r="N164" s="327"/>
      <c r="O164" s="271" t="s">
        <v>78</v>
      </c>
      <c r="P164" s="271"/>
      <c r="Q164" s="298" t="e">
        <v>#REF!</v>
      </c>
      <c r="R164" s="328" t="e">
        <v>#REF!</v>
      </c>
      <c r="S164" s="298"/>
      <c r="T164" s="301"/>
      <c r="U164" s="301"/>
      <c r="V164" s="275">
        <f>VLOOKUP(Table2[[#This Row],[Course]],Data!$A$1:$E$56,4,FALSE)</f>
        <v>40</v>
      </c>
      <c r="W164" s="275">
        <f>VLOOKUP(Table2[[#This Row],[Course]],Data!$A$1:$E$56,5,FALSE)</f>
        <v>5</v>
      </c>
      <c r="X164" s="275">
        <v>30</v>
      </c>
      <c r="Y164" s="275">
        <v>18</v>
      </c>
      <c r="Z164" s="275">
        <v>0</v>
      </c>
      <c r="AA164" s="275">
        <v>32</v>
      </c>
      <c r="AB164" s="276">
        <v>0</v>
      </c>
      <c r="AC164" s="275">
        <v>4</v>
      </c>
      <c r="AD164" s="275">
        <v>18</v>
      </c>
      <c r="AE164" s="275">
        <v>0</v>
      </c>
      <c r="AF164" s="271" t="s">
        <v>191</v>
      </c>
      <c r="AG164" s="277">
        <f ca="1">Table2[[#This Row],[End Date]]+2-TODAY()</f>
        <v>-164</v>
      </c>
      <c r="AH164" s="275">
        <f>IF(ISBLANK(Table2[[#This Row],[Roster Received By]]),1,0)</f>
        <v>0</v>
      </c>
      <c r="AI164" s="275">
        <f ca="1">IF(Table2[[#This Row],[Start Date]]&gt;TODAY(),1,)</f>
        <v>0</v>
      </c>
    </row>
    <row r="165" spans="1:35" s="270" customFormat="1" x14ac:dyDescent="0.25">
      <c r="A165" s="271"/>
      <c r="B165" s="271" t="s">
        <v>20</v>
      </c>
      <c r="C165" s="272" t="str">
        <f>VLOOKUP(Table2[[#This Row],[Course]],Data!$A$1:$E$56,2,FALSE)</f>
        <v xml:space="preserve">A-493-0075 </v>
      </c>
      <c r="D165" s="272" t="str">
        <f>VLOOKUP(Table2[[#This Row],[Course]],Data!$A$1:$E$56,3,FALSE)</f>
        <v>714U</v>
      </c>
      <c r="E165" s="271" t="s">
        <v>166</v>
      </c>
      <c r="F165" s="327">
        <v>45362</v>
      </c>
      <c r="G165" s="327">
        <v>45365</v>
      </c>
      <c r="H165" s="344">
        <v>0.33333333333333331</v>
      </c>
      <c r="I165" s="344"/>
      <c r="J165" s="327"/>
      <c r="K165" s="327"/>
      <c r="L165" s="327"/>
      <c r="M165" s="327"/>
      <c r="N165" s="327"/>
      <c r="O165" s="271" t="s">
        <v>94</v>
      </c>
      <c r="P165" s="271"/>
      <c r="Q165" s="331" t="e">
        <v>#REF!</v>
      </c>
      <c r="R165" s="331" t="e">
        <v>#REF!</v>
      </c>
      <c r="S165" s="332"/>
      <c r="V165" s="275">
        <f>VLOOKUP(Table2[[#This Row],[Course]],Data!$A$1:$E$56,4,FALSE)</f>
        <v>30</v>
      </c>
      <c r="W165" s="275">
        <f>VLOOKUP(Table2[[#This Row],[Course]],Data!$A$1:$E$56,5,FALSE)</f>
        <v>4</v>
      </c>
      <c r="X165" s="275">
        <v>38</v>
      </c>
      <c r="Y165" s="275">
        <v>27</v>
      </c>
      <c r="Z165" s="275">
        <v>0</v>
      </c>
      <c r="AA165" s="275">
        <v>23</v>
      </c>
      <c r="AB165" s="276">
        <v>0</v>
      </c>
      <c r="AC165" s="275">
        <v>4</v>
      </c>
      <c r="AD165" s="275">
        <v>0</v>
      </c>
      <c r="AE165" s="275">
        <v>10</v>
      </c>
      <c r="AF165" s="271" t="s">
        <v>189</v>
      </c>
      <c r="AG165" s="277">
        <f ca="1">Table2[[#This Row],[End Date]]+2-TODAY()</f>
        <v>-165</v>
      </c>
      <c r="AH165" s="275">
        <f>IF(ISBLANK(Table2[[#This Row],[Roster Received By]]),1,0)</f>
        <v>0</v>
      </c>
      <c r="AI165" s="275">
        <f ca="1">IF(Table2[[#This Row],[Start Date]]&gt;TODAY(),1,)</f>
        <v>0</v>
      </c>
    </row>
    <row r="166" spans="1:35" s="270" customFormat="1" x14ac:dyDescent="0.25">
      <c r="B166" s="325" t="s">
        <v>292</v>
      </c>
      <c r="C166" s="272" t="str">
        <f>VLOOKUP(Table2[[#This Row],[Course]],Data!$A$1:$E$56,2,FALSE)</f>
        <v>A-493-0078</v>
      </c>
      <c r="D166" s="272">
        <f>VLOOKUP(Table2[[#This Row],[Course]],Data!$A$1:$E$56,3,FALSE)</f>
        <v>1228</v>
      </c>
      <c r="E166" s="325" t="s">
        <v>116</v>
      </c>
      <c r="F166" s="326">
        <v>45362</v>
      </c>
      <c r="G166" s="326">
        <v>45366</v>
      </c>
      <c r="H166" s="327"/>
      <c r="I166" s="274">
        <v>0.33333333333333331</v>
      </c>
      <c r="J166" s="274">
        <v>0.20833333333333334</v>
      </c>
      <c r="K166" s="274">
        <v>0.625</v>
      </c>
      <c r="L166" s="274">
        <v>0.54166666666666663</v>
      </c>
      <c r="M166" s="274">
        <v>8.3333333333333329E-2</v>
      </c>
      <c r="N166" s="274">
        <v>0.875</v>
      </c>
      <c r="O166" s="271" t="s">
        <v>80</v>
      </c>
      <c r="P166" s="271"/>
      <c r="Q166" s="331" t="e">
        <v>#REF!</v>
      </c>
      <c r="R166" s="331" t="e">
        <v>#REF!</v>
      </c>
      <c r="S166" s="332"/>
      <c r="V166" s="275">
        <f>VLOOKUP(Table2[[#This Row],[Course]],Data!$A$1:$E$56,4,FALSE)</f>
        <v>45</v>
      </c>
      <c r="W166" s="275">
        <f>VLOOKUP(Table2[[#This Row],[Course]],Data!$A$1:$E$56,5,FALSE)</f>
        <v>5</v>
      </c>
      <c r="X166" s="275">
        <v>600</v>
      </c>
      <c r="Y166" s="275">
        <v>45</v>
      </c>
      <c r="Z166" s="275">
        <v>0</v>
      </c>
      <c r="AA166" s="275">
        <v>37</v>
      </c>
      <c r="AB166" s="276">
        <v>0</v>
      </c>
      <c r="AC166" s="275">
        <v>8</v>
      </c>
      <c r="AD166" s="275">
        <v>0</v>
      </c>
      <c r="AE166" s="275">
        <v>0</v>
      </c>
      <c r="AF166" s="271" t="s">
        <v>205</v>
      </c>
      <c r="AG166" s="277">
        <f ca="1">Table2[[#This Row],[End Date]]+2-TODAY()</f>
        <v>-164</v>
      </c>
      <c r="AH166" s="275">
        <f>IF(ISBLANK(Table2[[#This Row],[Roster Received By]]),1,0)</f>
        <v>0</v>
      </c>
      <c r="AI166" s="275">
        <f ca="1">IF(Table2[[#This Row],[Start Date]]&gt;TODAY(),1,)</f>
        <v>0</v>
      </c>
    </row>
    <row r="167" spans="1:35" s="270" customFormat="1" x14ac:dyDescent="0.25">
      <c r="B167" s="340" t="s">
        <v>317</v>
      </c>
      <c r="C167" s="272" t="str">
        <f>VLOOKUP(Table2[[#This Row],[Course]],Data!$A$1:$E$56,2,FALSE)</f>
        <v>A-493-2098</v>
      </c>
      <c r="D167" s="272" t="str">
        <f>VLOOKUP(Table2[[#This Row],[Course]],Data!$A$1:$E$56,3,FALSE)</f>
        <v>09WW</v>
      </c>
      <c r="E167" s="271" t="s">
        <v>116</v>
      </c>
      <c r="F167" s="327">
        <v>45362</v>
      </c>
      <c r="G167" s="327">
        <v>45366</v>
      </c>
      <c r="H167" s="327"/>
      <c r="I167" s="274">
        <v>0.54166666666666663</v>
      </c>
      <c r="J167" s="274">
        <v>0.41666666666666669</v>
      </c>
      <c r="K167" s="274">
        <v>0.83333333333333337</v>
      </c>
      <c r="L167" s="274">
        <v>0.75</v>
      </c>
      <c r="M167" s="274">
        <v>0.29166666666666669</v>
      </c>
      <c r="N167" s="274">
        <v>8.3333333333333329E-2</v>
      </c>
      <c r="O167" s="271" t="s">
        <v>83</v>
      </c>
      <c r="P167" s="271"/>
      <c r="Q167" s="276" t="e">
        <v>#REF!</v>
      </c>
      <c r="R167" s="331" t="e">
        <v>#REF!</v>
      </c>
      <c r="S167" s="276"/>
      <c r="V167" s="275">
        <f>VLOOKUP(Table2[[#This Row],[Course]],Data!$A$1:$E$56,4,FALSE)</f>
        <v>100</v>
      </c>
      <c r="W167" s="275">
        <f>VLOOKUP(Table2[[#This Row],[Course]],Data!$A$1:$E$56,5,FALSE)</f>
        <v>5</v>
      </c>
      <c r="X167" s="275">
        <v>1257</v>
      </c>
      <c r="Y167" s="275">
        <v>100</v>
      </c>
      <c r="Z167" s="275">
        <v>3</v>
      </c>
      <c r="AA167" s="275">
        <v>78</v>
      </c>
      <c r="AB167" s="276">
        <v>6</v>
      </c>
      <c r="AC167" s="275">
        <v>19</v>
      </c>
      <c r="AD167" s="275">
        <v>5</v>
      </c>
      <c r="AE167" s="275">
        <v>0</v>
      </c>
      <c r="AF167" s="271" t="s">
        <v>205</v>
      </c>
      <c r="AG167" s="277">
        <f ca="1">Table2[[#This Row],[End Date]]+2-TODAY()</f>
        <v>-164</v>
      </c>
      <c r="AH167" s="275">
        <f>IF(ISBLANK(Table2[[#This Row],[Roster Received By]]),1,0)</f>
        <v>0</v>
      </c>
      <c r="AI167" s="275">
        <f ca="1">IF(Table2[[#This Row],[Start Date]]&gt;TODAY(),1,)</f>
        <v>0</v>
      </c>
    </row>
    <row r="168" spans="1:35" s="270" customFormat="1" x14ac:dyDescent="0.25">
      <c r="A168" s="360" t="s">
        <v>504</v>
      </c>
      <c r="B168" s="361" t="s">
        <v>313</v>
      </c>
      <c r="C168" s="348" t="str">
        <f>VLOOKUP(Table2[[#This Row],[Course]],Data!$A$1:$E$56,2,FALSE)</f>
        <v>A-493-2099</v>
      </c>
      <c r="D168" s="348" t="str">
        <f>VLOOKUP(Table2[[#This Row],[Course]],Data!$A$1:$E$56,3,FALSE)</f>
        <v>438G</v>
      </c>
      <c r="E168" s="361" t="s">
        <v>338</v>
      </c>
      <c r="F168" s="349">
        <v>45362</v>
      </c>
      <c r="G168" s="349">
        <v>45363</v>
      </c>
      <c r="H168" s="351"/>
      <c r="I168" s="351"/>
      <c r="J168" s="352"/>
      <c r="K168" s="352"/>
      <c r="L168" s="352"/>
      <c r="M168" s="352"/>
      <c r="N168" s="352"/>
      <c r="O168" s="340" t="s">
        <v>89</v>
      </c>
      <c r="P168" s="340"/>
      <c r="Q168" s="338"/>
      <c r="R168" s="353"/>
      <c r="S168" s="338"/>
      <c r="T168" s="347"/>
      <c r="U168" s="347"/>
      <c r="V168" s="338">
        <v>0</v>
      </c>
      <c r="W168" s="353">
        <v>2</v>
      </c>
      <c r="X168" s="353">
        <v>0</v>
      </c>
      <c r="Y168" s="353">
        <v>28</v>
      </c>
      <c r="Z168" s="353">
        <v>0</v>
      </c>
      <c r="AA168" s="338">
        <v>28</v>
      </c>
      <c r="AB168" s="338">
        <v>0</v>
      </c>
      <c r="AC168" s="339">
        <v>0</v>
      </c>
      <c r="AD168" s="339">
        <v>0</v>
      </c>
      <c r="AE168" s="348">
        <v>0</v>
      </c>
      <c r="AF168" s="271" t="s">
        <v>205</v>
      </c>
      <c r="AG168" s="374">
        <f ca="1">Table2[[#This Row],[End Date]]+2-TODAY()</f>
        <v>-167</v>
      </c>
      <c r="AH168" s="339">
        <f>IF(ISBLANK(Table2[[#This Row],[Roster Received By]]),1,0)</f>
        <v>0</v>
      </c>
      <c r="AI168" s="348">
        <f ca="1">IF(Table2[[#This Row],[Start Date]]&gt;TODAY(),1,)</f>
        <v>0</v>
      </c>
    </row>
    <row r="169" spans="1:35" s="270" customFormat="1" x14ac:dyDescent="0.25">
      <c r="A169" s="272"/>
      <c r="B169" s="271" t="s">
        <v>38</v>
      </c>
      <c r="C169" s="272" t="str">
        <f>VLOOKUP(Table2[[#This Row],[Course]],Data!$A$1:$E$56,2,FALSE)</f>
        <v>A-493-0072</v>
      </c>
      <c r="D169" s="272" t="str">
        <f>VLOOKUP(Table2[[#This Row],[Course]],Data!$A$1:$E$56,3,FALSE)</f>
        <v>713U</v>
      </c>
      <c r="E169" s="271" t="s">
        <v>157</v>
      </c>
      <c r="F169" s="327">
        <v>45363</v>
      </c>
      <c r="G169" s="327">
        <v>45366</v>
      </c>
      <c r="H169" s="350">
        <v>0.33333333333333331</v>
      </c>
      <c r="I169" s="350"/>
      <c r="J169" s="327"/>
      <c r="K169" s="327"/>
      <c r="L169" s="327"/>
      <c r="M169" s="327"/>
      <c r="N169" s="327"/>
      <c r="O169" s="271" t="s">
        <v>81</v>
      </c>
      <c r="P169" s="271" t="s">
        <v>198</v>
      </c>
      <c r="Q169" s="362" t="e">
        <v>#REF!</v>
      </c>
      <c r="R169" s="328" t="e">
        <v>#REF!</v>
      </c>
      <c r="S169" s="362"/>
      <c r="T169" s="363"/>
      <c r="U169" s="363"/>
      <c r="V169" s="275">
        <f>VLOOKUP(Table2[[#This Row],[Course]],Data!$A$1:$E$56,4,FALSE)</f>
        <v>30</v>
      </c>
      <c r="W169" s="275">
        <f>VLOOKUP(Table2[[#This Row],[Course]],Data!$A$1:$E$56,5,FALSE)</f>
        <v>4</v>
      </c>
      <c r="X169" s="275">
        <v>2</v>
      </c>
      <c r="Y169" s="275">
        <v>30</v>
      </c>
      <c r="Z169" s="275">
        <v>3</v>
      </c>
      <c r="AA169" s="342">
        <v>30</v>
      </c>
      <c r="AB169" s="276">
        <v>0</v>
      </c>
      <c r="AC169" s="275">
        <v>2</v>
      </c>
      <c r="AD169" s="275">
        <v>0</v>
      </c>
      <c r="AE169" s="275">
        <v>0</v>
      </c>
      <c r="AF169" s="271" t="s">
        <v>208</v>
      </c>
      <c r="AG169" s="277">
        <f ca="1">Table2[[#This Row],[End Date]]+2-TODAY()</f>
        <v>-164</v>
      </c>
      <c r="AH169" s="275">
        <f>IF(ISBLANK(Table2[[#This Row],[Roster Received By]]),1,0)</f>
        <v>0</v>
      </c>
      <c r="AI169" s="275">
        <f ca="1">IF(Table2[[#This Row],[Start Date]]&gt;TODAY(),1,)</f>
        <v>0</v>
      </c>
    </row>
    <row r="170" spans="1:35" s="270" customFormat="1" ht="15" customHeight="1" x14ac:dyDescent="0.25">
      <c r="B170" s="271" t="s">
        <v>38</v>
      </c>
      <c r="C170" s="272" t="str">
        <f>VLOOKUP(Table2[[#This Row],[Course]],Data!$A$1:$E$56,2,FALSE)</f>
        <v>A-493-0072</v>
      </c>
      <c r="D170" s="272" t="str">
        <f>VLOOKUP(Table2[[#This Row],[Course]],Data!$A$1:$E$56,3,FALSE)</f>
        <v>713U</v>
      </c>
      <c r="E170" s="271" t="s">
        <v>156</v>
      </c>
      <c r="F170" s="327">
        <v>45363</v>
      </c>
      <c r="G170" s="327">
        <v>45366</v>
      </c>
      <c r="H170" s="350">
        <v>0.33333333333333331</v>
      </c>
      <c r="I170" s="350"/>
      <c r="J170" s="327"/>
      <c r="K170" s="327"/>
      <c r="L170" s="327"/>
      <c r="M170" s="327"/>
      <c r="N170" s="327"/>
      <c r="O170" s="271" t="s">
        <v>84</v>
      </c>
      <c r="P170" s="271" t="s">
        <v>90</v>
      </c>
      <c r="Q170" s="328" t="e">
        <v>#REF!</v>
      </c>
      <c r="R170" s="328" t="e">
        <v>#REF!</v>
      </c>
      <c r="S170" s="367"/>
      <c r="T170" s="301"/>
      <c r="U170" s="299"/>
      <c r="V170" s="275">
        <f>VLOOKUP(Table2[[#This Row],[Course]],Data!$A$1:$E$56,4,FALSE)</f>
        <v>30</v>
      </c>
      <c r="W170" s="275">
        <f>VLOOKUP(Table2[[#This Row],[Course]],Data!$A$1:$E$56,5,FALSE)</f>
        <v>4</v>
      </c>
      <c r="X170" s="275">
        <v>17</v>
      </c>
      <c r="Y170" s="275">
        <v>17</v>
      </c>
      <c r="Z170" s="275">
        <v>0</v>
      </c>
      <c r="AA170" s="275">
        <v>13</v>
      </c>
      <c r="AB170" s="276">
        <v>0</v>
      </c>
      <c r="AC170" s="275">
        <v>4</v>
      </c>
      <c r="AD170" s="275">
        <v>0</v>
      </c>
      <c r="AE170" s="275">
        <v>0</v>
      </c>
      <c r="AF170" s="271" t="s">
        <v>208</v>
      </c>
      <c r="AG170" s="277">
        <f ca="1">Table2[[#This Row],[End Date]]+2-TODAY()</f>
        <v>-164</v>
      </c>
      <c r="AH170" s="275">
        <f>IF(ISBLANK(Table2[[#This Row],[Roster Received By]]),1,0)</f>
        <v>0</v>
      </c>
      <c r="AI170" s="275">
        <f ca="1">IF(Table2[[#This Row],[Start Date]]&gt;TODAY(),1,)</f>
        <v>0</v>
      </c>
    </row>
    <row r="171" spans="1:35" s="270" customFormat="1" x14ac:dyDescent="0.25">
      <c r="B171" s="271" t="s">
        <v>236</v>
      </c>
      <c r="C171" s="272" t="str">
        <f>VLOOKUP(Table2[[#This Row],[Course]],Data!$A$1:$E$56,2,FALSE)</f>
        <v>A-493-0103</v>
      </c>
      <c r="D171" s="272" t="str">
        <f>VLOOKUP(Table2[[#This Row],[Course]],Data!$A$1:$E$56,3,FALSE)</f>
        <v>12JY</v>
      </c>
      <c r="E171" s="271" t="s">
        <v>150</v>
      </c>
      <c r="F171" s="326">
        <v>45369</v>
      </c>
      <c r="G171" s="326">
        <v>45373</v>
      </c>
      <c r="H171" s="344">
        <v>0.33333333333333331</v>
      </c>
      <c r="I171" s="344"/>
      <c r="J171" s="327"/>
      <c r="K171" s="327"/>
      <c r="L171" s="327"/>
      <c r="M171" s="327"/>
      <c r="N171" s="327"/>
      <c r="O171" s="271" t="s">
        <v>94</v>
      </c>
      <c r="P171" s="271"/>
      <c r="Q171" s="331" t="e">
        <v>#REF!</v>
      </c>
      <c r="R171" s="331" t="e">
        <v>#REF!</v>
      </c>
      <c r="S171" s="332"/>
      <c r="V171" s="275">
        <f>VLOOKUP(Table2[[#This Row],[Course]],Data!$A$1:$E$56,4,FALSE)</f>
        <v>25</v>
      </c>
      <c r="W171" s="275">
        <f>VLOOKUP(Table2[[#This Row],[Course]],Data!$A$1:$E$56,5,FALSE)</f>
        <v>5</v>
      </c>
      <c r="X171" s="275">
        <v>49</v>
      </c>
      <c r="Y171" s="275">
        <v>23</v>
      </c>
      <c r="Z171" s="275">
        <v>0</v>
      </c>
      <c r="AA171" s="275">
        <v>14</v>
      </c>
      <c r="AB171" s="276">
        <v>0</v>
      </c>
      <c r="AC171" s="275">
        <v>8</v>
      </c>
      <c r="AD171" s="275">
        <v>0</v>
      </c>
      <c r="AE171" s="275">
        <v>0</v>
      </c>
      <c r="AF171" s="271" t="s">
        <v>189</v>
      </c>
      <c r="AG171" s="277">
        <f ca="1">Table2[[#This Row],[End Date]]+2-TODAY()</f>
        <v>-157</v>
      </c>
      <c r="AH171" s="275">
        <f>IF(ISBLANK(Table2[[#This Row],[Roster Received By]]),1,0)</f>
        <v>0</v>
      </c>
      <c r="AI171" s="275">
        <f ca="1">IF(Table2[[#This Row],[Start Date]]&gt;TODAY(),1,)</f>
        <v>0</v>
      </c>
    </row>
    <row r="172" spans="1:35" s="270" customFormat="1" x14ac:dyDescent="0.25">
      <c r="A172" s="347" t="s">
        <v>505</v>
      </c>
      <c r="B172" s="340" t="s">
        <v>17</v>
      </c>
      <c r="C172" s="348" t="str">
        <f>VLOOKUP(Table2[[#This Row],[Course]],Data!$A$1:$E$56,2,FALSE)</f>
        <v>A-493-0012</v>
      </c>
      <c r="D172" s="348">
        <f>VLOOKUP(Table2[[#This Row],[Course]],Data!$A$1:$E$56,3,FALSE)</f>
        <v>3682</v>
      </c>
      <c r="E172" s="340" t="s">
        <v>204</v>
      </c>
      <c r="F172" s="349">
        <v>45369</v>
      </c>
      <c r="G172" s="349">
        <v>45373</v>
      </c>
      <c r="H172" s="351">
        <v>800</v>
      </c>
      <c r="I172" s="351"/>
      <c r="J172" s="352"/>
      <c r="K172" s="352"/>
      <c r="L172" s="352"/>
      <c r="M172" s="352"/>
      <c r="N172" s="352"/>
      <c r="O172" s="340" t="s">
        <v>78</v>
      </c>
      <c r="P172" s="340"/>
      <c r="Q172" s="338"/>
      <c r="R172" s="353"/>
      <c r="S172" s="338"/>
      <c r="T172" s="347"/>
      <c r="U172" s="347"/>
      <c r="V172" s="338">
        <v>40</v>
      </c>
      <c r="W172" s="353">
        <v>5</v>
      </c>
      <c r="X172" s="353">
        <v>0</v>
      </c>
      <c r="Y172" s="353">
        <v>29</v>
      </c>
      <c r="Z172" s="353">
        <v>0</v>
      </c>
      <c r="AA172" s="338">
        <v>31</v>
      </c>
      <c r="AB172" s="338">
        <v>0</v>
      </c>
      <c r="AC172" s="339">
        <v>0</v>
      </c>
      <c r="AD172" s="339">
        <v>2</v>
      </c>
      <c r="AE172" s="339">
        <v>0</v>
      </c>
      <c r="AF172" s="340" t="s">
        <v>191</v>
      </c>
      <c r="AG172" s="341">
        <f ca="1">Table2[[#This Row],[End Date]]+2-TODAY()</f>
        <v>-157</v>
      </c>
      <c r="AH172" s="339">
        <f>IF(ISBLANK(Table2[[#This Row],[Roster Received By]]),1,0)</f>
        <v>0</v>
      </c>
      <c r="AI172" s="339">
        <f ca="1">IF(Table2[[#This Row],[Start Date]]&gt;TODAY(),1,)</f>
        <v>0</v>
      </c>
    </row>
    <row r="173" spans="1:35" s="270" customFormat="1" x14ac:dyDescent="0.25">
      <c r="B173" s="271" t="s">
        <v>17</v>
      </c>
      <c r="C173" s="272" t="str">
        <f>VLOOKUP(Table2[[#This Row],[Course]],Data!$A$1:$E$56,2,FALSE)</f>
        <v>A-493-0012</v>
      </c>
      <c r="D173" s="272">
        <f>VLOOKUP(Table2[[#This Row],[Course]],Data!$A$1:$E$56,3,FALSE)</f>
        <v>3682</v>
      </c>
      <c r="E173" s="271" t="s">
        <v>144</v>
      </c>
      <c r="F173" s="326">
        <v>45369</v>
      </c>
      <c r="G173" s="326">
        <v>45373</v>
      </c>
      <c r="H173" s="344">
        <v>0.33333333333333331</v>
      </c>
      <c r="I173" s="344"/>
      <c r="J173" s="327"/>
      <c r="K173" s="327"/>
      <c r="L173" s="327"/>
      <c r="M173" s="327"/>
      <c r="N173" s="327"/>
      <c r="O173" s="271" t="s">
        <v>78</v>
      </c>
      <c r="P173" s="271"/>
      <c r="Q173" s="276" t="e">
        <v>#REF!</v>
      </c>
      <c r="R173" s="331" t="e">
        <v>#REF!</v>
      </c>
      <c r="S173" s="276"/>
      <c r="V173" s="275">
        <f>VLOOKUP(Table2[[#This Row],[Course]],Data!$A$1:$E$56,4,FALSE)</f>
        <v>40</v>
      </c>
      <c r="W173" s="275">
        <f>VLOOKUP(Table2[[#This Row],[Course]],Data!$A$1:$E$56,5,FALSE)</f>
        <v>5</v>
      </c>
      <c r="X173" s="275">
        <v>15</v>
      </c>
      <c r="Y173" s="275">
        <v>25</v>
      </c>
      <c r="Z173" s="275">
        <v>0</v>
      </c>
      <c r="AA173" s="275">
        <v>24</v>
      </c>
      <c r="AB173" s="276">
        <v>0</v>
      </c>
      <c r="AC173" s="275">
        <v>2</v>
      </c>
      <c r="AD173" s="275">
        <v>1</v>
      </c>
      <c r="AE173" s="275">
        <v>0</v>
      </c>
      <c r="AF173" s="271" t="s">
        <v>191</v>
      </c>
      <c r="AG173" s="277">
        <f ca="1">Table2[[#This Row],[End Date]]+2-TODAY()</f>
        <v>-157</v>
      </c>
      <c r="AH173" s="275">
        <f>IF(ISBLANK(Table2[[#This Row],[Roster Received By]]),1,0)</f>
        <v>0</v>
      </c>
      <c r="AI173" s="275">
        <f ca="1">IF(Table2[[#This Row],[Start Date]]&gt;TODAY(),1,)</f>
        <v>0</v>
      </c>
    </row>
    <row r="174" spans="1:35" s="270" customFormat="1" x14ac:dyDescent="0.25">
      <c r="B174" s="325" t="s">
        <v>25</v>
      </c>
      <c r="C174" s="272" t="str">
        <f>VLOOKUP(Table2[[#This Row],[Course]],Data!$A$1:$E$56,2,FALSE)</f>
        <v>A-493-2300</v>
      </c>
      <c r="D174" s="272" t="str">
        <f>VLOOKUP(Table2[[#This Row],[Course]],Data!$A$1:$E$56,3,FALSE)</f>
        <v>993F</v>
      </c>
      <c r="E174" s="371" t="s">
        <v>116</v>
      </c>
      <c r="F174" s="326">
        <v>45369</v>
      </c>
      <c r="G174" s="326">
        <v>45370</v>
      </c>
      <c r="H174" s="344"/>
      <c r="I174" s="274">
        <v>0.33333333333333331</v>
      </c>
      <c r="J174" s="274">
        <v>0.20833333333333334</v>
      </c>
      <c r="K174" s="274">
        <v>0.66666666666666663</v>
      </c>
      <c r="L174" s="274">
        <v>0.58333333333333337</v>
      </c>
      <c r="M174" s="274">
        <v>0.125</v>
      </c>
      <c r="N174" s="274">
        <v>0.91666666666666663</v>
      </c>
      <c r="O174" s="271" t="s">
        <v>78</v>
      </c>
      <c r="P174" s="271"/>
      <c r="Q174" s="298" t="e">
        <v>#REF!</v>
      </c>
      <c r="R174" s="328" t="e">
        <v>#REF!</v>
      </c>
      <c r="S174" s="298"/>
      <c r="T174" s="301"/>
      <c r="U174" s="301"/>
      <c r="V174" s="275">
        <f>VLOOKUP(Table2[[#This Row],[Course]],Data!$A$1:$E$56,4,FALSE)</f>
        <v>30</v>
      </c>
      <c r="W174" s="275">
        <f>VLOOKUP(Table2[[#This Row],[Course]],Data!$A$1:$E$56,5,FALSE)</f>
        <v>2</v>
      </c>
      <c r="X174" s="275">
        <v>0</v>
      </c>
      <c r="Y174" s="275">
        <v>29</v>
      </c>
      <c r="Z174" s="275">
        <v>0</v>
      </c>
      <c r="AA174" s="275">
        <v>35</v>
      </c>
      <c r="AB174" s="276">
        <v>0</v>
      </c>
      <c r="AC174" s="275">
        <v>6</v>
      </c>
      <c r="AD174" s="275">
        <v>11</v>
      </c>
      <c r="AE174" s="275">
        <v>5</v>
      </c>
      <c r="AF174" s="271" t="s">
        <v>191</v>
      </c>
      <c r="AG174" s="277">
        <f ca="1">Table2[[#This Row],[End Date]]+2-TODAY()</f>
        <v>-160</v>
      </c>
      <c r="AH174" s="275">
        <f>IF(ISBLANK(Table2[[#This Row],[Roster Received By]]),1,0)</f>
        <v>0</v>
      </c>
      <c r="AI174" s="275">
        <f ca="1">IF(Table2[[#This Row],[Start Date]]&gt;TODAY(),1,)</f>
        <v>0</v>
      </c>
    </row>
    <row r="175" spans="1:35" s="270" customFormat="1" x14ac:dyDescent="0.25">
      <c r="A175" s="271" t="s">
        <v>506</v>
      </c>
      <c r="B175" s="325" t="s">
        <v>28</v>
      </c>
      <c r="C175" s="272" t="str">
        <f>VLOOKUP(Table2[[#This Row],[Course]],Data!$A$1:$E$56,2,FALSE)</f>
        <v>A-493-0092</v>
      </c>
      <c r="D175" s="272">
        <f>VLOOKUP(Table2[[#This Row],[Course]],Data!$A$1:$E$56,3,FALSE)</f>
        <v>5891</v>
      </c>
      <c r="E175" s="346" t="s">
        <v>155</v>
      </c>
      <c r="F175" s="273">
        <v>45369</v>
      </c>
      <c r="G175" s="273">
        <v>45371</v>
      </c>
      <c r="H175" s="344">
        <v>0.33333333333333331</v>
      </c>
      <c r="I175" s="344"/>
      <c r="J175" s="327"/>
      <c r="K175" s="327"/>
      <c r="L175" s="327"/>
      <c r="M175" s="327"/>
      <c r="N175" s="327"/>
      <c r="O175" s="271" t="s">
        <v>81</v>
      </c>
      <c r="P175" s="271" t="s">
        <v>198</v>
      </c>
      <c r="Q175" s="331" t="e">
        <v>#REF!</v>
      </c>
      <c r="R175" s="331" t="e">
        <v>#REF!</v>
      </c>
      <c r="S175" s="332"/>
      <c r="V175" s="275">
        <f>VLOOKUP(Table2[[#This Row],[Course]],Data!$A$1:$E$56,4,FALSE)</f>
        <v>25</v>
      </c>
      <c r="W175" s="275">
        <f>VLOOKUP(Table2[[#This Row],[Course]],Data!$A$1:$E$56,5,FALSE)</f>
        <v>3</v>
      </c>
      <c r="X175" s="275">
        <v>77</v>
      </c>
      <c r="Y175" s="275">
        <v>14</v>
      </c>
      <c r="Z175" s="275">
        <v>0</v>
      </c>
      <c r="AA175" s="275">
        <v>12</v>
      </c>
      <c r="AB175" s="276">
        <v>0</v>
      </c>
      <c r="AC175" s="275">
        <v>2</v>
      </c>
      <c r="AD175" s="275">
        <v>0</v>
      </c>
      <c r="AE175" s="275">
        <v>0</v>
      </c>
      <c r="AF175" s="271" t="s">
        <v>213</v>
      </c>
      <c r="AG175" s="277">
        <f ca="1">Table2[[#This Row],[End Date]]+2-TODAY()</f>
        <v>-159</v>
      </c>
      <c r="AH175" s="275">
        <f>IF(ISBLANK(Table2[[#This Row],[Roster Received By]]),1,0)</f>
        <v>0</v>
      </c>
      <c r="AI175" s="275">
        <f ca="1">IF(Table2[[#This Row],[Start Date]]&gt;TODAY(),1,)</f>
        <v>0</v>
      </c>
    </row>
    <row r="176" spans="1:35" s="270" customFormat="1" x14ac:dyDescent="0.25">
      <c r="B176" s="271" t="s">
        <v>303</v>
      </c>
      <c r="C176" s="272" t="str">
        <f>VLOOKUP(Table2[[#This Row],[Course]],Data!$A$1:$E$56,2,FALSE)</f>
        <v>A-570-0100</v>
      </c>
      <c r="D176" s="272" t="str">
        <f>VLOOKUP(Table2[[#This Row],[Course]],Data!$A$1:$E$56,3,FALSE)</f>
        <v>18B7</v>
      </c>
      <c r="E176" s="325" t="s">
        <v>116</v>
      </c>
      <c r="F176" s="326">
        <v>45369</v>
      </c>
      <c r="G176" s="326">
        <v>45372</v>
      </c>
      <c r="H176" s="327"/>
      <c r="I176" s="274">
        <v>0.54166666666666663</v>
      </c>
      <c r="J176" s="274">
        <v>0.41666666666666669</v>
      </c>
      <c r="K176" s="274">
        <v>0.83333333333333337</v>
      </c>
      <c r="L176" s="274">
        <v>0.75</v>
      </c>
      <c r="M176" s="274">
        <v>0.29166666666666669</v>
      </c>
      <c r="N176" s="274">
        <v>8.3333333333333329E-2</v>
      </c>
      <c r="O176" s="271" t="s">
        <v>89</v>
      </c>
      <c r="P176" s="271"/>
      <c r="Q176" s="298" t="e">
        <v>#REF!</v>
      </c>
      <c r="R176" s="328" t="e">
        <v>#REF!</v>
      </c>
      <c r="S176" s="298"/>
      <c r="T176" s="301"/>
      <c r="U176" s="301"/>
      <c r="V176" s="275">
        <f>VLOOKUP(Table2[[#This Row],[Course]],Data!$A$1:$E$56,4,FALSE)</f>
        <v>30</v>
      </c>
      <c r="W176" s="275">
        <f>VLOOKUP(Table2[[#This Row],[Course]],Data!$A$1:$E$56,5,FALSE)</f>
        <v>4</v>
      </c>
      <c r="X176" s="275">
        <v>459</v>
      </c>
      <c r="Y176" s="275">
        <v>30</v>
      </c>
      <c r="Z176" s="275">
        <v>3</v>
      </c>
      <c r="AA176" s="275">
        <v>26</v>
      </c>
      <c r="AB176" s="276">
        <v>0</v>
      </c>
      <c r="AC176" s="275">
        <v>7</v>
      </c>
      <c r="AD176" s="275">
        <v>0</v>
      </c>
      <c r="AE176" s="275">
        <v>0</v>
      </c>
      <c r="AF176" s="271" t="s">
        <v>208</v>
      </c>
      <c r="AG176" s="277">
        <f ca="1">Table2[[#This Row],[End Date]]+2-TODAY()</f>
        <v>-158</v>
      </c>
      <c r="AH176" s="275">
        <f>IF(ISBLANK(Table2[[#This Row],[Roster Received By]]),1,0)</f>
        <v>0</v>
      </c>
      <c r="AI176" s="275">
        <f ca="1">IF(Table2[[#This Row],[Start Date]]&gt;TODAY(),1,)</f>
        <v>0</v>
      </c>
    </row>
    <row r="177" spans="1:35" s="270" customFormat="1" x14ac:dyDescent="0.25">
      <c r="B177" s="325" t="s">
        <v>288</v>
      </c>
      <c r="C177" s="272" t="str">
        <f>VLOOKUP(Table2[[#This Row],[Course]],Data!$A$1:$E$56,2,FALSE)</f>
        <v>A-493-0073</v>
      </c>
      <c r="D177" s="272" t="str">
        <f>VLOOKUP(Table2[[#This Row],[Course]],Data!$A$1:$E$56,3,FALSE)</f>
        <v>714S</v>
      </c>
      <c r="E177" s="325" t="s">
        <v>116</v>
      </c>
      <c r="F177" s="326">
        <v>45370</v>
      </c>
      <c r="G177" s="326">
        <v>45373</v>
      </c>
      <c r="H177" s="327"/>
      <c r="I177" s="274">
        <v>0.33333333333333331</v>
      </c>
      <c r="J177" s="274">
        <v>0.20833333333333334</v>
      </c>
      <c r="K177" s="274">
        <v>0.625</v>
      </c>
      <c r="L177" s="274">
        <v>0.54166666666666663</v>
      </c>
      <c r="M177" s="274">
        <v>8.3333333333333329E-2</v>
      </c>
      <c r="N177" s="274">
        <v>0.875</v>
      </c>
      <c r="O177" s="271" t="s">
        <v>94</v>
      </c>
      <c r="P177" s="271"/>
      <c r="Q177" s="276" t="e">
        <v>#REF!</v>
      </c>
      <c r="R177" s="276" t="e">
        <v>#REF!</v>
      </c>
      <c r="S177" s="332"/>
      <c r="V177" s="275">
        <f>VLOOKUP(Table2[[#This Row],[Course]],Data!$A$1:$E$56,4,FALSE)</f>
        <v>30</v>
      </c>
      <c r="W177" s="275">
        <f>VLOOKUP(Table2[[#This Row],[Course]],Data!$A$1:$E$56,5,FALSE)</f>
        <v>4</v>
      </c>
      <c r="X177" s="275">
        <v>361</v>
      </c>
      <c r="Y177" s="275">
        <v>26</v>
      </c>
      <c r="Z177" s="275">
        <v>0</v>
      </c>
      <c r="AA177" s="275">
        <v>19</v>
      </c>
      <c r="AB177" s="276">
        <v>0</v>
      </c>
      <c r="AC177" s="275">
        <v>7</v>
      </c>
      <c r="AD177" s="275">
        <v>0</v>
      </c>
      <c r="AE177" s="272">
        <v>1</v>
      </c>
      <c r="AF177" s="271" t="s">
        <v>189</v>
      </c>
      <c r="AG177" s="277">
        <f ca="1">Table2[[#This Row],[End Date]]+2-TODAY()</f>
        <v>-157</v>
      </c>
      <c r="AH177" s="275">
        <f>IF(ISBLANK(Table2[[#This Row],[Roster Received By]]),1,0)</f>
        <v>0</v>
      </c>
      <c r="AI177" s="275">
        <f ca="1">IF(Table2[[#This Row],[Start Date]]&gt;TODAY(),1,)</f>
        <v>0</v>
      </c>
    </row>
    <row r="178" spans="1:35" s="270" customFormat="1" x14ac:dyDescent="0.25">
      <c r="A178" s="347"/>
      <c r="B178" s="361" t="s">
        <v>27</v>
      </c>
      <c r="C178" s="348" t="str">
        <f>VLOOKUP(Table2[[#This Row],[Course]],Data!$A$1:$E$56,2,FALSE)</f>
        <v>A-493-0216</v>
      </c>
      <c r="D178" s="348" t="str">
        <f>VLOOKUP(Table2[[#This Row],[Course]],Data!$A$1:$E$56,3,FALSE)</f>
        <v>12X8</v>
      </c>
      <c r="E178" s="361" t="s">
        <v>116</v>
      </c>
      <c r="F178" s="375">
        <v>45371</v>
      </c>
      <c r="G178" s="375">
        <v>45371</v>
      </c>
      <c r="H178" s="351"/>
      <c r="I178" s="274">
        <v>0.33333333333333331</v>
      </c>
      <c r="J178" s="274">
        <v>0.20833333333333334</v>
      </c>
      <c r="K178" s="274">
        <v>0.625</v>
      </c>
      <c r="L178" s="274">
        <v>0.54166666666666663</v>
      </c>
      <c r="M178" s="274">
        <v>8.3333333333333329E-2</v>
      </c>
      <c r="N178" s="274">
        <v>0.875</v>
      </c>
      <c r="O178" s="340" t="s">
        <v>78</v>
      </c>
      <c r="P178" s="340"/>
      <c r="Q178" s="303"/>
      <c r="R178" s="297"/>
      <c r="S178" s="303"/>
      <c r="T178" s="314"/>
      <c r="U178" s="314"/>
      <c r="V178" s="338">
        <v>30</v>
      </c>
      <c r="W178" s="353">
        <v>1</v>
      </c>
      <c r="X178" s="353">
        <v>0</v>
      </c>
      <c r="Y178" s="353">
        <v>29</v>
      </c>
      <c r="Z178" s="353">
        <v>0</v>
      </c>
      <c r="AA178" s="338">
        <v>33</v>
      </c>
      <c r="AB178" s="338">
        <v>0</v>
      </c>
      <c r="AC178" s="339">
        <v>5</v>
      </c>
      <c r="AD178" s="339">
        <v>9</v>
      </c>
      <c r="AE178" s="348">
        <v>5</v>
      </c>
      <c r="AF178" s="340" t="s">
        <v>191</v>
      </c>
      <c r="AG178" s="341">
        <f ca="1">Table2[[#This Row],[End Date]]+2-TODAY()</f>
        <v>-159</v>
      </c>
      <c r="AH178" s="339">
        <f>IF(ISBLANK(Table2[[#This Row],[Roster Received By]]),1,0)</f>
        <v>0</v>
      </c>
      <c r="AI178" s="339">
        <f ca="1">IF(Table2[[#This Row],[Start Date]]&gt;TODAY(),1,)</f>
        <v>0</v>
      </c>
    </row>
    <row r="179" spans="1:35" s="270" customFormat="1" x14ac:dyDescent="0.25">
      <c r="A179" s="270" t="s">
        <v>507</v>
      </c>
      <c r="B179" s="271" t="s">
        <v>24</v>
      </c>
      <c r="C179" s="272" t="str">
        <f>VLOOKUP(Table2[[#This Row],[Course]],Data!$A$1:$E$56,2,FALSE)</f>
        <v>A-493-0083</v>
      </c>
      <c r="D179" s="272" t="str">
        <f>VLOOKUP(Table2[[#This Row],[Course]],Data!$A$1:$E$56,3,FALSE)</f>
        <v>339E</v>
      </c>
      <c r="E179" s="372" t="s">
        <v>116</v>
      </c>
      <c r="F179" s="334">
        <v>45372</v>
      </c>
      <c r="G179" s="334">
        <v>45372</v>
      </c>
      <c r="H179" s="274"/>
      <c r="I179" s="274">
        <v>300.125</v>
      </c>
      <c r="J179" s="274">
        <v>0.95833333333333337</v>
      </c>
      <c r="K179" s="274">
        <v>0.375</v>
      </c>
      <c r="L179" s="274">
        <v>0.33333333333333331</v>
      </c>
      <c r="M179" s="274">
        <v>0.83333333333333337</v>
      </c>
      <c r="N179" s="274">
        <v>0.625</v>
      </c>
      <c r="O179" s="271" t="s">
        <v>78</v>
      </c>
      <c r="P179" s="271"/>
      <c r="Q179" s="276" t="e">
        <v>#REF!</v>
      </c>
      <c r="R179" s="331" t="e">
        <v>#REF!</v>
      </c>
      <c r="S179" s="276"/>
      <c r="V179" s="275">
        <f>VLOOKUP(Table2[[#This Row],[Course]],Data!$A$1:$E$56,4,FALSE)</f>
        <v>30</v>
      </c>
      <c r="W179" s="275">
        <f>VLOOKUP(Table2[[#This Row],[Course]],Data!$A$1:$E$56,5,FALSE)</f>
        <v>1</v>
      </c>
      <c r="X179" s="275">
        <v>0</v>
      </c>
      <c r="Y179" s="275">
        <v>30</v>
      </c>
      <c r="Z179" s="275">
        <v>5</v>
      </c>
      <c r="AA179" s="275">
        <v>23</v>
      </c>
      <c r="AB179" s="276">
        <v>0</v>
      </c>
      <c r="AC179" s="275">
        <v>7</v>
      </c>
      <c r="AD179" s="275">
        <v>0</v>
      </c>
      <c r="AE179" s="275">
        <v>8</v>
      </c>
      <c r="AF179" s="271" t="s">
        <v>191</v>
      </c>
      <c r="AG179" s="277">
        <f ca="1">Table2[[#This Row],[End Date]]+2-TODAY()</f>
        <v>-158</v>
      </c>
      <c r="AH179" s="275">
        <f>IF(ISBLANK(Table2[[#This Row],[Roster Received By]]),1,0)</f>
        <v>0</v>
      </c>
      <c r="AI179" s="275">
        <f ca="1">IF(Table2[[#This Row],[Start Date]]&gt;TODAY(),1,)</f>
        <v>0</v>
      </c>
    </row>
    <row r="180" spans="1:35" s="270" customFormat="1" x14ac:dyDescent="0.25">
      <c r="B180" s="271" t="s">
        <v>236</v>
      </c>
      <c r="C180" s="272" t="str">
        <f>VLOOKUP(Table2[[#This Row],[Course]],Data!$A$1:$E$56,2,FALSE)</f>
        <v>A-493-0103</v>
      </c>
      <c r="D180" s="272" t="str">
        <f>VLOOKUP(Table2[[#This Row],[Course]],Data!$A$1:$E$56,3,FALSE)</f>
        <v>12JY</v>
      </c>
      <c r="E180" s="376" t="s">
        <v>131</v>
      </c>
      <c r="F180" s="330">
        <v>45376</v>
      </c>
      <c r="G180" s="330">
        <v>45380</v>
      </c>
      <c r="H180" s="344">
        <v>0.33333333333333331</v>
      </c>
      <c r="I180" s="344"/>
      <c r="J180" s="327"/>
      <c r="K180" s="327"/>
      <c r="L180" s="327"/>
      <c r="M180" s="327"/>
      <c r="N180" s="327"/>
      <c r="O180" s="271" t="s">
        <v>94</v>
      </c>
      <c r="P180" s="271"/>
      <c r="Q180" s="328" t="e">
        <v>#REF!</v>
      </c>
      <c r="R180" s="328" t="e">
        <v>#REF!</v>
      </c>
      <c r="S180" s="357"/>
      <c r="T180" s="301"/>
      <c r="U180" s="301"/>
      <c r="V180" s="275">
        <f>VLOOKUP(Table2[[#This Row],[Course]],Data!$A$1:$E$56,4,FALSE)</f>
        <v>25</v>
      </c>
      <c r="W180" s="275">
        <f>VLOOKUP(Table2[[#This Row],[Course]],Data!$A$1:$E$56,5,FALSE)</f>
        <v>5</v>
      </c>
      <c r="X180" s="275">
        <v>64</v>
      </c>
      <c r="Y180" s="275">
        <v>20</v>
      </c>
      <c r="Z180" s="275">
        <v>0</v>
      </c>
      <c r="AA180" s="275">
        <v>12</v>
      </c>
      <c r="AB180" s="276">
        <v>0</v>
      </c>
      <c r="AC180" s="275">
        <v>8</v>
      </c>
      <c r="AD180" s="275">
        <v>0</v>
      </c>
      <c r="AE180" s="275">
        <v>0</v>
      </c>
      <c r="AF180" s="271" t="s">
        <v>189</v>
      </c>
      <c r="AG180" s="277">
        <f ca="1">Table2[[#This Row],[End Date]]+2-TODAY()</f>
        <v>-150</v>
      </c>
      <c r="AH180" s="275">
        <f>IF(ISBLANK(Table2[[#This Row],[Roster Received By]]),1,0)</f>
        <v>0</v>
      </c>
      <c r="AI180" s="275">
        <f ca="1">IF(Table2[[#This Row],[Start Date]]&gt;TODAY(),1,)</f>
        <v>0</v>
      </c>
    </row>
    <row r="181" spans="1:35" s="270" customFormat="1" x14ac:dyDescent="0.25">
      <c r="B181" s="271" t="s">
        <v>243</v>
      </c>
      <c r="C181" s="272" t="str">
        <f>VLOOKUP(Table2[[#This Row],[Course]],Data!$A$1:$E$56,2,FALSE)</f>
        <v>A-493-0061</v>
      </c>
      <c r="D181" s="272" t="str">
        <f>VLOOKUP(Table2[[#This Row],[Course]],Data!$A$1:$E$56,3,FALSE)</f>
        <v>288E</v>
      </c>
      <c r="E181" s="271" t="s">
        <v>116</v>
      </c>
      <c r="F181" s="330">
        <v>45376</v>
      </c>
      <c r="G181" s="330">
        <v>45380</v>
      </c>
      <c r="H181" s="327"/>
      <c r="I181" s="274">
        <v>0.54166666666666663</v>
      </c>
      <c r="J181" s="274">
        <v>0.41666666666666669</v>
      </c>
      <c r="K181" s="274">
        <v>0.83333333333333337</v>
      </c>
      <c r="L181" s="274">
        <v>0.75</v>
      </c>
      <c r="M181" s="274">
        <v>0.29166666666666669</v>
      </c>
      <c r="N181" s="274">
        <v>8.3333333333333329E-2</v>
      </c>
      <c r="O181" s="271" t="s">
        <v>92</v>
      </c>
      <c r="P181" s="271"/>
      <c r="Q181" s="331" t="e">
        <v>#REF!</v>
      </c>
      <c r="R181" s="331" t="e">
        <v>#REF!</v>
      </c>
      <c r="S181" s="332"/>
      <c r="V181" s="275">
        <f>VLOOKUP(Table2[[#This Row],[Course]],Data!$A$1:$E$56,4,FALSE)</f>
        <v>45</v>
      </c>
      <c r="W181" s="275">
        <f>VLOOKUP(Table2[[#This Row],[Course]],Data!$A$1:$E$56,5,FALSE)</f>
        <v>5</v>
      </c>
      <c r="X181" s="275">
        <v>583</v>
      </c>
      <c r="Y181" s="275">
        <v>21</v>
      </c>
      <c r="Z181" s="275">
        <v>0</v>
      </c>
      <c r="AA181" s="275">
        <v>20</v>
      </c>
      <c r="AB181" s="276">
        <v>0</v>
      </c>
      <c r="AC181" s="275">
        <v>1</v>
      </c>
      <c r="AD181" s="275">
        <v>1</v>
      </c>
      <c r="AE181" s="275">
        <v>0</v>
      </c>
      <c r="AF181" s="271" t="s">
        <v>189</v>
      </c>
      <c r="AG181" s="277">
        <f ca="1">Table2[[#This Row],[End Date]]+2-TODAY()</f>
        <v>-150</v>
      </c>
      <c r="AH181" s="275">
        <f>IF(ISBLANK(Table2[[#This Row],[Roster Received By]]),1,0)</f>
        <v>0</v>
      </c>
      <c r="AI181" s="275">
        <f ca="1">IF(Table2[[#This Row],[Start Date]]&gt;TODAY(),1,)</f>
        <v>0</v>
      </c>
    </row>
    <row r="182" spans="1:35" s="270" customFormat="1" x14ac:dyDescent="0.25">
      <c r="B182" s="271" t="s">
        <v>249</v>
      </c>
      <c r="C182" s="272" t="str">
        <f>VLOOKUP(Table2[[#This Row],[Course]],Data!$A$1:$E$56,2,FALSE)</f>
        <v>A-322-2604</v>
      </c>
      <c r="D182" s="272" t="str">
        <f>VLOOKUP(Table2[[#This Row],[Course]],Data!$A$1:$E$56,3,FALSE)</f>
        <v>10ZZ</v>
      </c>
      <c r="E182" s="271" t="s">
        <v>116</v>
      </c>
      <c r="F182" s="326">
        <v>45376</v>
      </c>
      <c r="G182" s="326">
        <v>45380</v>
      </c>
      <c r="H182" s="327"/>
      <c r="I182" s="274">
        <v>0.33333333333333331</v>
      </c>
      <c r="J182" s="274">
        <v>0.20833333333333334</v>
      </c>
      <c r="K182" s="274">
        <v>0.625</v>
      </c>
      <c r="L182" s="274">
        <v>0.54166666666666663</v>
      </c>
      <c r="M182" s="274">
        <v>8.3333333333333329E-2</v>
      </c>
      <c r="N182" s="274">
        <v>0.875</v>
      </c>
      <c r="O182" s="271" t="s">
        <v>83</v>
      </c>
      <c r="P182" s="271"/>
      <c r="Q182" s="298" t="e">
        <v>#REF!</v>
      </c>
      <c r="R182" s="328" t="e">
        <v>#REF!</v>
      </c>
      <c r="S182" s="298"/>
      <c r="T182" s="301"/>
      <c r="U182" s="301"/>
      <c r="V182" s="275">
        <f>VLOOKUP(Table2[[#This Row],[Course]],Data!$A$1:$E$56,4,FALSE)</f>
        <v>45</v>
      </c>
      <c r="W182" s="275">
        <f>VLOOKUP(Table2[[#This Row],[Course]],Data!$A$1:$E$56,5,FALSE)</f>
        <v>5</v>
      </c>
      <c r="X182" s="275">
        <v>403</v>
      </c>
      <c r="Y182" s="275">
        <v>45</v>
      </c>
      <c r="Z182" s="275">
        <v>3</v>
      </c>
      <c r="AA182" s="275">
        <v>42</v>
      </c>
      <c r="AB182" s="276">
        <v>2</v>
      </c>
      <c r="AC182" s="275">
        <v>6</v>
      </c>
      <c r="AD182" s="275">
        <v>2</v>
      </c>
      <c r="AE182" s="275">
        <v>0</v>
      </c>
      <c r="AF182" s="271" t="s">
        <v>208</v>
      </c>
      <c r="AG182" s="277">
        <f ca="1">Table2[[#This Row],[End Date]]+2-TODAY()</f>
        <v>-150</v>
      </c>
      <c r="AH182" s="275">
        <f>IF(ISBLANK(Table2[[#This Row],[Roster Received By]]),1,0)</f>
        <v>0</v>
      </c>
      <c r="AI182" s="275">
        <f ca="1">IF(Table2[[#This Row],[Start Date]]&gt;TODAY(),1,)</f>
        <v>0</v>
      </c>
    </row>
    <row r="183" spans="1:35" s="270" customFormat="1" x14ac:dyDescent="0.25">
      <c r="B183" s="325" t="s">
        <v>274</v>
      </c>
      <c r="C183" s="272" t="str">
        <f>VLOOKUP(Table2[[#This Row],[Course]],Data!$A$1:$E$56,2,FALSE)</f>
        <v>A-493-0335</v>
      </c>
      <c r="D183" s="272" t="str">
        <f>VLOOKUP(Table2[[#This Row],[Course]],Data!$A$1:$E$56,3,FALSE)</f>
        <v>09ND</v>
      </c>
      <c r="E183" s="271" t="s">
        <v>116</v>
      </c>
      <c r="F183" s="330">
        <v>45376</v>
      </c>
      <c r="G183" s="330">
        <v>45379</v>
      </c>
      <c r="H183" s="327"/>
      <c r="I183" s="274">
        <v>0.79166666666666663</v>
      </c>
      <c r="J183" s="274">
        <v>0.66666666666666663</v>
      </c>
      <c r="K183" s="274">
        <v>0.125</v>
      </c>
      <c r="L183" s="274">
        <v>4.1666666666666664E-2</v>
      </c>
      <c r="M183" s="274">
        <v>0.58333333333333337</v>
      </c>
      <c r="N183" s="274">
        <v>0.375</v>
      </c>
      <c r="O183" s="271" t="s">
        <v>187</v>
      </c>
      <c r="P183" s="271" t="s">
        <v>84</v>
      </c>
      <c r="Q183" s="328" t="e">
        <v>#REF!</v>
      </c>
      <c r="R183" s="328" t="e">
        <v>#REF!</v>
      </c>
      <c r="S183" s="328"/>
      <c r="T183" s="301"/>
      <c r="U183" s="301"/>
      <c r="V183" s="275">
        <f>VLOOKUP(Table2[[#This Row],[Course]],Data!$A$1:$E$56,4,FALSE)</f>
        <v>30</v>
      </c>
      <c r="W183" s="275">
        <f>VLOOKUP(Table2[[#This Row],[Course]],Data!$A$1:$E$56,5,FALSE)</f>
        <v>4</v>
      </c>
      <c r="X183" s="275">
        <v>77</v>
      </c>
      <c r="Y183" s="275">
        <v>30</v>
      </c>
      <c r="Z183" s="275">
        <v>2</v>
      </c>
      <c r="AA183" s="275">
        <v>26</v>
      </c>
      <c r="AB183" s="276">
        <v>0</v>
      </c>
      <c r="AC183" s="275">
        <v>4</v>
      </c>
      <c r="AD183" s="275">
        <v>0</v>
      </c>
      <c r="AE183" s="275">
        <v>0</v>
      </c>
      <c r="AF183" s="271" t="s">
        <v>208</v>
      </c>
      <c r="AG183" s="277">
        <f ca="1">Table2[[#This Row],[End Date]]+2-TODAY()</f>
        <v>-151</v>
      </c>
      <c r="AH183" s="275">
        <f>IF(ISBLANK(Table2[[#This Row],[Roster Received By]]),1,0)</f>
        <v>0</v>
      </c>
      <c r="AI183" s="275">
        <f ca="1">IF(Table2[[#This Row],[Start Date]]&gt;TODAY(),1,)</f>
        <v>0</v>
      </c>
    </row>
    <row r="184" spans="1:35" s="270" customFormat="1" x14ac:dyDescent="0.25">
      <c r="B184" s="325" t="s">
        <v>281</v>
      </c>
      <c r="C184" s="272" t="str">
        <f>VLOOKUP(Table2[[#This Row],[Course]],Data!$A$1:$E$56,2,FALSE)</f>
        <v>A-493-0550</v>
      </c>
      <c r="D184" s="272" t="str">
        <f>VLOOKUP(Table2[[#This Row],[Course]],Data!$A$1:$E$56,3,FALSE)</f>
        <v>09K5</v>
      </c>
      <c r="E184" s="271" t="s">
        <v>116</v>
      </c>
      <c r="F184" s="330">
        <v>45376</v>
      </c>
      <c r="G184" s="330">
        <v>45380</v>
      </c>
      <c r="H184" s="327"/>
      <c r="I184" s="274">
        <v>0.41666666666666669</v>
      </c>
      <c r="J184" s="274">
        <v>0.29166666666666669</v>
      </c>
      <c r="K184" s="274">
        <v>0.70833333333333337</v>
      </c>
      <c r="L184" s="274">
        <v>0.625</v>
      </c>
      <c r="M184" s="274">
        <v>0.16666666666666666</v>
      </c>
      <c r="N184" s="274">
        <v>0.95833333333333337</v>
      </c>
      <c r="O184" s="271" t="s">
        <v>85</v>
      </c>
      <c r="P184" s="271"/>
      <c r="Q184" s="328" t="e">
        <v>#REF!</v>
      </c>
      <c r="R184" s="328" t="e">
        <v>#REF!</v>
      </c>
      <c r="S184" s="357"/>
      <c r="T184" s="301"/>
      <c r="U184" s="301"/>
      <c r="V184" s="275">
        <f>VLOOKUP(Table2[[#This Row],[Course]],Data!$A$1:$E$56,4,FALSE)</f>
        <v>45</v>
      </c>
      <c r="W184" s="275">
        <f>VLOOKUP(Table2[[#This Row],[Course]],Data!$A$1:$E$56,5,FALSE)</f>
        <v>4</v>
      </c>
      <c r="X184" s="275">
        <v>429</v>
      </c>
      <c r="Y184" s="275">
        <v>45</v>
      </c>
      <c r="Z184" s="275">
        <v>3</v>
      </c>
      <c r="AA184" s="275">
        <v>40</v>
      </c>
      <c r="AB184" s="276">
        <v>0</v>
      </c>
      <c r="AC184" s="275">
        <v>7</v>
      </c>
      <c r="AD184" s="275">
        <v>3</v>
      </c>
      <c r="AE184" s="275">
        <v>0</v>
      </c>
      <c r="AF184" s="271" t="s">
        <v>213</v>
      </c>
      <c r="AG184" s="277">
        <f ca="1">Table2[[#This Row],[End Date]]+2-TODAY()</f>
        <v>-150</v>
      </c>
      <c r="AH184" s="275">
        <f>IF(ISBLANK(Table2[[#This Row],[Roster Received By]]),1,0)</f>
        <v>0</v>
      </c>
      <c r="AI184" s="275">
        <f ca="1">IF(Table2[[#This Row],[Start Date]]&gt;TODAY(),1,)</f>
        <v>0</v>
      </c>
    </row>
    <row r="185" spans="1:35" s="270" customFormat="1" x14ac:dyDescent="0.25">
      <c r="B185" s="325" t="s">
        <v>292</v>
      </c>
      <c r="C185" s="272" t="str">
        <f>VLOOKUP(Table2[[#This Row],[Course]],Data!$A$1:$E$56,2,FALSE)</f>
        <v>A-493-0078</v>
      </c>
      <c r="D185" s="272">
        <f>VLOOKUP(Table2[[#This Row],[Course]],Data!$A$1:$E$56,3,FALSE)</f>
        <v>1228</v>
      </c>
      <c r="E185" s="325" t="s">
        <v>116</v>
      </c>
      <c r="F185" s="330">
        <v>45376</v>
      </c>
      <c r="G185" s="330">
        <v>45380</v>
      </c>
      <c r="H185" s="327"/>
      <c r="I185" s="274">
        <v>0.33333333333333331</v>
      </c>
      <c r="J185" s="274">
        <v>0.20833333333333334</v>
      </c>
      <c r="K185" s="274">
        <v>0.625</v>
      </c>
      <c r="L185" s="274">
        <v>0.54166666666666663</v>
      </c>
      <c r="M185" s="274">
        <v>8.3333333333333329E-2</v>
      </c>
      <c r="N185" s="274">
        <v>0.875</v>
      </c>
      <c r="O185" s="271" t="s">
        <v>80</v>
      </c>
      <c r="P185" s="271"/>
      <c r="Q185" s="331" t="e">
        <v>#REF!</v>
      </c>
      <c r="R185" s="331" t="e">
        <v>#REF!</v>
      </c>
      <c r="S185" s="332"/>
      <c r="V185" s="275">
        <f>VLOOKUP(Table2[[#This Row],[Course]],Data!$A$1:$E$56,4,FALSE)</f>
        <v>45</v>
      </c>
      <c r="W185" s="275">
        <f>VLOOKUP(Table2[[#This Row],[Course]],Data!$A$1:$E$56,5,FALSE)</f>
        <v>5</v>
      </c>
      <c r="X185" s="275">
        <v>600</v>
      </c>
      <c r="Y185" s="275">
        <v>23</v>
      </c>
      <c r="Z185" s="275">
        <v>0</v>
      </c>
      <c r="AA185" s="275">
        <v>22</v>
      </c>
      <c r="AB185" s="276">
        <v>0</v>
      </c>
      <c r="AC185" s="275">
        <v>1</v>
      </c>
      <c r="AD185" s="275">
        <v>0</v>
      </c>
      <c r="AE185" s="275">
        <v>0</v>
      </c>
      <c r="AF185" s="271" t="s">
        <v>205</v>
      </c>
      <c r="AG185" s="277">
        <f ca="1">Table2[[#This Row],[End Date]]+2-TODAY()</f>
        <v>-150</v>
      </c>
      <c r="AH185" s="275">
        <f>IF(ISBLANK(Table2[[#This Row],[Roster Received By]]),1,0)</f>
        <v>0</v>
      </c>
      <c r="AI185" s="275">
        <f ca="1">IF(Table2[[#This Row],[Start Date]]&gt;TODAY(),1,)</f>
        <v>0</v>
      </c>
    </row>
    <row r="186" spans="1:35" s="270" customFormat="1" x14ac:dyDescent="0.25">
      <c r="B186" s="325" t="s">
        <v>34</v>
      </c>
      <c r="C186" s="272" t="str">
        <f>VLOOKUP(Table2[[#This Row],[Course]],Data!$A$1:$E$56,2,FALSE)</f>
        <v>A-493-0085</v>
      </c>
      <c r="D186" s="272">
        <f>VLOOKUP(Table2[[#This Row],[Course]],Data!$A$1:$E$56,3,FALSE)</f>
        <v>3555</v>
      </c>
      <c r="E186" s="325" t="s">
        <v>116</v>
      </c>
      <c r="F186" s="330">
        <v>45376</v>
      </c>
      <c r="G186" s="330">
        <v>45379</v>
      </c>
      <c r="H186" s="327"/>
      <c r="I186" s="274">
        <v>0.5</v>
      </c>
      <c r="J186" s="274">
        <v>0.375</v>
      </c>
      <c r="K186" s="274">
        <v>0.79166666666666663</v>
      </c>
      <c r="L186" s="274">
        <v>0.70833333333333337</v>
      </c>
      <c r="M186" s="274">
        <v>0.25</v>
      </c>
      <c r="N186" s="274">
        <v>4.1666666666666664E-2</v>
      </c>
      <c r="O186" s="271" t="s">
        <v>81</v>
      </c>
      <c r="P186" s="271"/>
      <c r="Q186" s="328" t="e">
        <v>#REF!</v>
      </c>
      <c r="R186" s="328" t="e">
        <v>#REF!</v>
      </c>
      <c r="S186" s="357"/>
      <c r="T186" s="301"/>
      <c r="U186" s="301"/>
      <c r="V186" s="275">
        <f>VLOOKUP(Table2[[#This Row],[Course]],Data!$A$1:$E$56,4,FALSE)</f>
        <v>30</v>
      </c>
      <c r="W186" s="275">
        <f>VLOOKUP(Table2[[#This Row],[Course]],Data!$A$1:$E$56,5,FALSE)</f>
        <v>4</v>
      </c>
      <c r="X186" s="275">
        <v>464</v>
      </c>
      <c r="Y186" s="275">
        <v>30</v>
      </c>
      <c r="Z186" s="275">
        <v>0</v>
      </c>
      <c r="AA186" s="275">
        <v>24</v>
      </c>
      <c r="AB186" s="276">
        <v>0</v>
      </c>
      <c r="AC186" s="275">
        <v>3</v>
      </c>
      <c r="AD186" s="275">
        <v>0</v>
      </c>
      <c r="AE186" s="272">
        <v>0</v>
      </c>
      <c r="AF186" s="271" t="s">
        <v>208</v>
      </c>
      <c r="AG186" s="277">
        <f ca="1">Table2[[#This Row],[End Date]]+2-TODAY()</f>
        <v>-151</v>
      </c>
      <c r="AH186" s="275">
        <f>IF(ISBLANK(Table2[[#This Row],[Roster Received By]]),1,0)</f>
        <v>0</v>
      </c>
      <c r="AI186" s="275">
        <f ca="1">IF(Table2[[#This Row],[Start Date]]&gt;TODAY(),1,)</f>
        <v>0</v>
      </c>
    </row>
    <row r="187" spans="1:35" s="270" customFormat="1" x14ac:dyDescent="0.25">
      <c r="B187" s="325" t="s">
        <v>317</v>
      </c>
      <c r="C187" s="272" t="str">
        <f>VLOOKUP(Table2[[#This Row],[Course]],Data!$A$1:$E$56,2,FALSE)</f>
        <v>A-493-2098</v>
      </c>
      <c r="D187" s="272" t="str">
        <f>VLOOKUP(Table2[[#This Row],[Course]],Data!$A$1:$E$56,3,FALSE)</f>
        <v>09WW</v>
      </c>
      <c r="E187" s="271" t="s">
        <v>116</v>
      </c>
      <c r="F187" s="330">
        <v>45376</v>
      </c>
      <c r="G187" s="330">
        <v>45380</v>
      </c>
      <c r="H187" s="327"/>
      <c r="I187" s="274">
        <v>0.54166666666666663</v>
      </c>
      <c r="J187" s="274">
        <v>0.41666666666666669</v>
      </c>
      <c r="K187" s="274">
        <v>0.83333333333333337</v>
      </c>
      <c r="L187" s="274">
        <v>0.75</v>
      </c>
      <c r="M187" s="274">
        <v>0.29166666666666669</v>
      </c>
      <c r="N187" s="274">
        <v>8.3333333333333329E-2</v>
      </c>
      <c r="O187" s="271" t="s">
        <v>83</v>
      </c>
      <c r="P187" s="271"/>
      <c r="Q187" s="298" t="e">
        <v>#REF!</v>
      </c>
      <c r="R187" s="328" t="e">
        <v>#REF!</v>
      </c>
      <c r="S187" s="298"/>
      <c r="T187" s="301"/>
      <c r="U187" s="301"/>
      <c r="V187" s="275">
        <f>VLOOKUP(Table2[[#This Row],[Course]],Data!$A$1:$E$56,4,FALSE)</f>
        <v>100</v>
      </c>
      <c r="W187" s="275">
        <f>VLOOKUP(Table2[[#This Row],[Course]],Data!$A$1:$E$56,5,FALSE)</f>
        <v>5</v>
      </c>
      <c r="X187" s="275">
        <v>1257</v>
      </c>
      <c r="Y187" s="275">
        <v>100</v>
      </c>
      <c r="Z187" s="275">
        <v>6</v>
      </c>
      <c r="AA187" s="275">
        <v>92</v>
      </c>
      <c r="AB187" s="276">
        <v>4</v>
      </c>
      <c r="AC187" s="275">
        <v>9</v>
      </c>
      <c r="AD187" s="275">
        <v>1</v>
      </c>
      <c r="AE187" s="275">
        <v>0</v>
      </c>
      <c r="AF187" s="271" t="s">
        <v>213</v>
      </c>
      <c r="AG187" s="277">
        <f ca="1">Table2[[#This Row],[End Date]]+2-TODAY()</f>
        <v>-150</v>
      </c>
      <c r="AH187" s="275">
        <f>IF(ISBLANK(Table2[[#This Row],[Roster Received By]]),1,0)</f>
        <v>0</v>
      </c>
      <c r="AI187" s="275">
        <f ca="1">IF(Table2[[#This Row],[Start Date]]&gt;TODAY(),1,)</f>
        <v>0</v>
      </c>
    </row>
    <row r="188" spans="1:35" s="270" customFormat="1" x14ac:dyDescent="0.25">
      <c r="B188" s="271" t="s">
        <v>19</v>
      </c>
      <c r="C188" s="272" t="str">
        <f>VLOOKUP(Table2[[#This Row],[Course]],Data!$A$1:$E$56,2,FALSE)</f>
        <v>A-493-0099</v>
      </c>
      <c r="D188" s="272" t="str">
        <f>VLOOKUP(Table2[[#This Row],[Course]],Data!$A$1:$E$56,3,FALSE)</f>
        <v>12JW</v>
      </c>
      <c r="E188" s="271" t="s">
        <v>116</v>
      </c>
      <c r="F188" s="330">
        <v>45377</v>
      </c>
      <c r="G188" s="330">
        <v>45379</v>
      </c>
      <c r="H188" s="327"/>
      <c r="I188" s="274">
        <v>0.54166666666666663</v>
      </c>
      <c r="J188" s="274">
        <v>0.41666666666666669</v>
      </c>
      <c r="K188" s="274">
        <v>0.83333333333333337</v>
      </c>
      <c r="L188" s="274">
        <v>0.75</v>
      </c>
      <c r="M188" s="274">
        <v>0.29166666666666669</v>
      </c>
      <c r="N188" s="274">
        <v>8.3333333333333329E-2</v>
      </c>
      <c r="O188" s="271" t="s">
        <v>88</v>
      </c>
      <c r="P188" s="271"/>
      <c r="Q188" s="328" t="e">
        <v>#REF!</v>
      </c>
      <c r="R188" s="328" t="e">
        <v>#REF!</v>
      </c>
      <c r="S188" s="357"/>
      <c r="T188" s="301"/>
      <c r="U188" s="301"/>
      <c r="V188" s="275">
        <f>VLOOKUP(Table2[[#This Row],[Course]],Data!$A$1:$E$56,4,FALSE)</f>
        <v>45</v>
      </c>
      <c r="W188" s="275">
        <f>VLOOKUP(Table2[[#This Row],[Course]],Data!$A$1:$E$56,5,FALSE)</f>
        <v>3</v>
      </c>
      <c r="X188" s="275">
        <v>682</v>
      </c>
      <c r="Y188" s="275">
        <v>41</v>
      </c>
      <c r="Z188" s="275">
        <v>0</v>
      </c>
      <c r="AA188" s="275">
        <v>40</v>
      </c>
      <c r="AB188" s="276">
        <v>1</v>
      </c>
      <c r="AC188" s="275">
        <v>2</v>
      </c>
      <c r="AD188" s="275">
        <v>0</v>
      </c>
      <c r="AE188" s="275">
        <v>0</v>
      </c>
      <c r="AF188" s="271" t="s">
        <v>189</v>
      </c>
      <c r="AG188" s="277">
        <f ca="1">Table2[[#This Row],[End Date]]+2-TODAY()</f>
        <v>-151</v>
      </c>
      <c r="AH188" s="275">
        <f>IF(ISBLANK(Table2[[#This Row],[Roster Received By]]),1,0)</f>
        <v>0</v>
      </c>
      <c r="AI188" s="275">
        <f ca="1">IF(Table2[[#This Row],[Start Date]]&gt;TODAY(),1,)</f>
        <v>0</v>
      </c>
    </row>
    <row r="189" spans="1:35" s="270" customFormat="1" x14ac:dyDescent="0.25">
      <c r="A189" s="270" t="s">
        <v>508</v>
      </c>
      <c r="B189" s="271" t="s">
        <v>18</v>
      </c>
      <c r="C189" s="272" t="str">
        <f>VLOOKUP(Table2[[#This Row],[Course]],Data!$A$1:$E$56,2,FALSE)</f>
        <v>A-493-0013</v>
      </c>
      <c r="D189" s="272">
        <f>VLOOKUP(Table2[[#This Row],[Course]],Data!$A$1:$E$56,3,FALSE)</f>
        <v>3683</v>
      </c>
      <c r="E189" s="271" t="s">
        <v>156</v>
      </c>
      <c r="F189" s="330">
        <v>45378</v>
      </c>
      <c r="G189" s="330">
        <v>45380</v>
      </c>
      <c r="H189" s="344">
        <v>0.33333333333333331</v>
      </c>
      <c r="I189" s="344"/>
      <c r="J189" s="344"/>
      <c r="K189" s="344"/>
      <c r="L189" s="344"/>
      <c r="M189" s="344"/>
      <c r="N189" s="327"/>
      <c r="O189" s="270" t="s">
        <v>78</v>
      </c>
      <c r="Q189" s="328" t="e">
        <v>#REF!</v>
      </c>
      <c r="R189" s="328" t="e">
        <v>#REF!</v>
      </c>
      <c r="S189" s="357"/>
      <c r="T189" s="301"/>
      <c r="U189" s="301"/>
      <c r="V189" s="275">
        <f>VLOOKUP(Table2[[#This Row],[Course]],Data!$A$1:$E$56,4,FALSE)</f>
        <v>40</v>
      </c>
      <c r="W189" s="275">
        <v>3</v>
      </c>
      <c r="X189" s="378" t="s">
        <v>509</v>
      </c>
      <c r="Y189" s="275">
        <v>40</v>
      </c>
      <c r="Z189" s="275">
        <v>5</v>
      </c>
      <c r="AA189" s="275">
        <v>40</v>
      </c>
      <c r="AB189" s="276">
        <v>0</v>
      </c>
      <c r="AC189" s="275">
        <v>0</v>
      </c>
      <c r="AD189" s="275">
        <v>17</v>
      </c>
      <c r="AE189" s="275">
        <v>33</v>
      </c>
      <c r="AF189" s="271" t="s">
        <v>191</v>
      </c>
      <c r="AG189" s="277">
        <f ca="1">Table2[[#This Row],[End Date]]+2-TODAY()</f>
        <v>-150</v>
      </c>
      <c r="AH189" s="275">
        <f>IF(ISBLANK(Table2[[#This Row],[Roster Received By]]),1,0)</f>
        <v>0</v>
      </c>
      <c r="AI189" s="275">
        <f ca="1">IF(Table2[[#This Row],[Start Date]]&gt;TODAY(),1,)</f>
        <v>0</v>
      </c>
    </row>
    <row r="190" spans="1:35" s="270" customFormat="1" x14ac:dyDescent="0.25">
      <c r="B190" s="271" t="s">
        <v>214</v>
      </c>
      <c r="C190" s="272" t="str">
        <f>VLOOKUP(Table2[[#This Row],[Course]],Data!$A$1:$E$56,2,FALSE)</f>
        <v>A-493-0665</v>
      </c>
      <c r="D190" s="272" t="str">
        <f>VLOOKUP(Table2[[#This Row],[Course]],Data!$A$1:$E$56,3,FALSE)</f>
        <v>10KW</v>
      </c>
      <c r="E190" s="271" t="s">
        <v>116</v>
      </c>
      <c r="F190" s="327">
        <v>45383</v>
      </c>
      <c r="G190" s="327">
        <v>45387</v>
      </c>
      <c r="H190" s="327"/>
      <c r="I190" s="274">
        <v>0.79166666666666663</v>
      </c>
      <c r="J190" s="274">
        <v>0.66666666666666663</v>
      </c>
      <c r="K190" s="274">
        <v>8.3333333333333329E-2</v>
      </c>
      <c r="L190" s="274">
        <v>0</v>
      </c>
      <c r="M190" s="274">
        <v>0.54166666666666663</v>
      </c>
      <c r="N190" s="274">
        <v>0.33333333333333331</v>
      </c>
      <c r="O190" s="271" t="s">
        <v>83</v>
      </c>
      <c r="P190" s="271"/>
      <c r="Q190" s="276" t="e">
        <v>#REF!</v>
      </c>
      <c r="R190" s="331" t="e">
        <v>#REF!</v>
      </c>
      <c r="S190" s="276"/>
      <c r="V190" s="275">
        <f>VLOOKUP(Table2[[#This Row],[Course]],Data!$A$1:$E$56,4,FALSE)</f>
        <v>45</v>
      </c>
      <c r="W190" s="275">
        <f>VLOOKUP(Table2[[#This Row],[Course]],Data!$A$1:$E$56,5,FALSE)</f>
        <v>5</v>
      </c>
      <c r="X190" s="275">
        <v>43</v>
      </c>
      <c r="Y190" s="275">
        <v>35</v>
      </c>
      <c r="Z190" s="275">
        <v>0</v>
      </c>
      <c r="AA190" s="275">
        <v>30</v>
      </c>
      <c r="AB190" s="276">
        <v>1</v>
      </c>
      <c r="AC190" s="275">
        <v>4</v>
      </c>
      <c r="AD190" s="275">
        <v>1</v>
      </c>
      <c r="AE190" s="275">
        <v>0</v>
      </c>
      <c r="AF190" s="271" t="s">
        <v>191</v>
      </c>
      <c r="AG190" s="277">
        <f ca="1">Table2[[#This Row],[End Date]]+2-TODAY()</f>
        <v>-143</v>
      </c>
      <c r="AH190" s="275">
        <f>IF(ISBLANK(Table2[[#This Row],[Roster Received By]]),1,0)</f>
        <v>0</v>
      </c>
      <c r="AI190" s="275">
        <f ca="1">IF(Table2[[#This Row],[Start Date]]&gt;TODAY(),1,)</f>
        <v>0</v>
      </c>
    </row>
    <row r="191" spans="1:35" s="377" customFormat="1" ht="14.25" customHeight="1" x14ac:dyDescent="0.25">
      <c r="A191" s="270"/>
      <c r="B191" s="271" t="s">
        <v>236</v>
      </c>
      <c r="C191" s="272" t="str">
        <f>VLOOKUP(Table2[[#This Row],[Course]],Data!$A$1:$E$56,2,FALSE)</f>
        <v>A-493-0103</v>
      </c>
      <c r="D191" s="272" t="str">
        <f>VLOOKUP(Table2[[#This Row],[Course]],Data!$A$1:$E$56,3,FALSE)</f>
        <v>12JY</v>
      </c>
      <c r="E191" s="271" t="s">
        <v>146</v>
      </c>
      <c r="F191" s="327">
        <v>45383</v>
      </c>
      <c r="G191" s="327">
        <v>45387</v>
      </c>
      <c r="H191" s="344">
        <v>0.33333333333333331</v>
      </c>
      <c r="I191" s="344"/>
      <c r="J191" s="327"/>
      <c r="K191" s="327"/>
      <c r="L191" s="327"/>
      <c r="M191" s="327"/>
      <c r="N191" s="327"/>
      <c r="O191" s="271" t="s">
        <v>94</v>
      </c>
      <c r="P191" s="271"/>
      <c r="Q191" s="328" t="e">
        <v>#REF!</v>
      </c>
      <c r="R191" s="328" t="e">
        <v>#REF!</v>
      </c>
      <c r="S191" s="357"/>
      <c r="T191" s="301"/>
      <c r="U191" s="301"/>
      <c r="V191" s="275">
        <f>VLOOKUP(Table2[[#This Row],[Course]],Data!$A$1:$E$56,4,FALSE)</f>
        <v>25</v>
      </c>
      <c r="W191" s="275">
        <f>VLOOKUP(Table2[[#This Row],[Course]],Data!$A$1:$E$56,5,FALSE)</f>
        <v>5</v>
      </c>
      <c r="X191" s="275">
        <v>10</v>
      </c>
      <c r="Y191" s="275">
        <v>25</v>
      </c>
      <c r="Z191" s="275">
        <v>1</v>
      </c>
      <c r="AA191" s="275">
        <v>21</v>
      </c>
      <c r="AB191" s="276">
        <v>0</v>
      </c>
      <c r="AC191" s="275">
        <v>2</v>
      </c>
      <c r="AD191" s="275">
        <v>0</v>
      </c>
      <c r="AE191" s="275">
        <v>0</v>
      </c>
      <c r="AF191" s="271" t="s">
        <v>189</v>
      </c>
      <c r="AG191" s="277">
        <f ca="1">Table2[[#This Row],[End Date]]+2-TODAY()</f>
        <v>-143</v>
      </c>
      <c r="AH191" s="275">
        <f>IF(ISBLANK(Table2[[#This Row],[Roster Received By]]),1,0)</f>
        <v>0</v>
      </c>
      <c r="AI191" s="275">
        <f ca="1">IF(Table2[[#This Row],[Start Date]]&gt;TODAY(),1,)</f>
        <v>0</v>
      </c>
    </row>
    <row r="192" spans="1:35" s="270" customFormat="1" ht="15" customHeight="1" x14ac:dyDescent="0.25">
      <c r="A192" s="270" t="s">
        <v>505</v>
      </c>
      <c r="B192" s="271" t="s">
        <v>17</v>
      </c>
      <c r="C192" s="272" t="str">
        <f>VLOOKUP(Table2[[#This Row],[Course]],Data!$A$1:$E$56,2,FALSE)</f>
        <v>A-493-0012</v>
      </c>
      <c r="D192" s="272">
        <f>VLOOKUP(Table2[[#This Row],[Course]],Data!$A$1:$E$56,3,FALSE)</f>
        <v>3682</v>
      </c>
      <c r="E192" s="271" t="s">
        <v>277</v>
      </c>
      <c r="F192" s="330">
        <v>45383</v>
      </c>
      <c r="G192" s="330">
        <v>45387</v>
      </c>
      <c r="H192" s="344">
        <v>0.33333333333333331</v>
      </c>
      <c r="I192" s="344"/>
      <c r="J192" s="327"/>
      <c r="K192" s="327"/>
      <c r="L192" s="327"/>
      <c r="M192" s="327"/>
      <c r="N192" s="327"/>
      <c r="O192" s="271" t="s">
        <v>78</v>
      </c>
      <c r="P192" s="271"/>
      <c r="Q192" s="298" t="e">
        <v>#REF!</v>
      </c>
      <c r="R192" s="328" t="e">
        <v>#REF!</v>
      </c>
      <c r="S192" s="298"/>
      <c r="T192" s="301"/>
      <c r="U192" s="301"/>
      <c r="V192" s="275">
        <f>VLOOKUP(Table2[[#This Row],[Course]],Data!$A$1:$E$56,4,FALSE)</f>
        <v>40</v>
      </c>
      <c r="W192" s="275">
        <f>VLOOKUP(Table2[[#This Row],[Course]],Data!$A$1:$E$56,5,FALSE)</f>
        <v>5</v>
      </c>
      <c r="X192" s="275">
        <v>0</v>
      </c>
      <c r="Y192" s="275">
        <v>13</v>
      </c>
      <c r="Z192" s="275">
        <v>0</v>
      </c>
      <c r="AA192" s="275">
        <v>13</v>
      </c>
      <c r="AB192" s="276">
        <v>0</v>
      </c>
      <c r="AC192" s="275">
        <v>0</v>
      </c>
      <c r="AD192" s="275">
        <v>3</v>
      </c>
      <c r="AE192" s="275">
        <v>1</v>
      </c>
      <c r="AF192" s="271" t="s">
        <v>191</v>
      </c>
      <c r="AG192" s="277">
        <f ca="1">Table2[[#This Row],[End Date]]+2-TODAY()</f>
        <v>-143</v>
      </c>
      <c r="AH192" s="275">
        <f>IF(ISBLANK(Table2[[#This Row],[Roster Received By]]),1,0)</f>
        <v>0</v>
      </c>
      <c r="AI192" s="275">
        <f ca="1">IF(Table2[[#This Row],[Start Date]]&gt;TODAY(),1,)</f>
        <v>0</v>
      </c>
    </row>
    <row r="193" spans="1:35" s="270" customFormat="1" x14ac:dyDescent="0.25">
      <c r="B193" s="271" t="s">
        <v>243</v>
      </c>
      <c r="C193" s="272" t="str">
        <f>VLOOKUP(Table2[[#This Row],[Course]],Data!$A$1:$E$56,2,FALSE)</f>
        <v>A-493-0061</v>
      </c>
      <c r="D193" s="272" t="str">
        <f>VLOOKUP(Table2[[#This Row],[Course]],Data!$A$1:$E$56,3,FALSE)</f>
        <v>288E</v>
      </c>
      <c r="E193" s="271" t="s">
        <v>116</v>
      </c>
      <c r="F193" s="330">
        <v>45383</v>
      </c>
      <c r="G193" s="330">
        <v>45386</v>
      </c>
      <c r="H193" s="327"/>
      <c r="I193" s="274">
        <v>0.41666666666666669</v>
      </c>
      <c r="J193" s="274">
        <v>0.29166666666666669</v>
      </c>
      <c r="K193" s="274">
        <v>0.70833333333333337</v>
      </c>
      <c r="L193" s="274">
        <v>0.625</v>
      </c>
      <c r="M193" s="274">
        <v>0.16666666666666666</v>
      </c>
      <c r="N193" s="274">
        <v>0.95833333333333337</v>
      </c>
      <c r="O193" s="271" t="s">
        <v>92</v>
      </c>
      <c r="P193" s="271"/>
      <c r="Q193" s="328" t="e">
        <v>#REF!</v>
      </c>
      <c r="R193" s="328" t="e">
        <v>#REF!</v>
      </c>
      <c r="S193" s="357"/>
      <c r="T193" s="301"/>
      <c r="U193" s="301"/>
      <c r="V193" s="275">
        <f>VLOOKUP(Table2[[#This Row],[Course]],Data!$A$1:$E$56,4,FALSE)</f>
        <v>45</v>
      </c>
      <c r="W193" s="275">
        <f>VLOOKUP(Table2[[#This Row],[Course]],Data!$A$1:$E$56,5,FALSE)</f>
        <v>5</v>
      </c>
      <c r="X193" s="275">
        <v>430</v>
      </c>
      <c r="Y193" s="275">
        <v>29</v>
      </c>
      <c r="Z193" s="275">
        <v>0</v>
      </c>
      <c r="AA193" s="275">
        <v>25</v>
      </c>
      <c r="AB193" s="276">
        <v>0</v>
      </c>
      <c r="AC193" s="275">
        <v>3</v>
      </c>
      <c r="AD193" s="275">
        <v>0</v>
      </c>
      <c r="AE193" s="275">
        <v>1</v>
      </c>
      <c r="AF193" s="271" t="s">
        <v>189</v>
      </c>
      <c r="AG193" s="277">
        <f ca="1">Table2[[#This Row],[End Date]]+2-TODAY()</f>
        <v>-144</v>
      </c>
      <c r="AH193" s="275">
        <f>IF(ISBLANK(Table2[[#This Row],[Roster Received By]]),1,0)</f>
        <v>0</v>
      </c>
      <c r="AI193" s="275">
        <f ca="1">IF(Table2[[#This Row],[Start Date]]&gt;TODAY(),1,)</f>
        <v>0</v>
      </c>
    </row>
    <row r="194" spans="1:35" s="270" customFormat="1" x14ac:dyDescent="0.25">
      <c r="A194" s="347"/>
      <c r="B194" s="361" t="s">
        <v>25</v>
      </c>
      <c r="C194" s="348" t="str">
        <f>VLOOKUP(Table2[[#This Row],[Course]],Data!$A$1:$E$56,2,FALSE)</f>
        <v>A-493-2300</v>
      </c>
      <c r="D194" s="348" t="str">
        <f>VLOOKUP(Table2[[#This Row],[Course]],Data!$A$1:$E$56,3,FALSE)</f>
        <v>993F</v>
      </c>
      <c r="E194" s="340" t="s">
        <v>144</v>
      </c>
      <c r="F194" s="352">
        <v>45383</v>
      </c>
      <c r="G194" s="352">
        <v>45384</v>
      </c>
      <c r="H194" s="344">
        <v>0.33333333333333331</v>
      </c>
      <c r="I194" s="351"/>
      <c r="J194" s="352"/>
      <c r="K194" s="352"/>
      <c r="L194" s="352"/>
      <c r="M194" s="352"/>
      <c r="N194" s="352"/>
      <c r="O194" s="340" t="s">
        <v>78</v>
      </c>
      <c r="P194" s="340"/>
      <c r="Q194" s="303"/>
      <c r="R194" s="297"/>
      <c r="S194" s="303"/>
      <c r="T194" s="314"/>
      <c r="U194" s="314"/>
      <c r="V194" s="338">
        <v>30</v>
      </c>
      <c r="W194" s="353">
        <v>2</v>
      </c>
      <c r="X194" s="353">
        <v>16</v>
      </c>
      <c r="Y194" s="353">
        <v>23</v>
      </c>
      <c r="Z194" s="353">
        <v>0</v>
      </c>
      <c r="AA194" s="338">
        <v>11</v>
      </c>
      <c r="AB194" s="338">
        <v>0</v>
      </c>
      <c r="AC194" s="339">
        <v>14</v>
      </c>
      <c r="AD194" s="339">
        <v>2</v>
      </c>
      <c r="AE194" s="339">
        <v>0</v>
      </c>
      <c r="AF194" s="340" t="s">
        <v>191</v>
      </c>
      <c r="AG194" s="341">
        <f ca="1">Table2[[#This Row],[End Date]]+2-TODAY()</f>
        <v>-146</v>
      </c>
      <c r="AH194" s="339">
        <f>IF(ISBLANK(Table2[[#This Row],[Roster Received By]]),1,0)</f>
        <v>0</v>
      </c>
      <c r="AI194" s="339">
        <f ca="1">IF(Table2[[#This Row],[Start Date]]&gt;TODAY(),1,)</f>
        <v>0</v>
      </c>
    </row>
    <row r="195" spans="1:35" s="270" customFormat="1" x14ac:dyDescent="0.25">
      <c r="B195" s="325" t="s">
        <v>288</v>
      </c>
      <c r="C195" s="272" t="str">
        <f>VLOOKUP(Table2[[#This Row],[Course]],Data!$A$1:$E$56,2,FALSE)</f>
        <v>A-493-0073</v>
      </c>
      <c r="D195" s="272" t="str">
        <f>VLOOKUP(Table2[[#This Row],[Course]],Data!$A$1:$E$56,3,FALSE)</f>
        <v>714S</v>
      </c>
      <c r="E195" s="325" t="s">
        <v>116</v>
      </c>
      <c r="F195" s="326">
        <v>45383</v>
      </c>
      <c r="G195" s="326">
        <v>45386</v>
      </c>
      <c r="H195" s="327"/>
      <c r="I195" s="274">
        <v>0.33333333333333331</v>
      </c>
      <c r="J195" s="274">
        <v>0.20833333333333334</v>
      </c>
      <c r="K195" s="274">
        <v>0.66666666666666663</v>
      </c>
      <c r="L195" s="274">
        <v>0.58333333333333337</v>
      </c>
      <c r="M195" s="274">
        <v>0.125</v>
      </c>
      <c r="N195" s="274">
        <v>0.91666666666666663</v>
      </c>
      <c r="O195" s="271" t="s">
        <v>94</v>
      </c>
      <c r="P195" s="271"/>
      <c r="Q195" s="379" t="e">
        <v>#REF!</v>
      </c>
      <c r="R195" s="379" t="e">
        <v>#REF!</v>
      </c>
      <c r="S195" s="357"/>
      <c r="T195" s="301"/>
      <c r="U195" s="301"/>
      <c r="V195" s="275">
        <f>VLOOKUP(Table2[[#This Row],[Course]],Data!$A$1:$E$56,4,FALSE)</f>
        <v>30</v>
      </c>
      <c r="W195" s="275">
        <f>VLOOKUP(Table2[[#This Row],[Course]],Data!$A$1:$E$56,5,FALSE)</f>
        <v>4</v>
      </c>
      <c r="X195" s="275">
        <v>361</v>
      </c>
      <c r="Y195" s="275">
        <v>25</v>
      </c>
      <c r="Z195" s="275">
        <v>0</v>
      </c>
      <c r="AA195" s="275">
        <v>19</v>
      </c>
      <c r="AB195" s="276">
        <v>0</v>
      </c>
      <c r="AC195" s="275">
        <v>6</v>
      </c>
      <c r="AD195" s="275">
        <v>0</v>
      </c>
      <c r="AE195" s="342">
        <v>0</v>
      </c>
      <c r="AF195" s="343" t="s">
        <v>189</v>
      </c>
      <c r="AG195" s="277">
        <f ca="1">Table2[[#This Row],[End Date]]+2-TODAY()</f>
        <v>-144</v>
      </c>
      <c r="AH195" s="275">
        <f>IF(ISBLANK(Table2[[#This Row],[Roster Received By]]),1,0)</f>
        <v>0</v>
      </c>
      <c r="AI195" s="275">
        <f ca="1">IF(Table2[[#This Row],[Start Date]]&gt;TODAY(),1,)</f>
        <v>0</v>
      </c>
    </row>
    <row r="196" spans="1:35" s="270" customFormat="1" x14ac:dyDescent="0.25">
      <c r="B196" s="271" t="s">
        <v>303</v>
      </c>
      <c r="C196" s="272" t="str">
        <f>VLOOKUP(Table2[[#This Row],[Course]],Data!$A$1:$E$56,2,FALSE)</f>
        <v>A-570-0100</v>
      </c>
      <c r="D196" s="272" t="str">
        <f>VLOOKUP(Table2[[#This Row],[Course]],Data!$A$1:$E$56,3,FALSE)</f>
        <v>18B7</v>
      </c>
      <c r="E196" s="325" t="s">
        <v>116</v>
      </c>
      <c r="F196" s="327">
        <v>45383</v>
      </c>
      <c r="G196" s="327">
        <v>45386</v>
      </c>
      <c r="H196" s="327"/>
      <c r="I196" s="274">
        <v>0.54166666666666663</v>
      </c>
      <c r="J196" s="274">
        <v>0.41666666666666669</v>
      </c>
      <c r="K196" s="274">
        <v>0.83333333333333337</v>
      </c>
      <c r="L196" s="274">
        <v>0.75</v>
      </c>
      <c r="M196" s="274">
        <v>0.29166666666666669</v>
      </c>
      <c r="N196" s="274">
        <v>8.3333333333333329E-2</v>
      </c>
      <c r="O196" s="271" t="s">
        <v>89</v>
      </c>
      <c r="P196" s="271"/>
      <c r="Q196" s="298" t="e">
        <v>#REF!</v>
      </c>
      <c r="R196" s="328" t="e">
        <v>#REF!</v>
      </c>
      <c r="S196" s="298"/>
      <c r="T196" s="301"/>
      <c r="U196" s="301"/>
      <c r="V196" s="275">
        <f>VLOOKUP(Table2[[#This Row],[Course]],Data!$A$1:$E$56,4,FALSE)</f>
        <v>30</v>
      </c>
      <c r="W196" s="275">
        <f>VLOOKUP(Table2[[#This Row],[Course]],Data!$A$1:$E$56,5,FALSE)</f>
        <v>4</v>
      </c>
      <c r="X196" s="275">
        <v>459</v>
      </c>
      <c r="Y196" s="275">
        <v>29</v>
      </c>
      <c r="Z196" s="275">
        <v>0</v>
      </c>
      <c r="AA196" s="275">
        <v>24</v>
      </c>
      <c r="AB196" s="276">
        <v>1</v>
      </c>
      <c r="AC196" s="275">
        <v>4</v>
      </c>
      <c r="AD196" s="275">
        <v>0</v>
      </c>
      <c r="AE196" s="276">
        <v>0</v>
      </c>
      <c r="AF196" s="271" t="s">
        <v>208</v>
      </c>
      <c r="AG196" s="277">
        <f ca="1">Table2[[#This Row],[End Date]]+2-TODAY()</f>
        <v>-144</v>
      </c>
      <c r="AH196" s="275">
        <f>IF(ISBLANK(Table2[[#This Row],[Roster Received By]]),1,0)</f>
        <v>0</v>
      </c>
      <c r="AI196" s="275">
        <f ca="1">IF(Table2[[#This Row],[Start Date]]&gt;TODAY(),1,)</f>
        <v>0</v>
      </c>
    </row>
    <row r="197" spans="1:35" s="270" customFormat="1" x14ac:dyDescent="0.25">
      <c r="A197" s="380" t="s">
        <v>505</v>
      </c>
      <c r="B197" s="271" t="s">
        <v>38</v>
      </c>
      <c r="C197" s="272" t="str">
        <f>VLOOKUP(Table2[[#This Row],[Course]],Data!$A$1:$E$56,2,FALSE)</f>
        <v>A-493-0072</v>
      </c>
      <c r="D197" s="272" t="str">
        <f>VLOOKUP(Table2[[#This Row],[Course]],Data!$A$1:$E$56,3,FALSE)</f>
        <v>713U</v>
      </c>
      <c r="E197" s="271" t="s">
        <v>220</v>
      </c>
      <c r="F197" s="327">
        <v>45383</v>
      </c>
      <c r="G197" s="327">
        <v>45386</v>
      </c>
      <c r="H197" s="350">
        <v>0.33333333333333331</v>
      </c>
      <c r="I197" s="350"/>
      <c r="J197" s="327"/>
      <c r="K197" s="327"/>
      <c r="L197" s="327"/>
      <c r="M197" s="327"/>
      <c r="N197" s="327"/>
      <c r="O197" s="271" t="s">
        <v>81</v>
      </c>
      <c r="P197" s="271" t="s">
        <v>84</v>
      </c>
      <c r="Q197" s="328" t="e">
        <v>#REF!</v>
      </c>
      <c r="R197" s="328" t="e">
        <v>#REF!</v>
      </c>
      <c r="S197" s="328"/>
      <c r="T197" s="301"/>
      <c r="U197" s="301"/>
      <c r="V197" s="275">
        <f>VLOOKUP(Table2[[#This Row],[Course]],Data!$A$1:$E$56,4,FALSE)</f>
        <v>30</v>
      </c>
      <c r="W197" s="275">
        <f>VLOOKUP(Table2[[#This Row],[Course]],Data!$A$1:$E$56,5,FALSE)</f>
        <v>4</v>
      </c>
      <c r="X197" s="275">
        <v>52</v>
      </c>
      <c r="Y197" s="275">
        <v>29</v>
      </c>
      <c r="Z197" s="275">
        <v>1</v>
      </c>
      <c r="AA197" s="275">
        <v>28</v>
      </c>
      <c r="AB197" s="276">
        <v>1</v>
      </c>
      <c r="AC197" s="275">
        <v>0</v>
      </c>
      <c r="AD197" s="275">
        <v>0</v>
      </c>
      <c r="AE197" s="275">
        <v>0</v>
      </c>
      <c r="AF197" s="271" t="s">
        <v>208</v>
      </c>
      <c r="AG197" s="277">
        <f ca="1">Table2[[#This Row],[End Date]]+2-TODAY()</f>
        <v>-144</v>
      </c>
      <c r="AH197" s="275">
        <f>IF(ISBLANK(Table2[[#This Row],[Roster Received By]]),1,0)</f>
        <v>0</v>
      </c>
      <c r="AI197" s="275">
        <f ca="1">IF(Table2[[#This Row],[Start Date]]&gt;TODAY(),1,)</f>
        <v>0</v>
      </c>
    </row>
    <row r="198" spans="1:35" s="270" customFormat="1" x14ac:dyDescent="0.25">
      <c r="A198" s="347"/>
      <c r="B198" s="361" t="s">
        <v>27</v>
      </c>
      <c r="C198" s="348" t="str">
        <f>VLOOKUP(Table2[[#This Row],[Course]],Data!$A$1:$E$56,2,FALSE)</f>
        <v>A-493-0216</v>
      </c>
      <c r="D198" s="348" t="str">
        <f>VLOOKUP(Table2[[#This Row],[Course]],Data!$A$1:$E$56,3,FALSE)</f>
        <v>12X8</v>
      </c>
      <c r="E198" s="361" t="s">
        <v>144</v>
      </c>
      <c r="F198" s="352">
        <v>45385</v>
      </c>
      <c r="G198" s="352">
        <v>45385</v>
      </c>
      <c r="H198" s="344">
        <v>0.33333333333333331</v>
      </c>
      <c r="I198" s="365"/>
      <c r="J198" s="352"/>
      <c r="K198" s="352"/>
      <c r="L198" s="352"/>
      <c r="M198" s="352"/>
      <c r="N198" s="352"/>
      <c r="O198" s="340" t="s">
        <v>78</v>
      </c>
      <c r="P198" s="340"/>
      <c r="Q198" s="338"/>
      <c r="R198" s="353"/>
      <c r="S198" s="338"/>
      <c r="T198" s="347"/>
      <c r="U198" s="347"/>
      <c r="V198" s="338">
        <v>30</v>
      </c>
      <c r="W198" s="353">
        <v>1</v>
      </c>
      <c r="X198" s="353">
        <v>16</v>
      </c>
      <c r="Y198" s="353">
        <v>23</v>
      </c>
      <c r="Z198" s="353">
        <v>0</v>
      </c>
      <c r="AA198" s="338">
        <v>25</v>
      </c>
      <c r="AB198" s="338">
        <v>0</v>
      </c>
      <c r="AC198" s="339">
        <v>1</v>
      </c>
      <c r="AD198" s="339">
        <v>3</v>
      </c>
      <c r="AE198" s="339">
        <v>0</v>
      </c>
      <c r="AF198" s="340" t="s">
        <v>191</v>
      </c>
      <c r="AG198" s="341">
        <f ca="1">Table2[[#This Row],[End Date]]+2-TODAY()</f>
        <v>-145</v>
      </c>
      <c r="AH198" s="339">
        <f>IF(ISBLANK(Table2[[#This Row],[Roster Received By]]),1,0)</f>
        <v>0</v>
      </c>
      <c r="AI198" s="339">
        <f ca="1">IF(Table2[[#This Row],[Start Date]]&gt;TODAY(),1,)</f>
        <v>0</v>
      </c>
    </row>
    <row r="199" spans="1:35" s="270" customFormat="1" x14ac:dyDescent="0.25">
      <c r="A199" s="270" t="s">
        <v>510</v>
      </c>
      <c r="B199" s="271" t="s">
        <v>24</v>
      </c>
      <c r="C199" s="272" t="str">
        <f>VLOOKUP(Table2[[#This Row],[Course]],Data!$A$1:$E$56,2,FALSE)</f>
        <v>A-493-0083</v>
      </c>
      <c r="D199" s="272" t="str">
        <f>VLOOKUP(Table2[[#This Row],[Course]],Data!$A$1:$E$56,3,FALSE)</f>
        <v>339E</v>
      </c>
      <c r="E199" s="372" t="s">
        <v>116</v>
      </c>
      <c r="F199" s="273">
        <v>45386</v>
      </c>
      <c r="G199" s="273">
        <v>45386</v>
      </c>
      <c r="H199" s="274"/>
      <c r="I199" s="274">
        <v>8.3333333333333329E-2</v>
      </c>
      <c r="J199" s="274">
        <v>0.95833333333333337</v>
      </c>
      <c r="K199" s="274">
        <v>0.375</v>
      </c>
      <c r="L199" s="274">
        <v>0.33333333333333331</v>
      </c>
      <c r="M199" s="274">
        <v>0.83333333333333337</v>
      </c>
      <c r="N199" s="274">
        <v>0.625</v>
      </c>
      <c r="O199" s="271" t="s">
        <v>78</v>
      </c>
      <c r="P199" s="271"/>
      <c r="Q199" s="298" t="e">
        <v>#REF!</v>
      </c>
      <c r="R199" s="328" t="e">
        <v>#REF!</v>
      </c>
      <c r="S199" s="298"/>
      <c r="T199" s="301"/>
      <c r="U199" s="301"/>
      <c r="V199" s="275">
        <f>VLOOKUP(Table2[[#This Row],[Course]],Data!$A$1:$E$56,4,FALSE)</f>
        <v>30</v>
      </c>
      <c r="W199" s="275">
        <f>VLOOKUP(Table2[[#This Row],[Course]],Data!$A$1:$E$56,5,FALSE)</f>
        <v>1</v>
      </c>
      <c r="X199" s="275">
        <v>0</v>
      </c>
      <c r="Y199" s="275">
        <v>30</v>
      </c>
      <c r="Z199" s="275">
        <v>5</v>
      </c>
      <c r="AA199" s="275">
        <v>29</v>
      </c>
      <c r="AB199" s="276">
        <v>0</v>
      </c>
      <c r="AC199" s="275">
        <v>2</v>
      </c>
      <c r="AD199" s="275">
        <v>1</v>
      </c>
      <c r="AE199" s="275">
        <v>2</v>
      </c>
      <c r="AF199" s="271" t="s">
        <v>191</v>
      </c>
      <c r="AG199" s="277">
        <f ca="1">Table2[[#This Row],[End Date]]+2-TODAY()</f>
        <v>-144</v>
      </c>
      <c r="AH199" s="275">
        <f>IF(ISBLANK(Table2[[#This Row],[Roster Received By]]),1,0)</f>
        <v>0</v>
      </c>
      <c r="AI199" s="275">
        <f ca="1">IF(Table2[[#This Row],[Start Date]]&gt;TODAY(),1,)</f>
        <v>0</v>
      </c>
    </row>
    <row r="200" spans="1:35" s="270" customFormat="1" x14ac:dyDescent="0.25">
      <c r="A200" s="271"/>
      <c r="B200" s="271" t="s">
        <v>236</v>
      </c>
      <c r="C200" s="272" t="str">
        <f>VLOOKUP(Table2[[#This Row],[Course]],Data!$A$1:$E$56,2,FALSE)</f>
        <v>A-493-0103</v>
      </c>
      <c r="D200" s="272" t="str">
        <f>VLOOKUP(Table2[[#This Row],[Course]],Data!$A$1:$E$56,3,FALSE)</f>
        <v>12JY</v>
      </c>
      <c r="E200" s="271" t="s">
        <v>149</v>
      </c>
      <c r="F200" s="327">
        <v>45390</v>
      </c>
      <c r="G200" s="327">
        <v>45394</v>
      </c>
      <c r="H200" s="344">
        <v>0.33333333333333331</v>
      </c>
      <c r="I200" s="344"/>
      <c r="J200" s="327"/>
      <c r="K200" s="327"/>
      <c r="L200" s="327"/>
      <c r="M200" s="327"/>
      <c r="N200" s="327"/>
      <c r="O200" s="271" t="s">
        <v>94</v>
      </c>
      <c r="P200" s="271"/>
      <c r="Q200" s="331" t="e">
        <v>#REF!</v>
      </c>
      <c r="R200" s="331" t="e">
        <v>#REF!</v>
      </c>
      <c r="S200" s="332"/>
      <c r="V200" s="275">
        <f>VLOOKUP(Table2[[#This Row],[Course]],Data!$A$1:$E$56,4,FALSE)</f>
        <v>25</v>
      </c>
      <c r="W200" s="275">
        <f>VLOOKUP(Table2[[#This Row],[Course]],Data!$A$1:$E$56,5,FALSE)</f>
        <v>5</v>
      </c>
      <c r="X200" s="275">
        <v>18</v>
      </c>
      <c r="Y200" s="275">
        <v>23</v>
      </c>
      <c r="Z200" s="275">
        <v>0</v>
      </c>
      <c r="AA200" s="275">
        <v>18</v>
      </c>
      <c r="AB200" s="276">
        <v>0</v>
      </c>
      <c r="AC200" s="275">
        <v>5</v>
      </c>
      <c r="AD200" s="275">
        <v>0</v>
      </c>
      <c r="AE200" s="275">
        <v>0</v>
      </c>
      <c r="AF200" s="271" t="s">
        <v>189</v>
      </c>
      <c r="AG200" s="277">
        <f ca="1">Table2[[#This Row],[End Date]]+2-TODAY()</f>
        <v>-136</v>
      </c>
      <c r="AH200" s="275">
        <f>IF(ISBLANK(Table2[[#This Row],[Roster Received By]]),1,0)</f>
        <v>0</v>
      </c>
      <c r="AI200" s="275">
        <f ca="1">IF(Table2[[#This Row],[Start Date]]&gt;TODAY(),1,)</f>
        <v>0</v>
      </c>
    </row>
    <row r="201" spans="1:35" s="270" customFormat="1" x14ac:dyDescent="0.25">
      <c r="A201" s="272"/>
      <c r="B201" s="271" t="s">
        <v>236</v>
      </c>
      <c r="C201" s="272" t="str">
        <f>VLOOKUP(Table2[[#This Row],[Course]],Data!$A$1:$E$56,2,FALSE)</f>
        <v>A-493-0103</v>
      </c>
      <c r="D201" s="272" t="str">
        <f>VLOOKUP(Table2[[#This Row],[Course]],Data!$A$1:$E$56,3,FALSE)</f>
        <v>12JY</v>
      </c>
      <c r="E201" s="271" t="s">
        <v>165</v>
      </c>
      <c r="F201" s="327">
        <v>45390</v>
      </c>
      <c r="G201" s="327">
        <v>45394</v>
      </c>
      <c r="H201" s="344">
        <v>0.33333333333333331</v>
      </c>
      <c r="I201" s="344"/>
      <c r="J201" s="327"/>
      <c r="K201" s="327"/>
      <c r="L201" s="327"/>
      <c r="M201" s="327"/>
      <c r="N201" s="327"/>
      <c r="O201" s="271" t="s">
        <v>94</v>
      </c>
      <c r="P201" s="271"/>
      <c r="Q201" s="362" t="e">
        <v>#REF!</v>
      </c>
      <c r="R201" s="328" t="e">
        <v>#REF!</v>
      </c>
      <c r="S201" s="362"/>
      <c r="T201" s="363"/>
      <c r="U201" s="363"/>
      <c r="V201" s="275">
        <f>VLOOKUP(Table2[[#This Row],[Course]],Data!$A$1:$E$56,4,FALSE)</f>
        <v>25</v>
      </c>
      <c r="W201" s="275">
        <f>VLOOKUP(Table2[[#This Row],[Course]],Data!$A$1:$E$56,5,FALSE)</f>
        <v>5</v>
      </c>
      <c r="X201" s="275">
        <v>44</v>
      </c>
      <c r="Y201" s="275">
        <v>24</v>
      </c>
      <c r="Z201" s="275">
        <v>0</v>
      </c>
      <c r="AA201" s="342">
        <v>24</v>
      </c>
      <c r="AB201" s="276">
        <v>0</v>
      </c>
      <c r="AC201" s="275">
        <v>0</v>
      </c>
      <c r="AD201" s="275">
        <v>0</v>
      </c>
      <c r="AE201" s="275">
        <v>0</v>
      </c>
      <c r="AF201" s="271" t="s">
        <v>189</v>
      </c>
      <c r="AG201" s="277">
        <f ca="1">Table2[[#This Row],[End Date]]+2-TODAY()</f>
        <v>-136</v>
      </c>
      <c r="AH201" s="275">
        <f>IF(ISBLANK(Table2[[#This Row],[Roster Received By]]),1,0)</f>
        <v>0</v>
      </c>
      <c r="AI201" s="275">
        <f ca="1">IF(Table2[[#This Row],[Start Date]]&gt;TODAY(),1,)</f>
        <v>0</v>
      </c>
    </row>
    <row r="202" spans="1:35" s="270" customFormat="1" x14ac:dyDescent="0.25">
      <c r="B202" s="271" t="s">
        <v>14</v>
      </c>
      <c r="C202" s="272" t="str">
        <f>VLOOKUP(Table2[[#This Row],[Course]],Data!$A$1:$E$56,2,FALSE)</f>
        <v>A-493-0030</v>
      </c>
      <c r="D202" s="272" t="str">
        <f>VLOOKUP(Table2[[#This Row],[Course]],Data!$A$1:$E$56,3,FALSE)</f>
        <v>286X</v>
      </c>
      <c r="E202" s="271" t="s">
        <v>121</v>
      </c>
      <c r="F202" s="326">
        <v>45390</v>
      </c>
      <c r="G202" s="326">
        <v>45394</v>
      </c>
      <c r="H202" s="344">
        <v>0.33333333333333331</v>
      </c>
      <c r="I202" s="344"/>
      <c r="J202" s="327"/>
      <c r="K202" s="327"/>
      <c r="L202" s="327"/>
      <c r="M202" s="327"/>
      <c r="N202" s="327"/>
      <c r="O202" s="271" t="s">
        <v>95</v>
      </c>
      <c r="P202" s="271"/>
      <c r="Q202" s="298" t="e">
        <v>#REF!</v>
      </c>
      <c r="R202" s="328" t="e">
        <v>#REF!</v>
      </c>
      <c r="S202" s="298"/>
      <c r="T202" s="301"/>
      <c r="U202" s="301"/>
      <c r="V202" s="275">
        <f>VLOOKUP(Table2[[#This Row],[Course]],Data!$A$1:$E$56,4,FALSE)</f>
        <v>25</v>
      </c>
      <c r="W202" s="275">
        <f>VLOOKUP(Table2[[#This Row],[Course]],Data!$A$1:$E$56,5,FALSE)</f>
        <v>5</v>
      </c>
      <c r="X202" s="275">
        <v>10</v>
      </c>
      <c r="Y202" s="275">
        <v>25</v>
      </c>
      <c r="Z202" s="275">
        <v>0</v>
      </c>
      <c r="AA202" s="275">
        <v>18</v>
      </c>
      <c r="AB202" s="276">
        <v>2</v>
      </c>
      <c r="AC202" s="275">
        <v>5</v>
      </c>
      <c r="AD202" s="275">
        <v>1</v>
      </c>
      <c r="AE202" s="275">
        <v>0</v>
      </c>
      <c r="AF202" s="271" t="s">
        <v>213</v>
      </c>
      <c r="AG202" s="277">
        <f ca="1">Table2[[#This Row],[End Date]]+2-TODAY()</f>
        <v>-136</v>
      </c>
      <c r="AH202" s="275">
        <f>IF(ISBLANK(Table2[[#This Row],[Roster Received By]]),1,0)</f>
        <v>0</v>
      </c>
      <c r="AI202" s="275">
        <f ca="1">IF(Table2[[#This Row],[Start Date]]&gt;TODAY(),1,)</f>
        <v>0</v>
      </c>
    </row>
    <row r="203" spans="1:35" s="270" customFormat="1" x14ac:dyDescent="0.25">
      <c r="B203" s="271" t="s">
        <v>249</v>
      </c>
      <c r="C203" s="272" t="str">
        <f>VLOOKUP(Table2[[#This Row],[Course]],Data!$A$1:$E$56,2,FALSE)</f>
        <v>A-322-2604</v>
      </c>
      <c r="D203" s="272" t="str">
        <f>VLOOKUP(Table2[[#This Row],[Course]],Data!$A$1:$E$56,3,FALSE)</f>
        <v>10ZZ</v>
      </c>
      <c r="E203" s="271" t="s">
        <v>116</v>
      </c>
      <c r="F203" s="327">
        <v>45390</v>
      </c>
      <c r="G203" s="327">
        <v>45394</v>
      </c>
      <c r="H203" s="327"/>
      <c r="I203" s="274">
        <v>0.54166666666666663</v>
      </c>
      <c r="J203" s="274">
        <v>0.41666666666666669</v>
      </c>
      <c r="K203" s="274">
        <v>0.83333333333333337</v>
      </c>
      <c r="L203" s="274">
        <v>0.75</v>
      </c>
      <c r="M203" s="274">
        <v>0.29166666666666669</v>
      </c>
      <c r="N203" s="274">
        <v>8.3333333333333329E-2</v>
      </c>
      <c r="O203" s="271" t="s">
        <v>83</v>
      </c>
      <c r="P203" s="271"/>
      <c r="Q203" s="276" t="e">
        <v>#REF!</v>
      </c>
      <c r="R203" s="331" t="e">
        <v>#REF!</v>
      </c>
      <c r="S203" s="276"/>
      <c r="V203" s="275">
        <f>VLOOKUP(Table2[[#This Row],[Course]],Data!$A$1:$E$56,4,FALSE)</f>
        <v>45</v>
      </c>
      <c r="W203" s="275">
        <f>VLOOKUP(Table2[[#This Row],[Course]],Data!$A$1:$E$56,5,FALSE)</f>
        <v>5</v>
      </c>
      <c r="X203" s="275">
        <v>653</v>
      </c>
      <c r="Y203" s="275">
        <v>42</v>
      </c>
      <c r="Z203" s="275">
        <v>0</v>
      </c>
      <c r="AA203" s="275">
        <v>36</v>
      </c>
      <c r="AB203" s="276">
        <v>0</v>
      </c>
      <c r="AC203" s="275">
        <v>6</v>
      </c>
      <c r="AD203" s="275">
        <v>0</v>
      </c>
      <c r="AE203" s="275">
        <v>0</v>
      </c>
      <c r="AF203" s="271" t="s">
        <v>208</v>
      </c>
      <c r="AG203" s="277">
        <f ca="1">Table2[[#This Row],[End Date]]+2-TODAY()</f>
        <v>-136</v>
      </c>
      <c r="AH203" s="275">
        <f>IF(ISBLANK(Table2[[#This Row],[Roster Received By]]),1,0)</f>
        <v>0</v>
      </c>
      <c r="AI203" s="275">
        <f ca="1">IF(Table2[[#This Row],[Start Date]]&gt;TODAY(),1,)</f>
        <v>0</v>
      </c>
    </row>
    <row r="204" spans="1:35" s="270" customFormat="1" x14ac:dyDescent="0.25">
      <c r="B204" s="346" t="s">
        <v>23</v>
      </c>
      <c r="C204" s="272" t="str">
        <f>VLOOKUP(Table2[[#This Row],[Course]],Data!$A$1:$E$56,2,FALSE)</f>
        <v>A-493-0077</v>
      </c>
      <c r="D204" s="272" t="str">
        <f>VLOOKUP(Table2[[#This Row],[Course]],Data!$A$1:$E$56,3,FALSE)</f>
        <v>0381</v>
      </c>
      <c r="E204" s="346" t="s">
        <v>140</v>
      </c>
      <c r="F204" s="273">
        <v>45390</v>
      </c>
      <c r="G204" s="273">
        <v>45392</v>
      </c>
      <c r="H204" s="274">
        <v>0.33333333333333331</v>
      </c>
      <c r="I204" s="274"/>
      <c r="J204" s="327"/>
      <c r="K204" s="327"/>
      <c r="L204" s="327"/>
      <c r="M204" s="327"/>
      <c r="N204" s="327"/>
      <c r="O204" s="271" t="s">
        <v>78</v>
      </c>
      <c r="P204" s="271"/>
      <c r="Q204" s="298" t="e">
        <v>#REF!</v>
      </c>
      <c r="R204" s="328" t="e">
        <v>#REF!</v>
      </c>
      <c r="S204" s="298"/>
      <c r="T204" s="301"/>
      <c r="U204" s="301"/>
      <c r="V204" s="275">
        <f>VLOOKUP(Table2[[#This Row],[Course]],Data!$A$1:$E$56,4,FALSE)</f>
        <v>25</v>
      </c>
      <c r="W204" s="275">
        <f>VLOOKUP(Table2[[#This Row],[Course]],Data!$A$1:$E$56,5,FALSE)</f>
        <v>3</v>
      </c>
      <c r="X204" s="275">
        <v>86</v>
      </c>
      <c r="Y204" s="275">
        <v>25</v>
      </c>
      <c r="Z204" s="275">
        <v>2</v>
      </c>
      <c r="AA204" s="275">
        <v>14</v>
      </c>
      <c r="AB204" s="276">
        <v>0</v>
      </c>
      <c r="AC204" s="275">
        <v>11</v>
      </c>
      <c r="AD204" s="275">
        <v>0</v>
      </c>
      <c r="AE204" s="275">
        <v>0</v>
      </c>
      <c r="AF204" s="271" t="s">
        <v>191</v>
      </c>
      <c r="AG204" s="277">
        <f ca="1">Table2[[#This Row],[End Date]]+2-TODAY()</f>
        <v>-138</v>
      </c>
      <c r="AH204" s="275">
        <f>IF(ISBLANK(Table2[[#This Row],[Roster Received By]]),1,0)</f>
        <v>0</v>
      </c>
      <c r="AI204" s="275">
        <f ca="1">IF(Table2[[#This Row],[Start Date]]&gt;TODAY(),1,)</f>
        <v>0</v>
      </c>
    </row>
    <row r="205" spans="1:35" s="270" customFormat="1" x14ac:dyDescent="0.25">
      <c r="B205" s="325" t="s">
        <v>292</v>
      </c>
      <c r="C205" s="272" t="str">
        <f>VLOOKUP(Table2[[#This Row],[Course]],Data!$A$1:$E$56,2,FALSE)</f>
        <v>A-493-0078</v>
      </c>
      <c r="D205" s="272">
        <f>VLOOKUP(Table2[[#This Row],[Course]],Data!$A$1:$E$56,3,FALSE)</f>
        <v>1228</v>
      </c>
      <c r="E205" s="325" t="s">
        <v>116</v>
      </c>
      <c r="F205" s="326">
        <v>45390</v>
      </c>
      <c r="G205" s="326">
        <v>45394</v>
      </c>
      <c r="H205" s="327"/>
      <c r="I205" s="274">
        <v>0.54166666666666663</v>
      </c>
      <c r="J205" s="274">
        <v>0.41666666666666669</v>
      </c>
      <c r="K205" s="274">
        <v>0.83333333333333337</v>
      </c>
      <c r="L205" s="274">
        <v>0.75</v>
      </c>
      <c r="M205" s="274">
        <v>0.29166666666666669</v>
      </c>
      <c r="N205" s="274">
        <v>8.3333333333333329E-2</v>
      </c>
      <c r="O205" s="271" t="s">
        <v>80</v>
      </c>
      <c r="P205" s="271"/>
      <c r="Q205" s="328" t="e">
        <v>#REF!</v>
      </c>
      <c r="R205" s="328" t="e">
        <v>#REF!</v>
      </c>
      <c r="S205" s="357"/>
      <c r="T205" s="301"/>
      <c r="U205" s="301"/>
      <c r="V205" s="275">
        <f>VLOOKUP(Table2[[#This Row],[Course]],Data!$A$1:$E$56,4,FALSE)</f>
        <v>45</v>
      </c>
      <c r="W205" s="275">
        <f>VLOOKUP(Table2[[#This Row],[Course]],Data!$A$1:$E$56,5,FALSE)</f>
        <v>5</v>
      </c>
      <c r="X205" s="275">
        <v>836</v>
      </c>
      <c r="Y205" s="275">
        <v>42</v>
      </c>
      <c r="Z205" s="275">
        <v>0</v>
      </c>
      <c r="AA205" s="275">
        <v>39</v>
      </c>
      <c r="AB205" s="276">
        <v>0</v>
      </c>
      <c r="AC205" s="275">
        <v>3</v>
      </c>
      <c r="AD205" s="275">
        <v>0</v>
      </c>
      <c r="AE205" s="275">
        <v>0</v>
      </c>
      <c r="AF205" s="271" t="s">
        <v>213</v>
      </c>
      <c r="AG205" s="277">
        <f ca="1">Table2[[#This Row],[End Date]]+2-TODAY()</f>
        <v>-136</v>
      </c>
      <c r="AH205" s="275">
        <f>IF(ISBLANK(Table2[[#This Row],[Roster Received By]]),1,0)</f>
        <v>0</v>
      </c>
      <c r="AI205" s="275">
        <f ca="1">IF(Table2[[#This Row],[Start Date]]&gt;TODAY(),1,)</f>
        <v>0</v>
      </c>
    </row>
    <row r="206" spans="1:35" s="270" customFormat="1" x14ac:dyDescent="0.25">
      <c r="B206" s="325" t="s">
        <v>34</v>
      </c>
      <c r="C206" s="272" t="str">
        <f>VLOOKUP(Table2[[#This Row],[Course]],Data!$A$1:$E$56,2,FALSE)</f>
        <v>A-493-0085</v>
      </c>
      <c r="D206" s="272">
        <f>VLOOKUP(Table2[[#This Row],[Course]],Data!$A$1:$E$56,3,FALSE)</f>
        <v>3555</v>
      </c>
      <c r="E206" s="271" t="s">
        <v>116</v>
      </c>
      <c r="F206" s="327">
        <v>45390</v>
      </c>
      <c r="G206" s="327">
        <v>45393</v>
      </c>
      <c r="H206" s="327"/>
      <c r="I206" s="274">
        <v>0.79166666666666663</v>
      </c>
      <c r="J206" s="274">
        <v>0.66666666666666663</v>
      </c>
      <c r="K206" s="274">
        <v>8.3333333333333329E-2</v>
      </c>
      <c r="L206" s="274">
        <v>0</v>
      </c>
      <c r="M206" s="274">
        <v>0.54166666666666663</v>
      </c>
      <c r="N206" s="274">
        <v>0.33333333333333331</v>
      </c>
      <c r="O206" s="271" t="s">
        <v>81</v>
      </c>
      <c r="P206" s="271"/>
      <c r="Q206" s="328" t="e">
        <v>#REF!</v>
      </c>
      <c r="R206" s="328" t="e">
        <v>#REF!</v>
      </c>
      <c r="S206" s="328"/>
      <c r="T206" s="301"/>
      <c r="U206" s="301"/>
      <c r="V206" s="275">
        <f>VLOOKUP(Table2[[#This Row],[Course]],Data!$A$1:$E$56,4,FALSE)</f>
        <v>30</v>
      </c>
      <c r="W206" s="275">
        <f>VLOOKUP(Table2[[#This Row],[Course]],Data!$A$1:$E$56,5,FALSE)</f>
        <v>4</v>
      </c>
      <c r="X206" s="275">
        <v>86</v>
      </c>
      <c r="Y206" s="275">
        <v>30</v>
      </c>
      <c r="Z206" s="275">
        <v>1</v>
      </c>
      <c r="AA206" s="275">
        <v>24</v>
      </c>
      <c r="AB206" s="276">
        <v>1</v>
      </c>
      <c r="AC206" s="275">
        <v>7</v>
      </c>
      <c r="AD206" s="275">
        <v>0</v>
      </c>
      <c r="AE206" s="275">
        <v>0</v>
      </c>
      <c r="AF206" s="271" t="s">
        <v>208</v>
      </c>
      <c r="AG206" s="277">
        <f ca="1">Table2[[#This Row],[End Date]]+2-TODAY()</f>
        <v>-137</v>
      </c>
      <c r="AH206" s="275">
        <f>IF(ISBLANK(Table2[[#This Row],[Roster Received By]]),1,0)</f>
        <v>0</v>
      </c>
      <c r="AI206" s="275">
        <f ca="1">IF(Table2[[#This Row],[Start Date]]&gt;TODAY(),1,)</f>
        <v>0</v>
      </c>
    </row>
    <row r="207" spans="1:35" s="270" customFormat="1" x14ac:dyDescent="0.25">
      <c r="B207" s="271" t="s">
        <v>19</v>
      </c>
      <c r="C207" s="272" t="str">
        <f>VLOOKUP(Table2[[#This Row],[Course]],Data!$A$1:$E$56,2,FALSE)</f>
        <v>A-493-0099</v>
      </c>
      <c r="D207" s="272" t="str">
        <f>VLOOKUP(Table2[[#This Row],[Course]],Data!$A$1:$E$56,3,FALSE)</f>
        <v>12JW</v>
      </c>
      <c r="E207" s="271" t="s">
        <v>116</v>
      </c>
      <c r="F207" s="327">
        <v>45391</v>
      </c>
      <c r="G207" s="327">
        <v>45393</v>
      </c>
      <c r="H207" s="327"/>
      <c r="I207" s="274">
        <v>0.41666666666666669</v>
      </c>
      <c r="J207" s="274">
        <v>0.29166666666666669</v>
      </c>
      <c r="K207" s="274">
        <v>0.70833333333333337</v>
      </c>
      <c r="L207" s="274">
        <v>0.625</v>
      </c>
      <c r="M207" s="274">
        <v>0.16666666666666666</v>
      </c>
      <c r="N207" s="274">
        <v>0.95833333333333337</v>
      </c>
      <c r="O207" s="271" t="s">
        <v>88</v>
      </c>
      <c r="P207" s="271"/>
      <c r="Q207" s="331" t="e">
        <v>#REF!</v>
      </c>
      <c r="R207" s="331" t="e">
        <v>#REF!</v>
      </c>
      <c r="S207" s="332"/>
      <c r="V207" s="275">
        <f>VLOOKUP(Table2[[#This Row],[Course]],Data!$A$1:$E$56,4,FALSE)</f>
        <v>45</v>
      </c>
      <c r="W207" s="275">
        <f>VLOOKUP(Table2[[#This Row],[Course]],Data!$A$1:$E$56,5,FALSE)</f>
        <v>3</v>
      </c>
      <c r="X207" s="275">
        <v>381</v>
      </c>
      <c r="Y207" s="275">
        <v>21</v>
      </c>
      <c r="Z207" s="275">
        <v>0</v>
      </c>
      <c r="AA207" s="275">
        <v>16</v>
      </c>
      <c r="AB207" s="276">
        <v>0</v>
      </c>
      <c r="AC207" s="275">
        <v>3</v>
      </c>
      <c r="AD207" s="275">
        <v>0</v>
      </c>
      <c r="AE207" s="275">
        <v>0</v>
      </c>
      <c r="AF207" s="271" t="s">
        <v>189</v>
      </c>
      <c r="AG207" s="277">
        <f ca="1">Table2[[#This Row],[End Date]]+2-TODAY()</f>
        <v>-137</v>
      </c>
      <c r="AH207" s="275">
        <f>IF(ISBLANK(Table2[[#This Row],[Roster Received By]]),1,0)</f>
        <v>0</v>
      </c>
      <c r="AI207" s="275">
        <f ca="1">IF(Table2[[#This Row],[Start Date]]&gt;TODAY(),1,)</f>
        <v>0</v>
      </c>
    </row>
    <row r="208" spans="1:35" s="270" customFormat="1" x14ac:dyDescent="0.25">
      <c r="A208" s="271"/>
      <c r="B208" s="271" t="s">
        <v>20</v>
      </c>
      <c r="C208" s="272" t="str">
        <f>VLOOKUP(Table2[[#This Row],[Course]],Data!$A$1:$E$56,2,FALSE)</f>
        <v xml:space="preserve">A-493-0075 </v>
      </c>
      <c r="D208" s="272" t="str">
        <f>VLOOKUP(Table2[[#This Row],[Course]],Data!$A$1:$E$56,3,FALSE)</f>
        <v>714U</v>
      </c>
      <c r="E208" s="346" t="s">
        <v>359</v>
      </c>
      <c r="F208" s="327">
        <v>45391</v>
      </c>
      <c r="G208" s="327">
        <v>45394</v>
      </c>
      <c r="H208" s="344">
        <v>0.33333333333333331</v>
      </c>
      <c r="I208" s="344"/>
      <c r="J208" s="327"/>
      <c r="K208" s="327"/>
      <c r="L208" s="327"/>
      <c r="M208" s="327"/>
      <c r="N208" s="327"/>
      <c r="O208" s="271" t="s">
        <v>94</v>
      </c>
      <c r="P208" s="271"/>
      <c r="Q208" s="331" t="e">
        <v>#REF!</v>
      </c>
      <c r="R208" s="331" t="e">
        <v>#REF!</v>
      </c>
      <c r="S208" s="332"/>
      <c r="V208" s="275">
        <f>VLOOKUP(Table2[[#This Row],[Course]],Data!$A$1:$E$56,4,FALSE)</f>
        <v>30</v>
      </c>
      <c r="W208" s="275">
        <f>VLOOKUP(Table2[[#This Row],[Course]],Data!$A$1:$E$56,5,FALSE)</f>
        <v>4</v>
      </c>
      <c r="X208" s="275">
        <v>23</v>
      </c>
      <c r="Y208" s="275">
        <v>16</v>
      </c>
      <c r="Z208" s="275">
        <v>0</v>
      </c>
      <c r="AA208" s="275">
        <v>15</v>
      </c>
      <c r="AB208" s="276">
        <v>0</v>
      </c>
      <c r="AC208" s="275">
        <v>1</v>
      </c>
      <c r="AD208" s="275">
        <v>0</v>
      </c>
      <c r="AE208" s="275">
        <v>0</v>
      </c>
      <c r="AF208" s="271" t="s">
        <v>189</v>
      </c>
      <c r="AG208" s="277">
        <f ca="1">Table2[[#This Row],[End Date]]+2-TODAY()</f>
        <v>-136</v>
      </c>
      <c r="AH208" s="275">
        <f>IF(ISBLANK(Table2[[#This Row],[Roster Received By]]),1,0)</f>
        <v>0</v>
      </c>
      <c r="AI208" s="275">
        <f ca="1">IF(Table2[[#This Row],[Start Date]]&gt;TODAY(),1,)</f>
        <v>0</v>
      </c>
    </row>
    <row r="209" spans="1:35" s="270" customFormat="1" x14ac:dyDescent="0.25">
      <c r="B209" s="325" t="s">
        <v>270</v>
      </c>
      <c r="C209" s="272" t="str">
        <f>VLOOKUP(Table2[[#This Row],[Course]],Data!$A$1:$E$56,2,FALSE)</f>
        <v>A-493-0331</v>
      </c>
      <c r="D209" s="272" t="str">
        <f>VLOOKUP(Table2[[#This Row],[Course]],Data!$A$1:$E$56,3,FALSE)</f>
        <v>10UG</v>
      </c>
      <c r="E209" s="271" t="s">
        <v>116</v>
      </c>
      <c r="F209" s="330">
        <v>45391</v>
      </c>
      <c r="G209" s="330">
        <v>45393</v>
      </c>
      <c r="H209" s="327"/>
      <c r="I209" s="274">
        <v>0.5</v>
      </c>
      <c r="J209" s="274">
        <v>0.375</v>
      </c>
      <c r="K209" s="274">
        <v>0.79166666666666663</v>
      </c>
      <c r="L209" s="274">
        <v>0.70833333333333337</v>
      </c>
      <c r="M209" s="274">
        <v>0.25</v>
      </c>
      <c r="N209" s="274">
        <v>4.1666666666666664E-2</v>
      </c>
      <c r="O209" s="271" t="s">
        <v>84</v>
      </c>
      <c r="P209" s="271"/>
      <c r="Q209" s="328" t="e">
        <v>#REF!</v>
      </c>
      <c r="R209" s="328" t="e">
        <v>#REF!</v>
      </c>
      <c r="S209" s="357"/>
      <c r="T209" s="301"/>
      <c r="U209" s="301"/>
      <c r="V209" s="275">
        <f>VLOOKUP(Table2[[#This Row],[Course]],Data!$A$1:$E$56,4,FALSE)</f>
        <v>40</v>
      </c>
      <c r="W209" s="275">
        <f>VLOOKUP(Table2[[#This Row],[Course]],Data!$A$1:$E$56,5,FALSE)</f>
        <v>3</v>
      </c>
      <c r="X209" s="275">
        <v>709</v>
      </c>
      <c r="Y209" s="275">
        <v>39</v>
      </c>
      <c r="Z209" s="275">
        <v>4</v>
      </c>
      <c r="AA209" s="275">
        <v>28</v>
      </c>
      <c r="AB209" s="276">
        <v>1</v>
      </c>
      <c r="AC209" s="275">
        <v>10</v>
      </c>
      <c r="AD209" s="275">
        <v>0</v>
      </c>
      <c r="AE209" s="275">
        <v>0</v>
      </c>
      <c r="AF209" s="271" t="s">
        <v>208</v>
      </c>
      <c r="AG209" s="277">
        <f ca="1">Table2[[#This Row],[End Date]]+2-TODAY()</f>
        <v>-137</v>
      </c>
      <c r="AH209" s="275">
        <f>IF(ISBLANK(Table2[[#This Row],[Roster Received By]]),1,0)</f>
        <v>0</v>
      </c>
      <c r="AI209" s="275">
        <f ca="1">IF(Table2[[#This Row],[Start Date]]&gt;TODAY(),1,)</f>
        <v>0</v>
      </c>
    </row>
    <row r="210" spans="1:35" s="270" customFormat="1" x14ac:dyDescent="0.25">
      <c r="B210" s="271" t="s">
        <v>24</v>
      </c>
      <c r="C210" s="272" t="str">
        <f>VLOOKUP(Table2[[#This Row],[Course]],Data!$A$1:$E$56,2,FALSE)</f>
        <v>A-493-0083</v>
      </c>
      <c r="D210" s="272" t="str">
        <f>VLOOKUP(Table2[[#This Row],[Course]],Data!$A$1:$E$56,3,FALSE)</f>
        <v>339E</v>
      </c>
      <c r="E210" s="346" t="s">
        <v>140</v>
      </c>
      <c r="F210" s="273">
        <v>45393</v>
      </c>
      <c r="G210" s="273">
        <v>45393</v>
      </c>
      <c r="H210" s="274">
        <v>0.33333333333333331</v>
      </c>
      <c r="I210" s="274"/>
      <c r="J210" s="327"/>
      <c r="K210" s="327"/>
      <c r="L210" s="327"/>
      <c r="M210" s="327"/>
      <c r="N210" s="327"/>
      <c r="O210" s="271" t="s">
        <v>78</v>
      </c>
      <c r="P210" s="271"/>
      <c r="Q210" s="298" t="e">
        <v>#REF!</v>
      </c>
      <c r="R210" s="328" t="e">
        <v>#REF!</v>
      </c>
      <c r="S210" s="298"/>
      <c r="T210" s="301"/>
      <c r="U210" s="301"/>
      <c r="V210" s="275">
        <f>VLOOKUP(Table2[[#This Row],[Course]],Data!$A$1:$E$56,4,FALSE)</f>
        <v>30</v>
      </c>
      <c r="W210" s="275">
        <f>VLOOKUP(Table2[[#This Row],[Course]],Data!$A$1:$E$56,5,FALSE)</f>
        <v>1</v>
      </c>
      <c r="X210" s="275">
        <v>191</v>
      </c>
      <c r="Y210" s="275">
        <v>25</v>
      </c>
      <c r="Z210" s="275">
        <v>0</v>
      </c>
      <c r="AA210" s="275">
        <v>27</v>
      </c>
      <c r="AB210" s="276">
        <v>0</v>
      </c>
      <c r="AC210" s="275">
        <v>2</v>
      </c>
      <c r="AD210" s="275">
        <v>4</v>
      </c>
      <c r="AE210" s="275">
        <v>0</v>
      </c>
      <c r="AF210" s="271" t="s">
        <v>191</v>
      </c>
      <c r="AG210" s="277">
        <f ca="1">Table2[[#This Row],[End Date]]+2-TODAY()</f>
        <v>-137</v>
      </c>
      <c r="AH210" s="275">
        <f>IF(ISBLANK(Table2[[#This Row],[Roster Received By]]),1,0)</f>
        <v>0</v>
      </c>
      <c r="AI210" s="275">
        <f ca="1">IF(Table2[[#This Row],[Start Date]]&gt;TODAY(),1,)</f>
        <v>0</v>
      </c>
    </row>
    <row r="211" spans="1:35" s="270" customFormat="1" x14ac:dyDescent="0.25">
      <c r="B211" s="271" t="s">
        <v>184</v>
      </c>
      <c r="C211" s="272" t="str">
        <f>VLOOKUP(Table2[[#This Row],[Course]],Data!$A$1:$E$56,2,FALSE)</f>
        <v>A-4J-0022</v>
      </c>
      <c r="D211" s="272" t="str">
        <f>VLOOKUP(Table2[[#This Row],[Course]],Data!$A$1:$E$56,3,FALSE)</f>
        <v>09ER</v>
      </c>
      <c r="E211" s="271" t="s">
        <v>116</v>
      </c>
      <c r="F211" s="273">
        <v>45397</v>
      </c>
      <c r="G211" s="327">
        <v>45401</v>
      </c>
      <c r="H211" s="327"/>
      <c r="I211" s="274">
        <v>0.54166666666666663</v>
      </c>
      <c r="J211" s="274">
        <v>0.41666666666666669</v>
      </c>
      <c r="K211" s="274">
        <v>0.83333333333333337</v>
      </c>
      <c r="L211" s="274">
        <v>0.75</v>
      </c>
      <c r="M211" s="274">
        <v>0.29166666666666669</v>
      </c>
      <c r="N211" s="274">
        <v>8.3333333333333329E-2</v>
      </c>
      <c r="O211" s="270" t="s">
        <v>187</v>
      </c>
      <c r="Q211" s="276" t="e">
        <v>#REF!</v>
      </c>
      <c r="R211" s="331" t="e">
        <v>#REF!</v>
      </c>
      <c r="S211" s="276"/>
      <c r="V211" s="275">
        <f>VLOOKUP(Table2[[#This Row],[Course]],Data!$A$1:$E$56,4,FALSE)</f>
        <v>45</v>
      </c>
      <c r="W211" s="275">
        <f>VLOOKUP(Table2[[#This Row],[Course]],Data!$A$1:$E$56,5,FALSE)</f>
        <v>5</v>
      </c>
      <c r="X211" s="275">
        <v>282</v>
      </c>
      <c r="Y211" s="275">
        <v>26</v>
      </c>
      <c r="Z211" s="275">
        <v>0</v>
      </c>
      <c r="AA211" s="275">
        <v>24</v>
      </c>
      <c r="AB211" s="276">
        <v>0</v>
      </c>
      <c r="AC211" s="275">
        <v>2</v>
      </c>
      <c r="AD211" s="275">
        <v>0</v>
      </c>
      <c r="AE211" s="275">
        <v>0</v>
      </c>
      <c r="AF211" s="271" t="s">
        <v>191</v>
      </c>
      <c r="AG211" s="277">
        <f ca="1">Table2[[#This Row],[End Date]]+2-TODAY()</f>
        <v>-129</v>
      </c>
      <c r="AH211" s="275">
        <f>IF(ISBLANK(Table2[[#This Row],[Roster Received By]]),1,0)</f>
        <v>0</v>
      </c>
      <c r="AI211" s="275">
        <f ca="1">IF(Table2[[#This Row],[Start Date]]&gt;TODAY(),1,)</f>
        <v>0</v>
      </c>
    </row>
    <row r="212" spans="1:35" s="270" customFormat="1" x14ac:dyDescent="0.25">
      <c r="A212" s="270" t="s">
        <v>493</v>
      </c>
      <c r="B212" s="271" t="s">
        <v>339</v>
      </c>
      <c r="C212" s="272" t="str">
        <f>VLOOKUP(Table2[[#This Row],[Course]],Data!$A$1:$E$56,2,FALSE)</f>
        <v>NA</v>
      </c>
      <c r="D212" s="272" t="str">
        <f>VLOOKUP(Table2[[#This Row],[Course]],Data!$A$1:$E$56,3,FALSE)</f>
        <v>NA</v>
      </c>
      <c r="E212" s="271" t="s">
        <v>140</v>
      </c>
      <c r="F212" s="327">
        <v>45397</v>
      </c>
      <c r="G212" s="327">
        <v>45397</v>
      </c>
      <c r="H212" s="344">
        <v>0.375</v>
      </c>
      <c r="I212" s="344"/>
      <c r="J212" s="327"/>
      <c r="K212" s="327"/>
      <c r="L212" s="327"/>
      <c r="M212" s="327"/>
      <c r="N212" s="327"/>
      <c r="O212" s="271"/>
      <c r="P212" s="271"/>
      <c r="Q212" s="276" t="e">
        <v>#REF!</v>
      </c>
      <c r="R212" s="331" t="e">
        <v>#REF!</v>
      </c>
      <c r="S212" s="332">
        <v>0</v>
      </c>
      <c r="T212" s="270">
        <v>0</v>
      </c>
      <c r="U212" s="270">
        <v>0</v>
      </c>
      <c r="V212" s="275">
        <f>VLOOKUP(Table2[[#This Row],[Course]],Data!$A$1:$E$56,4,FALSE)</f>
        <v>0</v>
      </c>
      <c r="W212" s="275">
        <f>VLOOKUP(Table2[[#This Row],[Course]],Data!$A$1:$E$56,5,FALSE)</f>
        <v>0</v>
      </c>
      <c r="X212" s="275">
        <v>0</v>
      </c>
      <c r="Y212" s="275">
        <v>0</v>
      </c>
      <c r="Z212" s="275">
        <v>0</v>
      </c>
      <c r="AA212" s="275">
        <v>0</v>
      </c>
      <c r="AB212" s="276">
        <v>0</v>
      </c>
      <c r="AC212" s="275">
        <v>0</v>
      </c>
      <c r="AD212" s="275">
        <v>0</v>
      </c>
      <c r="AE212" s="275">
        <v>0</v>
      </c>
      <c r="AF212" s="271" t="s">
        <v>194</v>
      </c>
      <c r="AG212" s="277">
        <f ca="1">Table2[[#This Row],[End Date]]+2-TODAY()</f>
        <v>-133</v>
      </c>
      <c r="AH212" s="275">
        <f>IF(ISBLANK(Table2[[#This Row],[Roster Received By]]),1,0)</f>
        <v>0</v>
      </c>
      <c r="AI212" s="275">
        <f ca="1">IF(Table2[[#This Row],[Start Date]]&gt;TODAY(),1,)</f>
        <v>0</v>
      </c>
    </row>
    <row r="213" spans="1:35" s="301" customFormat="1" x14ac:dyDescent="0.25">
      <c r="A213" s="270"/>
      <c r="B213" s="271" t="s">
        <v>17</v>
      </c>
      <c r="C213" s="272" t="str">
        <f>VLOOKUP(Table2[[#This Row],[Course]],Data!$A$1:$E$56,2,FALSE)</f>
        <v>A-493-0012</v>
      </c>
      <c r="D213" s="272">
        <f>VLOOKUP(Table2[[#This Row],[Course]],Data!$A$1:$E$56,3,FALSE)</f>
        <v>3682</v>
      </c>
      <c r="E213" s="346" t="s">
        <v>160</v>
      </c>
      <c r="F213" s="273">
        <v>45397</v>
      </c>
      <c r="G213" s="327">
        <v>45401</v>
      </c>
      <c r="H213" s="344">
        <v>0.33333333333333331</v>
      </c>
      <c r="I213" s="344"/>
      <c r="J213" s="327"/>
      <c r="K213" s="327"/>
      <c r="L213" s="327"/>
      <c r="M213" s="327"/>
      <c r="N213" s="327"/>
      <c r="O213" s="271" t="s">
        <v>78</v>
      </c>
      <c r="P213" s="271"/>
      <c r="Q213" s="276" t="e">
        <v>#REF!</v>
      </c>
      <c r="R213" s="331" t="e">
        <v>#REF!</v>
      </c>
      <c r="S213" s="276"/>
      <c r="T213" s="270"/>
      <c r="U213" s="270"/>
      <c r="V213" s="275">
        <f>VLOOKUP(Table2[[#This Row],[Course]],Data!$A$1:$E$56,4,FALSE)</f>
        <v>40</v>
      </c>
      <c r="W213" s="275">
        <f>VLOOKUP(Table2[[#This Row],[Course]],Data!$A$1:$E$56,5,FALSE)</f>
        <v>5</v>
      </c>
      <c r="X213" s="275">
        <v>20</v>
      </c>
      <c r="Y213" s="275">
        <v>14</v>
      </c>
      <c r="Z213" s="275">
        <v>0</v>
      </c>
      <c r="AA213" s="275">
        <v>12</v>
      </c>
      <c r="AB213" s="276">
        <v>0</v>
      </c>
      <c r="AC213" s="275">
        <v>2</v>
      </c>
      <c r="AD213" s="275">
        <v>0</v>
      </c>
      <c r="AE213" s="275">
        <v>0</v>
      </c>
      <c r="AF213" s="271" t="s">
        <v>191</v>
      </c>
      <c r="AG213" s="277">
        <f ca="1">Table2[[#This Row],[End Date]]+2-TODAY()</f>
        <v>-129</v>
      </c>
      <c r="AH213" s="275">
        <f>IF(ISBLANK(Table2[[#This Row],[Roster Received By]]),1,0)</f>
        <v>0</v>
      </c>
      <c r="AI213" s="275">
        <f ca="1">IF(Table2[[#This Row],[Start Date]]&gt;TODAY(),1,)</f>
        <v>0</v>
      </c>
    </row>
    <row r="214" spans="1:35" s="270" customFormat="1" x14ac:dyDescent="0.25">
      <c r="B214" s="271" t="s">
        <v>24</v>
      </c>
      <c r="C214" s="272" t="str">
        <f>VLOOKUP(Table2[[#This Row],[Course]],Data!$A$1:$E$56,2,FALSE)</f>
        <v>A-493-0083</v>
      </c>
      <c r="D214" s="272" t="str">
        <f>VLOOKUP(Table2[[#This Row],[Course]],Data!$A$1:$E$56,3,FALSE)</f>
        <v>339E</v>
      </c>
      <c r="E214" s="271" t="s">
        <v>116</v>
      </c>
      <c r="F214" s="273">
        <v>45397</v>
      </c>
      <c r="G214" s="273">
        <v>45397</v>
      </c>
      <c r="H214" s="273"/>
      <c r="I214" s="274">
        <v>0.58333333333333337</v>
      </c>
      <c r="J214" s="381">
        <v>0.45833333333333331</v>
      </c>
      <c r="K214" s="381">
        <v>0.875</v>
      </c>
      <c r="L214" s="381">
        <v>0.79166666666666663</v>
      </c>
      <c r="M214" s="381">
        <v>0.33333333333333331</v>
      </c>
      <c r="N214" s="274">
        <v>0.125</v>
      </c>
      <c r="O214" s="271" t="s">
        <v>78</v>
      </c>
      <c r="P214" s="271"/>
      <c r="Q214" s="298" t="e">
        <v>#REF!</v>
      </c>
      <c r="R214" s="328" t="e">
        <v>#REF!</v>
      </c>
      <c r="S214" s="298"/>
      <c r="T214" s="301"/>
      <c r="U214" s="301"/>
      <c r="V214" s="275">
        <f>VLOOKUP(Table2[[#This Row],[Course]],Data!$A$1:$E$56,4,FALSE)</f>
        <v>30</v>
      </c>
      <c r="W214" s="275">
        <f>VLOOKUP(Table2[[#This Row],[Course]],Data!$A$1:$E$56,5,FALSE)</f>
        <v>1</v>
      </c>
      <c r="X214" s="275">
        <v>0</v>
      </c>
      <c r="Y214" s="275">
        <v>30</v>
      </c>
      <c r="Z214" s="275">
        <v>5</v>
      </c>
      <c r="AA214" s="275">
        <v>18</v>
      </c>
      <c r="AB214" s="276">
        <v>0</v>
      </c>
      <c r="AC214" s="275">
        <v>12</v>
      </c>
      <c r="AD214" s="275">
        <v>0</v>
      </c>
      <c r="AE214" s="275">
        <v>0</v>
      </c>
      <c r="AF214" s="271" t="s">
        <v>191</v>
      </c>
      <c r="AG214" s="277">
        <f ca="1">Table2[[#This Row],[End Date]]+2-TODAY()</f>
        <v>-133</v>
      </c>
      <c r="AH214" s="275">
        <f>IF(ISBLANK(Table2[[#This Row],[Roster Received By]]),1,0)</f>
        <v>0</v>
      </c>
      <c r="AI214" s="275">
        <f ca="1">IF(Table2[[#This Row],[Start Date]]&gt;TODAY(),1,)</f>
        <v>0</v>
      </c>
    </row>
    <row r="215" spans="1:35" s="270" customFormat="1" x14ac:dyDescent="0.25">
      <c r="A215" s="301"/>
      <c r="B215" s="307" t="s">
        <v>332</v>
      </c>
      <c r="C215" s="308" t="str">
        <f>VLOOKUP(Table2[[#This Row],[Course]],Data!$A$1:$E$56,2,FALSE)</f>
        <v>PDS</v>
      </c>
      <c r="D215" s="308" t="str">
        <f>VLOOKUP(Table2[[#This Row],[Course]],Data!$A$1:$E$56,3,FALSE)</f>
        <v>PDS</v>
      </c>
      <c r="E215" s="307"/>
      <c r="F215" s="310">
        <v>45397</v>
      </c>
      <c r="G215" s="310">
        <v>45408</v>
      </c>
      <c r="H215" s="311">
        <v>0</v>
      </c>
      <c r="I215" s="311">
        <v>0</v>
      </c>
      <c r="J215" s="311">
        <v>0</v>
      </c>
      <c r="K215" s="311">
        <v>0</v>
      </c>
      <c r="L215" s="311">
        <v>0</v>
      </c>
      <c r="M215" s="311">
        <v>0</v>
      </c>
      <c r="N215" s="311">
        <v>0</v>
      </c>
      <c r="O215" s="299"/>
      <c r="P215" s="299"/>
      <c r="Q215" s="328" t="e">
        <v>#REF!</v>
      </c>
      <c r="R215" s="328" t="e">
        <v>#REF!</v>
      </c>
      <c r="S215" s="357">
        <v>0</v>
      </c>
      <c r="T215" s="301">
        <v>0</v>
      </c>
      <c r="U215" s="301">
        <v>0</v>
      </c>
      <c r="V215" s="296">
        <f>VLOOKUP(Table2[[#This Row],[Course]],Data!$A$1:$E$56,4,FALSE)</f>
        <v>0</v>
      </c>
      <c r="W215" s="296">
        <f>VLOOKUP(Table2[[#This Row],[Course]],Data!$A$1:$E$56,5,FALSE)</f>
        <v>0</v>
      </c>
      <c r="X215" s="296"/>
      <c r="Y215" s="296"/>
      <c r="Z215" s="296"/>
      <c r="AA215" s="296">
        <v>0</v>
      </c>
      <c r="AB215" s="298">
        <v>0</v>
      </c>
      <c r="AC215" s="296">
        <v>0</v>
      </c>
      <c r="AD215" s="296">
        <v>0</v>
      </c>
      <c r="AE215" s="296">
        <v>0</v>
      </c>
      <c r="AF215" s="299" t="s">
        <v>194</v>
      </c>
      <c r="AG215" s="300">
        <f ca="1">Table2[[#This Row],[End Date]]+2-TODAY()</f>
        <v>-122</v>
      </c>
      <c r="AH215" s="296">
        <f>IF(ISBLANK(Table2[[#This Row],[Roster Received By]]),1,0)</f>
        <v>0</v>
      </c>
      <c r="AI215" s="296">
        <f ca="1">IF(Table2[[#This Row],[Start Date]]&gt;TODAY(),1,)</f>
        <v>0</v>
      </c>
    </row>
    <row r="216" spans="1:35" s="270" customFormat="1" x14ac:dyDescent="0.25">
      <c r="B216" s="271" t="s">
        <v>18</v>
      </c>
      <c r="C216" s="272" t="str">
        <f>VLOOKUP(Table2[[#This Row],[Course]],Data!$A$1:$E$56,2,FALSE)</f>
        <v>A-493-0013</v>
      </c>
      <c r="D216" s="272">
        <f>VLOOKUP(Table2[[#This Row],[Course]],Data!$A$1:$E$56,3,FALSE)</f>
        <v>3683</v>
      </c>
      <c r="E216" s="271" t="s">
        <v>148</v>
      </c>
      <c r="F216" s="327">
        <v>45398</v>
      </c>
      <c r="G216" s="327">
        <v>45400</v>
      </c>
      <c r="H216" s="344">
        <v>0.33333333333333331</v>
      </c>
      <c r="I216" s="344"/>
      <c r="J216" s="327"/>
      <c r="K216" s="327"/>
      <c r="L216" s="327"/>
      <c r="M216" s="327"/>
      <c r="N216" s="327"/>
      <c r="O216" s="271" t="s">
        <v>78</v>
      </c>
      <c r="P216" s="271"/>
      <c r="Q216" s="276" t="e">
        <v>#REF!</v>
      </c>
      <c r="R216" s="331" t="e">
        <v>#REF!</v>
      </c>
      <c r="S216" s="276"/>
      <c r="V216" s="275">
        <f>VLOOKUP(Table2[[#This Row],[Course]],Data!$A$1:$E$56,4,FALSE)</f>
        <v>40</v>
      </c>
      <c r="W216" s="275">
        <v>3</v>
      </c>
      <c r="X216" s="275">
        <v>0</v>
      </c>
      <c r="Y216" s="275">
        <v>18</v>
      </c>
      <c r="Z216" s="275">
        <v>0</v>
      </c>
      <c r="AA216" s="275">
        <v>17</v>
      </c>
      <c r="AB216" s="276">
        <v>0</v>
      </c>
      <c r="AC216" s="275">
        <v>0</v>
      </c>
      <c r="AD216" s="275">
        <v>0</v>
      </c>
      <c r="AE216" s="275">
        <v>0</v>
      </c>
      <c r="AF216" s="271" t="s">
        <v>191</v>
      </c>
      <c r="AG216" s="277">
        <f ca="1">Table2[[#This Row],[End Date]]+2-TODAY()</f>
        <v>-130</v>
      </c>
      <c r="AH216" s="275">
        <f>IF(ISBLANK(Table2[[#This Row],[Roster Received By]]),1,0)</f>
        <v>0</v>
      </c>
      <c r="AI216" s="275">
        <f ca="1">IF(Table2[[#This Row],[Start Date]]&gt;TODAY(),1,)</f>
        <v>0</v>
      </c>
    </row>
    <row r="217" spans="1:35" s="270" customFormat="1" x14ac:dyDescent="0.25">
      <c r="B217" s="325" t="s">
        <v>26</v>
      </c>
      <c r="C217" s="272" t="str">
        <f>VLOOKUP(Table2[[#This Row],[Course]],Data!$A$1:$E$56,2,FALSE)</f>
        <v>A-493-2301</v>
      </c>
      <c r="D217" s="272" t="str">
        <f>VLOOKUP(Table2[[#This Row],[Course]],Data!$A$1:$E$56,3,FALSE)</f>
        <v>05ZD</v>
      </c>
      <c r="E217" s="356" t="s">
        <v>103</v>
      </c>
      <c r="F217" s="326">
        <v>45399</v>
      </c>
      <c r="G217" s="326">
        <v>45399</v>
      </c>
      <c r="H217" s="344">
        <v>0.33333333333333331</v>
      </c>
      <c r="I217" s="344"/>
      <c r="J217" s="327"/>
      <c r="K217" s="327"/>
      <c r="L217" s="327"/>
      <c r="M217" s="327"/>
      <c r="N217" s="327"/>
      <c r="O217" s="271" t="s">
        <v>78</v>
      </c>
      <c r="P217" s="271"/>
      <c r="Q217" s="298" t="e">
        <v>#REF!</v>
      </c>
      <c r="R217" s="328" t="e">
        <v>#REF!</v>
      </c>
      <c r="S217" s="298"/>
      <c r="T217" s="301"/>
      <c r="U217" s="301"/>
      <c r="V217" s="275">
        <f>VLOOKUP(Table2[[#This Row],[Course]],Data!$A$1:$E$56,4,FALSE)</f>
        <v>30</v>
      </c>
      <c r="W217" s="275">
        <f>VLOOKUP(Table2[[#This Row],[Course]],Data!$A$1:$E$56,5,FALSE)</f>
        <v>1</v>
      </c>
      <c r="X217" s="275">
        <v>36</v>
      </c>
      <c r="Y217" s="275">
        <v>20</v>
      </c>
      <c r="Z217" s="275">
        <v>0</v>
      </c>
      <c r="AA217" s="275">
        <v>16</v>
      </c>
      <c r="AB217" s="276">
        <v>0</v>
      </c>
      <c r="AC217" s="275">
        <v>5</v>
      </c>
      <c r="AD217" s="275">
        <v>1</v>
      </c>
      <c r="AE217" s="272">
        <v>0</v>
      </c>
      <c r="AF217" s="271" t="s">
        <v>191</v>
      </c>
      <c r="AG217" s="277">
        <f ca="1">Table2[[#This Row],[End Date]]+2-TODAY()</f>
        <v>-131</v>
      </c>
      <c r="AH217" s="275">
        <f>IF(ISBLANK(Table2[[#This Row],[Roster Received By]]),1,0)</f>
        <v>0</v>
      </c>
      <c r="AI217" s="275">
        <f ca="1">IF(Table2[[#This Row],[Start Date]]&gt;TODAY(),1,)</f>
        <v>0</v>
      </c>
    </row>
    <row r="218" spans="1:35" s="270" customFormat="1" x14ac:dyDescent="0.25">
      <c r="B218" s="325" t="s">
        <v>27</v>
      </c>
      <c r="C218" s="272" t="str">
        <f>VLOOKUP(Table2[[#This Row],[Course]],Data!$A$1:$E$56,2,FALSE)</f>
        <v>A-493-0216</v>
      </c>
      <c r="D218" s="272" t="str">
        <f>VLOOKUP(Table2[[#This Row],[Course]],Data!$A$1:$E$56,3,FALSE)</f>
        <v>12X8</v>
      </c>
      <c r="E218" s="346" t="s">
        <v>103</v>
      </c>
      <c r="F218" s="327">
        <v>45400</v>
      </c>
      <c r="G218" s="327">
        <v>45400</v>
      </c>
      <c r="H218" s="344">
        <v>0.33333333333333331</v>
      </c>
      <c r="I218" s="344"/>
      <c r="J218" s="327"/>
      <c r="K218" s="327"/>
      <c r="L218" s="327"/>
      <c r="M218" s="327"/>
      <c r="N218" s="327"/>
      <c r="O218" s="271" t="s">
        <v>78</v>
      </c>
      <c r="P218" s="271"/>
      <c r="Q218" s="298" t="e">
        <v>#REF!</v>
      </c>
      <c r="R218" s="328" t="e">
        <v>#REF!</v>
      </c>
      <c r="S218" s="298"/>
      <c r="T218" s="301"/>
      <c r="U218" s="301"/>
      <c r="V218" s="275">
        <f>VLOOKUP(Table2[[#This Row],[Course]],Data!$A$1:$E$56,4,FALSE)</f>
        <v>30</v>
      </c>
      <c r="W218" s="275">
        <f>VLOOKUP(Table2[[#This Row],[Course]],Data!$A$1:$E$56,5,FALSE)</f>
        <v>1</v>
      </c>
      <c r="X218" s="275">
        <v>42</v>
      </c>
      <c r="Y218" s="275">
        <v>15</v>
      </c>
      <c r="Z218" s="275">
        <v>0</v>
      </c>
      <c r="AA218" s="275">
        <v>16</v>
      </c>
      <c r="AB218" s="276">
        <v>0</v>
      </c>
      <c r="AC218" s="275">
        <v>7</v>
      </c>
      <c r="AD218" s="275">
        <v>8</v>
      </c>
      <c r="AE218" s="275">
        <v>0</v>
      </c>
      <c r="AF218" s="271" t="s">
        <v>191</v>
      </c>
      <c r="AG218" s="277">
        <f ca="1">Table2[[#This Row],[End Date]]+2-TODAY()</f>
        <v>-130</v>
      </c>
      <c r="AH218" s="275">
        <f>IF(ISBLANK(Table2[[#This Row],[Roster Received By]]),1,0)</f>
        <v>0</v>
      </c>
      <c r="AI218" s="275">
        <f ca="1">IF(Table2[[#This Row],[Start Date]]&gt;TODAY(),1,)</f>
        <v>0</v>
      </c>
    </row>
    <row r="219" spans="1:35" s="270" customFormat="1" x14ac:dyDescent="0.25">
      <c r="B219" s="325" t="s">
        <v>35</v>
      </c>
      <c r="C219" s="272" t="str">
        <f>VLOOKUP(Table2[[#This Row],[Course]],Data!$A$1:$E$56,2,FALSE)</f>
        <v>A-493-2501</v>
      </c>
      <c r="D219" s="272" t="str">
        <f>VLOOKUP(Table2[[#This Row],[Course]],Data!$A$1:$E$56,3,FALSE)</f>
        <v>05ZE</v>
      </c>
      <c r="E219" s="356" t="s">
        <v>103</v>
      </c>
      <c r="F219" s="326">
        <v>45401</v>
      </c>
      <c r="G219" s="326">
        <v>45401</v>
      </c>
      <c r="H219" s="344">
        <v>0.33333333333333331</v>
      </c>
      <c r="I219" s="344"/>
      <c r="J219" s="326"/>
      <c r="K219" s="326"/>
      <c r="L219" s="326"/>
      <c r="M219" s="326"/>
      <c r="N219" s="327"/>
      <c r="O219" s="271" t="s">
        <v>78</v>
      </c>
      <c r="P219" s="271"/>
      <c r="Q219" s="298" t="e">
        <v>#REF!</v>
      </c>
      <c r="R219" s="328" t="e">
        <v>#REF!</v>
      </c>
      <c r="S219" s="298"/>
      <c r="T219" s="301"/>
      <c r="U219" s="301"/>
      <c r="V219" s="275">
        <f>VLOOKUP(Table2[[#This Row],[Course]],Data!$A$1:$E$56,4,FALSE)</f>
        <v>30</v>
      </c>
      <c r="W219" s="275">
        <f>VLOOKUP(Table2[[#This Row],[Course]],Data!$A$1:$E$56,5,FALSE)</f>
        <v>1</v>
      </c>
      <c r="X219" s="275">
        <v>38</v>
      </c>
      <c r="Y219" s="275">
        <v>28</v>
      </c>
      <c r="Z219" s="275">
        <v>0</v>
      </c>
      <c r="AA219" s="275">
        <v>37</v>
      </c>
      <c r="AB219" s="276">
        <v>0</v>
      </c>
      <c r="AC219" s="275">
        <v>7</v>
      </c>
      <c r="AD219" s="275">
        <v>16</v>
      </c>
      <c r="AE219" s="275">
        <v>0</v>
      </c>
      <c r="AF219" s="271" t="s">
        <v>191</v>
      </c>
      <c r="AG219" s="277">
        <f ca="1">Table2[[#This Row],[End Date]]+2-TODAY()</f>
        <v>-129</v>
      </c>
      <c r="AH219" s="275">
        <f>IF(ISBLANK(Table2[[#This Row],[Roster Received By]]),1,0)</f>
        <v>0</v>
      </c>
      <c r="AI219" s="275">
        <f ca="1">IF(Table2[[#This Row],[Start Date]]&gt;TODAY(),1,)</f>
        <v>0</v>
      </c>
    </row>
    <row r="220" spans="1:35" s="270" customFormat="1" x14ac:dyDescent="0.25">
      <c r="B220" s="271" t="s">
        <v>14</v>
      </c>
      <c r="C220" s="272" t="str">
        <f>VLOOKUP(Table2[[#This Row],[Course]],Data!$A$1:$E$56,2,FALSE)</f>
        <v>A-493-0030</v>
      </c>
      <c r="D220" s="272" t="str">
        <f>VLOOKUP(Table2[[#This Row],[Course]],Data!$A$1:$E$56,3,FALSE)</f>
        <v>286X</v>
      </c>
      <c r="E220" s="271" t="s">
        <v>104</v>
      </c>
      <c r="F220" s="327">
        <v>45404</v>
      </c>
      <c r="G220" s="327">
        <v>45408</v>
      </c>
      <c r="H220" s="344">
        <v>0.33333333333333331</v>
      </c>
      <c r="I220" s="344"/>
      <c r="J220" s="327"/>
      <c r="K220" s="327"/>
      <c r="L220" s="327"/>
      <c r="M220" s="327"/>
      <c r="N220" s="327"/>
      <c r="O220" s="271" t="s">
        <v>95</v>
      </c>
      <c r="P220" s="271"/>
      <c r="Q220" s="298" t="e">
        <v>#REF!</v>
      </c>
      <c r="R220" s="328" t="e">
        <v>#REF!</v>
      </c>
      <c r="S220" s="298"/>
      <c r="T220" s="301"/>
      <c r="U220" s="301"/>
      <c r="V220" s="275">
        <f>VLOOKUP(Table2[[#This Row],[Course]],Data!$A$1:$E$56,4,FALSE)</f>
        <v>25</v>
      </c>
      <c r="W220" s="275">
        <f>VLOOKUP(Table2[[#This Row],[Course]],Data!$A$1:$E$56,5,FALSE)</f>
        <v>5</v>
      </c>
      <c r="X220" s="275">
        <v>22</v>
      </c>
      <c r="Y220" s="275">
        <v>16</v>
      </c>
      <c r="Z220" s="275">
        <v>0</v>
      </c>
      <c r="AA220" s="275">
        <v>12</v>
      </c>
      <c r="AB220" s="276">
        <v>0</v>
      </c>
      <c r="AC220" s="275">
        <v>4</v>
      </c>
      <c r="AD220" s="275">
        <v>0</v>
      </c>
      <c r="AE220" s="275">
        <v>0</v>
      </c>
      <c r="AF220" s="271" t="s">
        <v>213</v>
      </c>
      <c r="AG220" s="277">
        <f ca="1">Table2[[#This Row],[End Date]]+2-TODAY()</f>
        <v>-122</v>
      </c>
      <c r="AH220" s="275">
        <f>IF(ISBLANK(Table2[[#This Row],[Roster Received By]]),1,0)</f>
        <v>0</v>
      </c>
      <c r="AI220" s="275">
        <f ca="1">IF(Table2[[#This Row],[Start Date]]&gt;TODAY(),1,)</f>
        <v>0</v>
      </c>
    </row>
    <row r="221" spans="1:35" s="270" customFormat="1" x14ac:dyDescent="0.25">
      <c r="A221" s="270" t="s">
        <v>503</v>
      </c>
      <c r="B221" s="271" t="s">
        <v>15</v>
      </c>
      <c r="C221" s="272" t="str">
        <f>VLOOKUP(Table2[[#This Row],[Course]],Data!$A$1:$E$56,2,FALSE)</f>
        <v>A-493-0021</v>
      </c>
      <c r="D221" s="272" t="str">
        <f>VLOOKUP(Table2[[#This Row],[Course]],Data!$A$1:$E$56,3,FALSE)</f>
        <v>18BN</v>
      </c>
      <c r="E221" s="271" t="s">
        <v>150</v>
      </c>
      <c r="F221" s="327">
        <v>45404</v>
      </c>
      <c r="G221" s="327">
        <v>45408</v>
      </c>
      <c r="H221" s="344">
        <v>0.33333333333333331</v>
      </c>
      <c r="I221" s="344"/>
      <c r="J221" s="327"/>
      <c r="K221" s="327"/>
      <c r="L221" s="327"/>
      <c r="M221" s="327"/>
      <c r="N221" s="327"/>
      <c r="O221" s="271" t="s">
        <v>94</v>
      </c>
      <c r="P221" s="271"/>
      <c r="Q221" s="331" t="e">
        <v>#REF!</v>
      </c>
      <c r="R221" s="331" t="e">
        <v>#REF!</v>
      </c>
      <c r="S221" s="277"/>
      <c r="U221" s="271"/>
      <c r="V221" s="275">
        <f>VLOOKUP(Table2[[#This Row],[Course]],Data!$A$1:$E$56,4,FALSE)</f>
        <v>35</v>
      </c>
      <c r="W221" s="275">
        <f>VLOOKUP(Table2[[#This Row],[Course]],Data!$A$1:$E$56,5,FALSE)</f>
        <v>5</v>
      </c>
      <c r="X221" s="275">
        <v>22</v>
      </c>
      <c r="Y221" s="275">
        <v>12</v>
      </c>
      <c r="Z221" s="275">
        <v>0</v>
      </c>
      <c r="AA221" s="275">
        <v>12</v>
      </c>
      <c r="AB221" s="276">
        <v>0</v>
      </c>
      <c r="AC221" s="275">
        <v>2</v>
      </c>
      <c r="AD221" s="275">
        <v>2</v>
      </c>
      <c r="AE221" s="275">
        <v>0</v>
      </c>
      <c r="AF221" s="271" t="s">
        <v>189</v>
      </c>
      <c r="AG221" s="277">
        <f ca="1">Table2[[#This Row],[End Date]]+2-TODAY()</f>
        <v>-122</v>
      </c>
      <c r="AH221" s="275">
        <f>IF(ISBLANK(Table2[[#This Row],[Roster Received By]]),1,0)</f>
        <v>0</v>
      </c>
      <c r="AI221" s="275">
        <f ca="1">IF(Table2[[#This Row],[Start Date]]&gt;TODAY(),1,)</f>
        <v>0</v>
      </c>
    </row>
    <row r="222" spans="1:35" s="270" customFormat="1" x14ac:dyDescent="0.25">
      <c r="A222" s="347" t="s">
        <v>505</v>
      </c>
      <c r="B222" s="340" t="s">
        <v>17</v>
      </c>
      <c r="C222" s="348" t="str">
        <f>VLOOKUP(Table2[[#This Row],[Course]],Data!$A$1:$E$56,2,FALSE)</f>
        <v>A-493-0012</v>
      </c>
      <c r="D222" s="348">
        <f>VLOOKUP(Table2[[#This Row],[Course]],Data!$A$1:$E$56,3,FALSE)</f>
        <v>3682</v>
      </c>
      <c r="E222" s="340" t="s">
        <v>228</v>
      </c>
      <c r="F222" s="352">
        <v>45404</v>
      </c>
      <c r="G222" s="352">
        <v>45408</v>
      </c>
      <c r="H222" s="344">
        <v>0.33333333333333331</v>
      </c>
      <c r="I222" s="351"/>
      <c r="J222" s="352"/>
      <c r="K222" s="352"/>
      <c r="L222" s="352"/>
      <c r="M222" s="352"/>
      <c r="N222" s="352"/>
      <c r="O222" s="340" t="s">
        <v>78</v>
      </c>
      <c r="P222" s="340"/>
      <c r="Q222" s="303"/>
      <c r="R222" s="297"/>
      <c r="S222" s="303"/>
      <c r="T222" s="314"/>
      <c r="U222" s="314"/>
      <c r="V222" s="338">
        <v>40</v>
      </c>
      <c r="W222" s="353">
        <v>5</v>
      </c>
      <c r="X222" s="353">
        <v>0</v>
      </c>
      <c r="Y222" s="353">
        <v>17</v>
      </c>
      <c r="Z222" s="353">
        <v>0</v>
      </c>
      <c r="AA222" s="338">
        <v>30</v>
      </c>
      <c r="AB222" s="338">
        <v>0</v>
      </c>
      <c r="AC222" s="339">
        <v>4</v>
      </c>
      <c r="AD222" s="339">
        <v>17</v>
      </c>
      <c r="AE222" s="339">
        <v>0</v>
      </c>
      <c r="AF222" s="340" t="s">
        <v>191</v>
      </c>
      <c r="AG222" s="341">
        <f ca="1">Table2[[#This Row],[End Date]]+2-TODAY()</f>
        <v>-122</v>
      </c>
      <c r="AH222" s="339">
        <f>IF(ISBLANK(Table2[[#This Row],[Roster Received By]]),1,0)</f>
        <v>0</v>
      </c>
      <c r="AI222" s="339">
        <f ca="1">IF(Table2[[#This Row],[Start Date]]&gt;TODAY(),1,)</f>
        <v>0</v>
      </c>
    </row>
    <row r="223" spans="1:35" s="270" customFormat="1" x14ac:dyDescent="0.25">
      <c r="B223" s="271" t="s">
        <v>17</v>
      </c>
      <c r="C223" s="272" t="str">
        <f>VLOOKUP(Table2[[#This Row],[Course]],Data!$A$1:$E$56,2,FALSE)</f>
        <v>A-493-0012</v>
      </c>
      <c r="D223" s="272">
        <f>VLOOKUP(Table2[[#This Row],[Course]],Data!$A$1:$E$56,3,FALSE)</f>
        <v>3682</v>
      </c>
      <c r="E223" s="271" t="s">
        <v>153</v>
      </c>
      <c r="F223" s="327">
        <v>45404</v>
      </c>
      <c r="G223" s="327">
        <v>45408</v>
      </c>
      <c r="H223" s="344">
        <v>0.33333333333333331</v>
      </c>
      <c r="I223" s="344"/>
      <c r="J223" s="344"/>
      <c r="K223" s="344"/>
      <c r="L223" s="344"/>
      <c r="M223" s="344"/>
      <c r="N223" s="327"/>
      <c r="O223" s="270" t="s">
        <v>78</v>
      </c>
      <c r="Q223" s="328" t="e">
        <v>#REF!</v>
      </c>
      <c r="R223" s="328" t="e">
        <v>#REF!</v>
      </c>
      <c r="S223" s="357"/>
      <c r="T223" s="301"/>
      <c r="U223" s="301"/>
      <c r="V223" s="275">
        <f>VLOOKUP(Table2[[#This Row],[Course]],Data!$A$1:$E$56,4,FALSE)</f>
        <v>40</v>
      </c>
      <c r="W223" s="275">
        <f>VLOOKUP(Table2[[#This Row],[Course]],Data!$A$1:$E$56,5,FALSE)</f>
        <v>5</v>
      </c>
      <c r="X223" s="275">
        <v>0</v>
      </c>
      <c r="Y223" s="275">
        <v>32</v>
      </c>
      <c r="Z223" s="275">
        <v>0</v>
      </c>
      <c r="AA223" s="275">
        <v>28</v>
      </c>
      <c r="AB223" s="276">
        <v>0</v>
      </c>
      <c r="AC223" s="275">
        <v>8</v>
      </c>
      <c r="AD223" s="275">
        <v>5</v>
      </c>
      <c r="AE223" s="275">
        <v>0</v>
      </c>
      <c r="AF223" s="271" t="s">
        <v>191</v>
      </c>
      <c r="AG223" s="277">
        <f ca="1">Table2[[#This Row],[End Date]]+2-TODAY()</f>
        <v>-122</v>
      </c>
      <c r="AH223" s="275">
        <f>IF(ISBLANK(Table2[[#This Row],[Roster Received By]]),1,0)</f>
        <v>0</v>
      </c>
      <c r="AI223" s="275">
        <f ca="1">IF(Table2[[#This Row],[Start Date]]&gt;TODAY(),1,)</f>
        <v>0</v>
      </c>
    </row>
    <row r="224" spans="1:35" s="270" customFormat="1" x14ac:dyDescent="0.25">
      <c r="B224" s="325" t="s">
        <v>288</v>
      </c>
      <c r="C224" s="272" t="str">
        <f>VLOOKUP(Table2[[#This Row],[Course]],Data!$A$1:$E$56,2,FALSE)</f>
        <v>A-493-0073</v>
      </c>
      <c r="D224" s="272" t="str">
        <f>VLOOKUP(Table2[[#This Row],[Course]],Data!$A$1:$E$56,3,FALSE)</f>
        <v>714S</v>
      </c>
      <c r="E224" s="325" t="s">
        <v>116</v>
      </c>
      <c r="F224" s="326">
        <v>45405</v>
      </c>
      <c r="G224" s="326">
        <v>45408</v>
      </c>
      <c r="H224" s="327"/>
      <c r="I224" s="274">
        <v>0.54166666666666663</v>
      </c>
      <c r="J224" s="274">
        <v>0.41666666666666669</v>
      </c>
      <c r="K224" s="274">
        <v>0.83333333333333337</v>
      </c>
      <c r="L224" s="274">
        <v>0.75</v>
      </c>
      <c r="M224" s="274">
        <v>0.29166666666666669</v>
      </c>
      <c r="N224" s="274">
        <v>8.3333333333333329E-2</v>
      </c>
      <c r="O224" s="271" t="s">
        <v>94</v>
      </c>
      <c r="P224" s="271"/>
      <c r="Q224" s="328" t="e">
        <v>#REF!</v>
      </c>
      <c r="R224" s="328" t="e">
        <v>#REF!</v>
      </c>
      <c r="S224" s="357"/>
      <c r="T224" s="301"/>
      <c r="U224" s="301"/>
      <c r="V224" s="275">
        <f>VLOOKUP(Table2[[#This Row],[Course]],Data!$A$1:$E$56,4,FALSE)</f>
        <v>30</v>
      </c>
      <c r="W224" s="275">
        <f>VLOOKUP(Table2[[#This Row],[Course]],Data!$A$1:$E$56,5,FALSE)</f>
        <v>4</v>
      </c>
      <c r="X224" s="275">
        <v>453</v>
      </c>
      <c r="Y224" s="275">
        <v>21</v>
      </c>
      <c r="Z224" s="275">
        <v>0</v>
      </c>
      <c r="AA224" s="275">
        <v>17</v>
      </c>
      <c r="AB224" s="276">
        <v>0</v>
      </c>
      <c r="AC224" s="275">
        <v>4</v>
      </c>
      <c r="AD224" s="275">
        <v>0</v>
      </c>
      <c r="AE224" s="275">
        <v>0</v>
      </c>
      <c r="AF224" s="271" t="s">
        <v>200</v>
      </c>
      <c r="AG224" s="277">
        <f ca="1">Table2[[#This Row],[End Date]]+2-TODAY()</f>
        <v>-122</v>
      </c>
      <c r="AH224" s="275">
        <f>IF(ISBLANK(Table2[[#This Row],[Roster Received By]]),1,0)</f>
        <v>0</v>
      </c>
      <c r="AI224" s="275">
        <f ca="1">IF(Table2[[#This Row],[Start Date]]&gt;TODAY(),1,)</f>
        <v>0</v>
      </c>
    </row>
    <row r="225" spans="1:35" s="270" customFormat="1" x14ac:dyDescent="0.25">
      <c r="B225" s="271" t="s">
        <v>236</v>
      </c>
      <c r="C225" s="272" t="str">
        <f>VLOOKUP(Table2[[#This Row],[Course]],Data!$A$1:$E$56,2,FALSE)</f>
        <v>A-493-0103</v>
      </c>
      <c r="D225" s="272" t="str">
        <f>VLOOKUP(Table2[[#This Row],[Course]],Data!$A$1:$E$56,3,FALSE)</f>
        <v>12JY</v>
      </c>
      <c r="E225" s="346" t="s">
        <v>104</v>
      </c>
      <c r="F225" s="327">
        <v>45411</v>
      </c>
      <c r="G225" s="327">
        <v>45415</v>
      </c>
      <c r="H225" s="344">
        <v>0.33333333333333331</v>
      </c>
      <c r="I225" s="344"/>
      <c r="J225" s="327"/>
      <c r="K225" s="327"/>
      <c r="L225" s="327"/>
      <c r="M225" s="327"/>
      <c r="N225" s="327"/>
      <c r="O225" s="271" t="s">
        <v>94</v>
      </c>
      <c r="P225" s="271"/>
      <c r="Q225" s="328" t="e">
        <v>#REF!</v>
      </c>
      <c r="R225" s="328" t="e">
        <v>#REF!</v>
      </c>
      <c r="S225" s="357"/>
      <c r="T225" s="301"/>
      <c r="U225" s="301"/>
      <c r="V225" s="275">
        <f>VLOOKUP(Table2[[#This Row],[Course]],Data!$A$1:$E$56,4,FALSE)</f>
        <v>25</v>
      </c>
      <c r="W225" s="275">
        <f>VLOOKUP(Table2[[#This Row],[Course]],Data!$A$1:$E$56,5,FALSE)</f>
        <v>5</v>
      </c>
      <c r="X225" s="275">
        <v>42</v>
      </c>
      <c r="Y225" s="275">
        <v>16</v>
      </c>
      <c r="Z225" s="275">
        <v>0</v>
      </c>
      <c r="AA225" s="275">
        <v>14</v>
      </c>
      <c r="AB225" s="276">
        <v>0</v>
      </c>
      <c r="AC225" s="275">
        <v>2</v>
      </c>
      <c r="AD225" s="275">
        <v>0</v>
      </c>
      <c r="AE225" s="275">
        <v>0</v>
      </c>
      <c r="AF225" s="271" t="s">
        <v>189</v>
      </c>
      <c r="AG225" s="277">
        <f ca="1">Table2[[#This Row],[End Date]]+2-TODAY()</f>
        <v>-115</v>
      </c>
      <c r="AH225" s="275">
        <f>IF(ISBLANK(Table2[[#This Row],[Roster Received By]]),1,0)</f>
        <v>0</v>
      </c>
      <c r="AI225" s="275">
        <f ca="1">IF(Table2[[#This Row],[Start Date]]&gt;TODAY(),1,)</f>
        <v>0</v>
      </c>
    </row>
    <row r="226" spans="1:35" s="270" customFormat="1" x14ac:dyDescent="0.25">
      <c r="A226" s="146" t="s">
        <v>429</v>
      </c>
      <c r="B226" s="100" t="s">
        <v>236</v>
      </c>
      <c r="C226" s="147" t="str">
        <f>VLOOKUP(Table2[[#This Row],[Course]],Data!$A$1:$E$56,2,FALSE)</f>
        <v>A-493-0103</v>
      </c>
      <c r="D226" s="147" t="str">
        <f>VLOOKUP(Table2[[#This Row],[Course]],Data!$A$1:$E$56,3,FALSE)</f>
        <v>12JY</v>
      </c>
      <c r="E226" s="100" t="s">
        <v>277</v>
      </c>
      <c r="F226" s="149">
        <v>45411</v>
      </c>
      <c r="G226" s="149">
        <v>45415</v>
      </c>
      <c r="H226" s="151">
        <v>0.33333333333333331</v>
      </c>
      <c r="I226" s="151"/>
      <c r="J226" s="396"/>
      <c r="K226" s="396"/>
      <c r="L226" s="396"/>
      <c r="M226" s="396"/>
      <c r="N226" s="149"/>
      <c r="O226" s="100" t="s">
        <v>94</v>
      </c>
      <c r="P226" s="100"/>
      <c r="Q226" s="152" t="e">
        <v>#REF!</v>
      </c>
      <c r="R226" s="152" t="e">
        <v>#REF!</v>
      </c>
      <c r="S226" s="152"/>
      <c r="T226" s="146"/>
      <c r="U226" s="146"/>
      <c r="V226" s="154">
        <f>VLOOKUP(Table2[[#This Row],[Course]],Data!$A$1:$E$56,4,FALSE)</f>
        <v>25</v>
      </c>
      <c r="W226" s="154">
        <f>VLOOKUP(Table2[[#This Row],[Course]],Data!$A$1:$E$56,5,FALSE)</f>
        <v>5</v>
      </c>
      <c r="X226" s="154">
        <v>50</v>
      </c>
      <c r="Y226" s="275"/>
      <c r="Z226" s="275"/>
      <c r="AA226" s="275">
        <v>18</v>
      </c>
      <c r="AB226" s="276">
        <v>0</v>
      </c>
      <c r="AC226" s="275">
        <v>4</v>
      </c>
      <c r="AD226" s="275">
        <v>0</v>
      </c>
      <c r="AE226" s="342">
        <v>4</v>
      </c>
      <c r="AF226" s="343" t="s">
        <v>189</v>
      </c>
      <c r="AG226" s="277">
        <f ca="1">Table2[[#This Row],[End Date]]+2-TODAY()</f>
        <v>-115</v>
      </c>
      <c r="AH226" s="275">
        <f>IF(ISBLANK(Table2[[#This Row],[Roster Received By]]),1,0)</f>
        <v>0</v>
      </c>
      <c r="AI226" s="275">
        <f ca="1">IF(Table2[[#This Row],[Start Date]]&gt;TODAY(),1,)</f>
        <v>0</v>
      </c>
    </row>
    <row r="227" spans="1:35" s="270" customFormat="1" x14ac:dyDescent="0.25">
      <c r="A227" s="146"/>
      <c r="B227" s="100" t="s">
        <v>243</v>
      </c>
      <c r="C227" s="147" t="str">
        <f>VLOOKUP(Table2[[#This Row],[Course]],Data!$A$1:$E$56,2,FALSE)</f>
        <v>A-493-0061</v>
      </c>
      <c r="D227" s="147" t="str">
        <f>VLOOKUP(Table2[[#This Row],[Course]],Data!$A$1:$E$56,3,FALSE)</f>
        <v>288E</v>
      </c>
      <c r="E227" s="100" t="s">
        <v>116</v>
      </c>
      <c r="F227" s="292">
        <v>45411</v>
      </c>
      <c r="G227" s="292">
        <v>45415</v>
      </c>
      <c r="H227" s="149"/>
      <c r="I227" s="150">
        <v>0.29166666666666669</v>
      </c>
      <c r="J227" s="150">
        <v>0.16666666666666666</v>
      </c>
      <c r="K227" s="150">
        <v>0.58333333333333337</v>
      </c>
      <c r="L227" s="150">
        <v>0.5</v>
      </c>
      <c r="M227" s="150">
        <v>4.1666666666666664E-2</v>
      </c>
      <c r="N227" s="150">
        <v>0.83333333333333337</v>
      </c>
      <c r="O227" s="100" t="s">
        <v>92</v>
      </c>
      <c r="P227" s="100"/>
      <c r="Q227" s="155" t="e">
        <v>#REF!</v>
      </c>
      <c r="R227" s="155" t="e">
        <v>#REF!</v>
      </c>
      <c r="S227" s="153"/>
      <c r="T227" s="146"/>
      <c r="U227" s="146"/>
      <c r="V227" s="154">
        <f>VLOOKUP(Table2[[#This Row],[Course]],Data!$A$1:$E$56,4,FALSE)</f>
        <v>45</v>
      </c>
      <c r="W227" s="154">
        <f>VLOOKUP(Table2[[#This Row],[Course]],Data!$A$1:$E$56,5,FALSE)</f>
        <v>5</v>
      </c>
      <c r="X227" s="154">
        <v>50</v>
      </c>
      <c r="Y227" s="275">
        <v>29</v>
      </c>
      <c r="Z227" s="275">
        <v>0</v>
      </c>
      <c r="AA227" s="275">
        <v>21</v>
      </c>
      <c r="AB227" s="276">
        <v>1</v>
      </c>
      <c r="AC227" s="275">
        <v>7</v>
      </c>
      <c r="AD227" s="275">
        <v>0</v>
      </c>
      <c r="AE227" s="275">
        <v>0</v>
      </c>
      <c r="AF227" s="271" t="s">
        <v>191</v>
      </c>
      <c r="AG227" s="277">
        <f ca="1">Table2[[#This Row],[End Date]]+2-TODAY()</f>
        <v>-115</v>
      </c>
      <c r="AH227" s="275">
        <f>IF(ISBLANK(Table2[[#This Row],[Roster Received By]]),1,0)</f>
        <v>0</v>
      </c>
      <c r="AI227" s="275">
        <f ca="1">IF(Table2[[#This Row],[Start Date]]&gt;TODAY(),1,)</f>
        <v>0</v>
      </c>
    </row>
    <row r="228" spans="1:35" s="270" customFormat="1" x14ac:dyDescent="0.25">
      <c r="A228" s="146"/>
      <c r="B228" s="100" t="s">
        <v>249</v>
      </c>
      <c r="C228" s="147" t="str">
        <f>VLOOKUP(Table2[[#This Row],[Course]],Data!$A$1:$E$56,2,FALSE)</f>
        <v>A-322-2604</v>
      </c>
      <c r="D228" s="147" t="str">
        <f>VLOOKUP(Table2[[#This Row],[Course]],Data!$A$1:$E$56,3,FALSE)</f>
        <v>10ZZ</v>
      </c>
      <c r="E228" s="100" t="s">
        <v>116</v>
      </c>
      <c r="F228" s="149">
        <v>45411</v>
      </c>
      <c r="G228" s="149">
        <v>45415</v>
      </c>
      <c r="H228" s="149"/>
      <c r="I228" s="150">
        <v>0.33333333333333331</v>
      </c>
      <c r="J228" s="150">
        <v>0.20833333333333334</v>
      </c>
      <c r="K228" s="150">
        <v>0.625</v>
      </c>
      <c r="L228" s="150">
        <v>0.54166666666666663</v>
      </c>
      <c r="M228" s="150">
        <v>8.3333333333333329E-2</v>
      </c>
      <c r="N228" s="150">
        <v>0.875</v>
      </c>
      <c r="O228" s="100" t="s">
        <v>83</v>
      </c>
      <c r="P228" s="100"/>
      <c r="Q228" s="170" t="e">
        <v>#REF!</v>
      </c>
      <c r="R228" s="171" t="e">
        <v>#REF!</v>
      </c>
      <c r="S228" s="170"/>
      <c r="T228" s="101"/>
      <c r="U228" s="101"/>
      <c r="V228" s="154">
        <f>VLOOKUP(Table2[[#This Row],[Course]],Data!$A$1:$E$56,4,FALSE)</f>
        <v>45</v>
      </c>
      <c r="W228" s="154">
        <f>VLOOKUP(Table2[[#This Row],[Course]],Data!$A$1:$E$56,5,FALSE)</f>
        <v>5</v>
      </c>
      <c r="X228" s="154">
        <v>403</v>
      </c>
      <c r="Y228" s="275">
        <v>45</v>
      </c>
      <c r="Z228" s="275">
        <v>0</v>
      </c>
      <c r="AA228" s="275">
        <v>37</v>
      </c>
      <c r="AB228" s="276">
        <v>1</v>
      </c>
      <c r="AC228" s="275">
        <v>7</v>
      </c>
      <c r="AD228" s="275">
        <v>0</v>
      </c>
      <c r="AE228" s="275">
        <v>0</v>
      </c>
      <c r="AF228" s="271" t="s">
        <v>200</v>
      </c>
      <c r="AG228" s="277">
        <f ca="1">Table2[[#This Row],[End Date]]+2-TODAY()</f>
        <v>-115</v>
      </c>
      <c r="AH228" s="275">
        <f>IF(ISBLANK(Table2[[#This Row],[Roster Received By]]),1,0)</f>
        <v>0</v>
      </c>
      <c r="AI228" s="275">
        <f ca="1">IF(Table2[[#This Row],[Start Date]]&gt;TODAY(),1,)</f>
        <v>0</v>
      </c>
    </row>
    <row r="229" spans="1:35" s="270" customFormat="1" x14ac:dyDescent="0.25">
      <c r="A229" s="146"/>
      <c r="B229" s="285" t="s">
        <v>274</v>
      </c>
      <c r="C229" s="147" t="str">
        <f>VLOOKUP(Table2[[#This Row],[Course]],Data!$A$1:$E$56,2,FALSE)</f>
        <v>A-493-0335</v>
      </c>
      <c r="D229" s="147" t="str">
        <f>VLOOKUP(Table2[[#This Row],[Course]],Data!$A$1:$E$56,3,FALSE)</f>
        <v>09ND</v>
      </c>
      <c r="E229" s="100" t="s">
        <v>116</v>
      </c>
      <c r="F229" s="149">
        <v>45411</v>
      </c>
      <c r="G229" s="149">
        <v>45414</v>
      </c>
      <c r="H229" s="149"/>
      <c r="I229" s="150">
        <v>0.5</v>
      </c>
      <c r="J229" s="150">
        <v>0.375</v>
      </c>
      <c r="K229" s="150">
        <v>0.79166666666666663</v>
      </c>
      <c r="L229" s="150">
        <v>0.70833333333333337</v>
      </c>
      <c r="M229" s="150">
        <v>0.25</v>
      </c>
      <c r="N229" s="150">
        <v>4.1666666666666664E-2</v>
      </c>
      <c r="O229" s="100" t="s">
        <v>84</v>
      </c>
      <c r="P229" s="100"/>
      <c r="Q229" s="152" t="e">
        <v>#REF!</v>
      </c>
      <c r="R229" s="152" t="e">
        <v>#REF!</v>
      </c>
      <c r="S229" s="152"/>
      <c r="T229" s="146"/>
      <c r="U229" s="146"/>
      <c r="V229" s="154">
        <f>VLOOKUP(Table2[[#This Row],[Course]],Data!$A$1:$E$56,4,FALSE)</f>
        <v>30</v>
      </c>
      <c r="W229" s="154">
        <f>VLOOKUP(Table2[[#This Row],[Course]],Data!$A$1:$E$56,5,FALSE)</f>
        <v>4</v>
      </c>
      <c r="X229" s="154">
        <v>709</v>
      </c>
      <c r="Y229" s="275">
        <v>30</v>
      </c>
      <c r="Z229" s="275">
        <v>2</v>
      </c>
      <c r="AA229" s="275">
        <v>23</v>
      </c>
      <c r="AB229" s="276">
        <v>3</v>
      </c>
      <c r="AC229" s="275">
        <v>4</v>
      </c>
      <c r="AD229" s="275">
        <v>0</v>
      </c>
      <c r="AE229" s="275">
        <v>0</v>
      </c>
      <c r="AF229" s="271" t="s">
        <v>208</v>
      </c>
      <c r="AG229" s="277">
        <f ca="1">Table2[[#This Row],[End Date]]+2-TODAY()</f>
        <v>-116</v>
      </c>
      <c r="AH229" s="275">
        <f>IF(ISBLANK(Table2[[#This Row],[Roster Received By]]),1,0)</f>
        <v>0</v>
      </c>
      <c r="AI229" s="275">
        <f ca="1">IF(Table2[[#This Row],[Start Date]]&gt;TODAY(),1,)</f>
        <v>0</v>
      </c>
    </row>
    <row r="230" spans="1:35" s="270" customFormat="1" x14ac:dyDescent="0.25">
      <c r="A230" s="230"/>
      <c r="B230" s="223" t="s">
        <v>38</v>
      </c>
      <c r="C230" s="224" t="str">
        <f>VLOOKUP(Table2[[#This Row],[Course]],Data!$A$1:$E$56,2,FALSE)</f>
        <v>A-493-0072</v>
      </c>
      <c r="D230" s="224" t="str">
        <f>VLOOKUP(Table2[[#This Row],[Course]],Data!$A$1:$E$56,3,FALSE)</f>
        <v>713U</v>
      </c>
      <c r="E230" s="231" t="s">
        <v>140</v>
      </c>
      <c r="F230" s="225">
        <v>45411</v>
      </c>
      <c r="G230" s="225">
        <v>45414</v>
      </c>
      <c r="H230" s="162">
        <v>0.33333333333333331</v>
      </c>
      <c r="I230" s="162"/>
      <c r="J230" s="149"/>
      <c r="K230" s="149"/>
      <c r="L230" s="149"/>
      <c r="M230" s="149"/>
      <c r="N230" s="149"/>
      <c r="O230" s="100" t="s">
        <v>81</v>
      </c>
      <c r="P230" s="100" t="s">
        <v>187</v>
      </c>
      <c r="Q230" s="152" t="e">
        <v>#REF!</v>
      </c>
      <c r="R230" s="152" t="e">
        <v>#REF!</v>
      </c>
      <c r="S230" s="152"/>
      <c r="T230" s="146"/>
      <c r="U230" s="146"/>
      <c r="V230" s="154">
        <f>VLOOKUP(Table2[[#This Row],[Course]],Data!$A$1:$E$56,4,FALSE)</f>
        <v>30</v>
      </c>
      <c r="W230" s="154">
        <f>VLOOKUP(Table2[[#This Row],[Course]],Data!$A$1:$E$56,5,FALSE)</f>
        <v>4</v>
      </c>
      <c r="X230" s="154">
        <v>235</v>
      </c>
      <c r="Y230" s="275">
        <v>30</v>
      </c>
      <c r="Z230" s="275">
        <v>3</v>
      </c>
      <c r="AA230" s="275">
        <v>30</v>
      </c>
      <c r="AB230" s="276">
        <v>0</v>
      </c>
      <c r="AC230" s="275">
        <v>5</v>
      </c>
      <c r="AD230" s="275">
        <v>4</v>
      </c>
      <c r="AE230" s="276">
        <v>0</v>
      </c>
      <c r="AF230" s="271" t="s">
        <v>191</v>
      </c>
      <c r="AG230" s="277">
        <f ca="1">Table2[[#This Row],[End Date]]+2-TODAY()</f>
        <v>-116</v>
      </c>
      <c r="AH230" s="275">
        <f>IF(ISBLANK(Table2[[#This Row],[Roster Received By]]),1,0)</f>
        <v>0</v>
      </c>
      <c r="AI230" s="275">
        <f ca="1">IF(Table2[[#This Row],[Start Date]]&gt;TODAY(),1,)</f>
        <v>0</v>
      </c>
    </row>
    <row r="231" spans="1:35" s="270" customFormat="1" x14ac:dyDescent="0.25">
      <c r="A231" s="146"/>
      <c r="B231" s="100" t="s">
        <v>317</v>
      </c>
      <c r="C231" s="147" t="str">
        <f>VLOOKUP(Table2[[#This Row],[Course]],Data!$A$1:$E$56,2,FALSE)</f>
        <v>A-493-2098</v>
      </c>
      <c r="D231" s="147" t="str">
        <f>VLOOKUP(Table2[[#This Row],[Course]],Data!$A$1:$E$56,3,FALSE)</f>
        <v>09WW</v>
      </c>
      <c r="E231" s="100" t="s">
        <v>116</v>
      </c>
      <c r="F231" s="149">
        <v>45411</v>
      </c>
      <c r="G231" s="149">
        <v>45415</v>
      </c>
      <c r="H231" s="149"/>
      <c r="I231" s="150">
        <v>0.54166666666666663</v>
      </c>
      <c r="J231" s="150">
        <v>0.41666666666666669</v>
      </c>
      <c r="K231" s="150">
        <v>0.83333333333333337</v>
      </c>
      <c r="L231" s="150">
        <v>0.75</v>
      </c>
      <c r="M231" s="150">
        <v>0.29166666666666669</v>
      </c>
      <c r="N231" s="150">
        <v>8.3333333333333329E-2</v>
      </c>
      <c r="O231" s="100" t="s">
        <v>83</v>
      </c>
      <c r="P231" s="100"/>
      <c r="Q231" s="170" t="e">
        <v>#REF!</v>
      </c>
      <c r="R231" s="171" t="e">
        <v>#REF!</v>
      </c>
      <c r="S231" s="170"/>
      <c r="T231" s="101"/>
      <c r="U231" s="101"/>
      <c r="V231" s="154">
        <f>VLOOKUP(Table2[[#This Row],[Course]],Data!$A$1:$E$56,4,FALSE)</f>
        <v>100</v>
      </c>
      <c r="W231" s="154">
        <f>VLOOKUP(Table2[[#This Row],[Course]],Data!$A$1:$E$56,5,FALSE)</f>
        <v>5</v>
      </c>
      <c r="X231" s="154">
        <v>1257</v>
      </c>
      <c r="Y231" s="275">
        <v>100</v>
      </c>
      <c r="Z231" s="275">
        <v>16</v>
      </c>
      <c r="AA231" s="275">
        <v>88</v>
      </c>
      <c r="AB231" s="276">
        <v>4</v>
      </c>
      <c r="AC231" s="275">
        <v>24</v>
      </c>
      <c r="AD231" s="275">
        <v>0</v>
      </c>
      <c r="AE231" s="275">
        <v>0</v>
      </c>
      <c r="AF231" s="271" t="s">
        <v>213</v>
      </c>
      <c r="AG231" s="277">
        <f ca="1">Table2[[#This Row],[End Date]]+2-TODAY()</f>
        <v>-115</v>
      </c>
      <c r="AH231" s="275">
        <f>IF(ISBLANK(Table2[[#This Row],[Roster Received By]]),1,0)</f>
        <v>0</v>
      </c>
      <c r="AI231" s="275">
        <f ca="1">IF(Table2[[#This Row],[Start Date]]&gt;TODAY(),1,)</f>
        <v>0</v>
      </c>
    </row>
    <row r="232" spans="1:35" s="270" customFormat="1" x14ac:dyDescent="0.25">
      <c r="A232" s="146"/>
      <c r="B232" s="100" t="s">
        <v>19</v>
      </c>
      <c r="C232" s="147" t="str">
        <f>VLOOKUP(Table2[[#This Row],[Course]],Data!$A$1:$E$56,2,FALSE)</f>
        <v>A-493-0099</v>
      </c>
      <c r="D232" s="147" t="str">
        <f>VLOOKUP(Table2[[#This Row],[Course]],Data!$A$1:$E$56,3,FALSE)</f>
        <v>12JW</v>
      </c>
      <c r="E232" s="100" t="s">
        <v>116</v>
      </c>
      <c r="F232" s="149">
        <v>45412</v>
      </c>
      <c r="G232" s="149">
        <v>45414</v>
      </c>
      <c r="H232" s="149"/>
      <c r="I232" s="150">
        <v>0.41666666666666669</v>
      </c>
      <c r="J232" s="150">
        <v>0.29166666666666669</v>
      </c>
      <c r="K232" s="150">
        <v>0.70833333333333337</v>
      </c>
      <c r="L232" s="150">
        <v>0.625</v>
      </c>
      <c r="M232" s="150">
        <v>0.16666666666666666</v>
      </c>
      <c r="N232" s="150">
        <v>0.95833333333333337</v>
      </c>
      <c r="O232" s="100" t="s">
        <v>88</v>
      </c>
      <c r="P232" s="100"/>
      <c r="Q232" s="152" t="e">
        <v>#REF!</v>
      </c>
      <c r="R232" s="152" t="e">
        <v>#REF!</v>
      </c>
      <c r="S232" s="153"/>
      <c r="T232" s="146"/>
      <c r="U232" s="146"/>
      <c r="V232" s="154">
        <f>VLOOKUP(Table2[[#This Row],[Course]],Data!$A$1:$E$56,4,FALSE)</f>
        <v>45</v>
      </c>
      <c r="W232" s="154">
        <f>VLOOKUP(Table2[[#This Row],[Course]],Data!$A$1:$E$56,5,FALSE)</f>
        <v>3</v>
      </c>
      <c r="X232" s="154">
        <v>381</v>
      </c>
      <c r="Y232" s="275">
        <v>31</v>
      </c>
      <c r="Z232" s="275">
        <v>0</v>
      </c>
      <c r="AA232" s="275">
        <v>25</v>
      </c>
      <c r="AB232" s="276">
        <v>0</v>
      </c>
      <c r="AC232" s="275">
        <v>5</v>
      </c>
      <c r="AD232" s="275">
        <v>0</v>
      </c>
      <c r="AE232" s="331">
        <v>0</v>
      </c>
      <c r="AF232" s="271" t="s">
        <v>189</v>
      </c>
      <c r="AG232" s="277">
        <f ca="1">Table2[[#This Row],[End Date]]+2-TODAY()</f>
        <v>-116</v>
      </c>
      <c r="AH232" s="275">
        <f>IF(ISBLANK(Table2[[#This Row],[Roster Received By]]),1,0)</f>
        <v>0</v>
      </c>
      <c r="AI232" s="275">
        <f ca="1">IF(Table2[[#This Row],[Start Date]]&gt;TODAY(),1,)</f>
        <v>0</v>
      </c>
    </row>
    <row r="233" spans="1:35" s="146" customFormat="1" x14ac:dyDescent="0.25">
      <c r="A233" s="146" t="s">
        <v>511</v>
      </c>
      <c r="B233" s="100" t="s">
        <v>18</v>
      </c>
      <c r="C233" s="147" t="str">
        <f>VLOOKUP(Table2[[#This Row],[Course]],Data!$A$1:$E$56,2,FALSE)</f>
        <v>A-493-0013</v>
      </c>
      <c r="D233" s="147">
        <f>VLOOKUP(Table2[[#This Row],[Course]],Data!$A$1:$E$56,3,FALSE)</f>
        <v>3683</v>
      </c>
      <c r="E233" s="118" t="s">
        <v>263</v>
      </c>
      <c r="F233" s="149">
        <v>45413</v>
      </c>
      <c r="G233" s="149">
        <v>45415</v>
      </c>
      <c r="H233" s="151">
        <v>0.33333333333333331</v>
      </c>
      <c r="I233" s="151"/>
      <c r="J233" s="149"/>
      <c r="K233" s="149"/>
      <c r="L233" s="149"/>
      <c r="M233" s="149"/>
      <c r="N233" s="149"/>
      <c r="O233" s="100" t="s">
        <v>78</v>
      </c>
      <c r="P233" s="100"/>
      <c r="Q233" s="170" t="e">
        <v>#REF!</v>
      </c>
      <c r="R233" s="171" t="e">
        <v>#REF!</v>
      </c>
      <c r="S233" s="170"/>
      <c r="T233" s="101"/>
      <c r="U233" s="101"/>
      <c r="V233" s="154">
        <f>VLOOKUP(Table2[[#This Row],[Course]],Data!$A$1:$E$56,4,FALSE)</f>
        <v>40</v>
      </c>
      <c r="W233" s="154">
        <v>3</v>
      </c>
      <c r="X233" s="154">
        <v>26</v>
      </c>
      <c r="Y233" s="275">
        <v>24</v>
      </c>
      <c r="Z233" s="275">
        <v>0</v>
      </c>
      <c r="AA233" s="275">
        <v>24</v>
      </c>
      <c r="AB233" s="276">
        <v>0</v>
      </c>
      <c r="AC233" s="275">
        <v>0</v>
      </c>
      <c r="AD233" s="275">
        <v>19</v>
      </c>
      <c r="AE233" s="272">
        <v>24</v>
      </c>
      <c r="AF233" s="271" t="s">
        <v>191</v>
      </c>
      <c r="AG233" s="277">
        <f ca="1">Table2[[#This Row],[End Date]]+2-TODAY()</f>
        <v>-115</v>
      </c>
      <c r="AH233" s="275">
        <f>IF(ISBLANK(Table2[[#This Row],[Roster Received By]]),1,0)</f>
        <v>0</v>
      </c>
      <c r="AI233" s="275">
        <f ca="1">IF(Table2[[#This Row],[Start Date]]&gt;TODAY(),1,)</f>
        <v>0</v>
      </c>
    </row>
    <row r="234" spans="1:35" s="186" customFormat="1" x14ac:dyDescent="0.25">
      <c r="A234" s="101"/>
      <c r="B234" s="166" t="s">
        <v>236</v>
      </c>
      <c r="C234" s="167" t="str">
        <f>VLOOKUP(Table2[[#This Row],[Course]],Data!$A$1:$E$56,2,FALSE)</f>
        <v>A-493-0103</v>
      </c>
      <c r="D234" s="167" t="str">
        <f>VLOOKUP(Table2[[#This Row],[Course]],Data!$A$1:$E$56,3,FALSE)</f>
        <v>12JY</v>
      </c>
      <c r="E234" s="278" t="s">
        <v>166</v>
      </c>
      <c r="F234" s="281">
        <v>45418</v>
      </c>
      <c r="G234" s="281">
        <v>45422</v>
      </c>
      <c r="H234" s="172">
        <v>0.33333333333333331</v>
      </c>
      <c r="I234" s="172"/>
      <c r="J234" s="169"/>
      <c r="K234" s="169"/>
      <c r="L234" s="169"/>
      <c r="M234" s="169"/>
      <c r="N234" s="169"/>
      <c r="O234" s="166" t="s">
        <v>94</v>
      </c>
      <c r="P234" s="166"/>
      <c r="Q234" s="171" t="e">
        <v>#REF!</v>
      </c>
      <c r="R234" s="171" t="e">
        <v>#REF!</v>
      </c>
      <c r="S234" s="173"/>
      <c r="T234" s="101"/>
      <c r="U234" s="101"/>
      <c r="V234" s="26">
        <f>VLOOKUP(Table2[[#This Row],[Course]],Data!$A$1:$E$56,4,FALSE)</f>
        <v>25</v>
      </c>
      <c r="W234" s="26">
        <f>VLOOKUP(Table2[[#This Row],[Course]],Data!$A$1:$E$56,5,FALSE)</f>
        <v>5</v>
      </c>
      <c r="X234" s="26">
        <v>82</v>
      </c>
      <c r="Y234" s="275">
        <v>25</v>
      </c>
      <c r="Z234" s="275">
        <v>4</v>
      </c>
      <c r="AA234" s="296"/>
      <c r="AB234" s="298"/>
      <c r="AC234" s="296"/>
      <c r="AD234" s="296"/>
      <c r="AE234" s="308"/>
      <c r="AF234" s="271"/>
      <c r="AG234" s="300">
        <f ca="1">Table2[[#This Row],[End Date]]+2-TODAY()</f>
        <v>-108</v>
      </c>
      <c r="AH234" s="296">
        <f>IF(ISBLANK(Table2[[#This Row],[Roster Received By]]),1,0)</f>
        <v>1</v>
      </c>
      <c r="AI234" s="296">
        <f ca="1">IF(Table2[[#This Row],[Start Date]]&gt;TODAY(),1,)</f>
        <v>0</v>
      </c>
    </row>
    <row r="235" spans="1:35" s="146" customFormat="1" x14ac:dyDescent="0.25">
      <c r="B235" s="100" t="s">
        <v>214</v>
      </c>
      <c r="C235" s="147" t="str">
        <f>VLOOKUP(Table2[[#This Row],[Course]],Data!$A$1:$E$56,2,FALSE)</f>
        <v>A-493-0665</v>
      </c>
      <c r="D235" s="147" t="str">
        <f>VLOOKUP(Table2[[#This Row],[Course]],Data!$A$1:$E$56,3,FALSE)</f>
        <v>10KW</v>
      </c>
      <c r="E235" s="100" t="s">
        <v>116</v>
      </c>
      <c r="F235" s="149">
        <v>45418</v>
      </c>
      <c r="G235" s="149">
        <v>45422</v>
      </c>
      <c r="H235" s="149"/>
      <c r="I235" s="150">
        <v>0.54166666666666663</v>
      </c>
      <c r="J235" s="150">
        <v>0.41666666666666669</v>
      </c>
      <c r="K235" s="150">
        <v>0.83333333333333337</v>
      </c>
      <c r="L235" s="150">
        <v>0.75</v>
      </c>
      <c r="M235" s="150">
        <v>0.29166666666666669</v>
      </c>
      <c r="N235" s="150">
        <v>8.3333333333333329E-2</v>
      </c>
      <c r="O235" s="100" t="s">
        <v>83</v>
      </c>
      <c r="P235" s="100"/>
      <c r="Q235" s="170" t="e">
        <v>#REF!</v>
      </c>
      <c r="R235" s="171" t="e">
        <v>#REF!</v>
      </c>
      <c r="S235" s="170"/>
      <c r="T235" s="101"/>
      <c r="U235" s="101"/>
      <c r="V235" s="154">
        <f>VLOOKUP(Table2[[#This Row],[Course]],Data!$A$1:$E$56,4,FALSE)</f>
        <v>45</v>
      </c>
      <c r="W235" s="154">
        <f>VLOOKUP(Table2[[#This Row],[Course]],Data!$A$1:$E$56,5,FALSE)</f>
        <v>5</v>
      </c>
      <c r="X235" s="154">
        <v>343</v>
      </c>
      <c r="Y235" s="275">
        <v>33</v>
      </c>
      <c r="Z235" s="275">
        <v>0</v>
      </c>
      <c r="AA235" s="275">
        <v>28</v>
      </c>
      <c r="AB235" s="276">
        <v>0</v>
      </c>
      <c r="AC235" s="275">
        <v>5</v>
      </c>
      <c r="AD235" s="275">
        <v>0</v>
      </c>
      <c r="AE235" s="275">
        <v>0</v>
      </c>
      <c r="AF235" s="271" t="s">
        <v>213</v>
      </c>
      <c r="AG235" s="277">
        <f ca="1">Table2[[#This Row],[End Date]]+2-TODAY()</f>
        <v>-108</v>
      </c>
      <c r="AH235" s="275">
        <f>IF(ISBLANK(Table2[[#This Row],[Roster Received By]]),1,0)</f>
        <v>0</v>
      </c>
      <c r="AI235" s="275">
        <f ca="1">IF(Table2[[#This Row],[Start Date]]&gt;TODAY(),1,)</f>
        <v>0</v>
      </c>
    </row>
    <row r="236" spans="1:35" s="146" customFormat="1" x14ac:dyDescent="0.25">
      <c r="A236" s="100"/>
      <c r="B236" s="100" t="s">
        <v>236</v>
      </c>
      <c r="C236" s="147" t="str">
        <f>VLOOKUP(Table2[[#This Row],[Course]],Data!$A$1:$E$56,2,FALSE)</f>
        <v>A-493-0103</v>
      </c>
      <c r="D236" s="147" t="str">
        <f>VLOOKUP(Table2[[#This Row],[Course]],Data!$A$1:$E$56,3,FALSE)</f>
        <v>12JY</v>
      </c>
      <c r="E236" s="118" t="s">
        <v>115</v>
      </c>
      <c r="F236" s="149">
        <v>45418</v>
      </c>
      <c r="G236" s="149">
        <v>45422</v>
      </c>
      <c r="H236" s="151">
        <v>0.33333333333333331</v>
      </c>
      <c r="I236" s="151"/>
      <c r="J236" s="149"/>
      <c r="K236" s="149"/>
      <c r="L236" s="149"/>
      <c r="M236" s="149"/>
      <c r="N236" s="149"/>
      <c r="O236" s="100" t="s">
        <v>94</v>
      </c>
      <c r="P236" s="100"/>
      <c r="Q236" s="171" t="e">
        <v>#REF!</v>
      </c>
      <c r="R236" s="171" t="e">
        <v>#REF!</v>
      </c>
      <c r="S236" s="171"/>
      <c r="T236" s="101"/>
      <c r="U236" s="101"/>
      <c r="V236" s="154">
        <f>VLOOKUP(Table2[[#This Row],[Course]],Data!$A$1:$E$56,4,FALSE)</f>
        <v>25</v>
      </c>
      <c r="W236" s="154">
        <f>VLOOKUP(Table2[[#This Row],[Course]],Data!$A$1:$E$56,5,FALSE)</f>
        <v>5</v>
      </c>
      <c r="X236" s="154">
        <v>25</v>
      </c>
      <c r="Y236" s="275">
        <v>12</v>
      </c>
      <c r="Z236" s="275">
        <v>0</v>
      </c>
      <c r="AA236" s="275">
        <v>10</v>
      </c>
      <c r="AB236" s="276">
        <v>0</v>
      </c>
      <c r="AC236" s="275">
        <v>6</v>
      </c>
      <c r="AD236" s="275">
        <v>1</v>
      </c>
      <c r="AE236" s="272">
        <v>0</v>
      </c>
      <c r="AF236" s="271" t="s">
        <v>189</v>
      </c>
      <c r="AG236" s="277">
        <f ca="1">Table2[[#This Row],[End Date]]+2-TODAY()</f>
        <v>-108</v>
      </c>
      <c r="AH236" s="275">
        <f>IF(ISBLANK(Table2[[#This Row],[Roster Received By]]),1,0)</f>
        <v>0</v>
      </c>
      <c r="AI236" s="275">
        <f ca="1">IF(Table2[[#This Row],[Start Date]]&gt;TODAY(),1,)</f>
        <v>0</v>
      </c>
    </row>
    <row r="237" spans="1:35" s="146" customFormat="1" x14ac:dyDescent="0.25">
      <c r="B237" s="100" t="s">
        <v>14</v>
      </c>
      <c r="C237" s="147" t="str">
        <f>VLOOKUP(Table2[[#This Row],[Course]],Data!$A$1:$E$56,2,FALSE)</f>
        <v>A-493-0030</v>
      </c>
      <c r="D237" s="147" t="str">
        <f>VLOOKUP(Table2[[#This Row],[Course]],Data!$A$1:$E$56,3,FALSE)</f>
        <v>286X</v>
      </c>
      <c r="E237" s="100" t="s">
        <v>116</v>
      </c>
      <c r="F237" s="149">
        <v>45418</v>
      </c>
      <c r="G237" s="149">
        <v>45422</v>
      </c>
      <c r="H237" s="149"/>
      <c r="I237" s="150">
        <v>0.33333333333333331</v>
      </c>
      <c r="J237" s="150">
        <v>0.20833333333333334</v>
      </c>
      <c r="K237" s="150">
        <v>0.625</v>
      </c>
      <c r="L237" s="150">
        <v>0.54166666666666663</v>
      </c>
      <c r="M237" s="150">
        <v>8.3333333333333329E-2</v>
      </c>
      <c r="N237" s="150">
        <v>0.875</v>
      </c>
      <c r="O237" s="100" t="s">
        <v>95</v>
      </c>
      <c r="P237" s="100"/>
      <c r="Q237" s="152" t="e">
        <v>#REF!</v>
      </c>
      <c r="R237" s="152" t="e">
        <v>#REF!</v>
      </c>
      <c r="S237" s="153"/>
      <c r="V237" s="154">
        <f>VLOOKUP(Table2[[#This Row],[Course]],Data!$A$1:$E$56,4,FALSE)</f>
        <v>25</v>
      </c>
      <c r="W237" s="154">
        <f>VLOOKUP(Table2[[#This Row],[Course]],Data!$A$1:$E$56,5,FALSE)</f>
        <v>5</v>
      </c>
      <c r="X237" s="154">
        <v>0</v>
      </c>
      <c r="Y237" s="275">
        <v>25</v>
      </c>
      <c r="Z237" s="275">
        <v>1</v>
      </c>
      <c r="AA237" s="275">
        <v>14</v>
      </c>
      <c r="AB237" s="276">
        <v>3</v>
      </c>
      <c r="AC237" s="275">
        <v>11</v>
      </c>
      <c r="AD237" s="275">
        <v>4</v>
      </c>
      <c r="AE237" s="275">
        <v>0</v>
      </c>
      <c r="AF237" s="271" t="s">
        <v>208</v>
      </c>
      <c r="AG237" s="277">
        <f ca="1">Table2[[#This Row],[End Date]]+2-TODAY()</f>
        <v>-108</v>
      </c>
      <c r="AH237" s="275">
        <f>IF(ISBLANK(Table2[[#This Row],[Roster Received By]]),1,0)</f>
        <v>0</v>
      </c>
      <c r="AI237" s="275">
        <f ca="1">IF(Table2[[#This Row],[Start Date]]&gt;TODAY(),1,)</f>
        <v>0</v>
      </c>
    </row>
    <row r="238" spans="1:35" s="146" customFormat="1" x14ac:dyDescent="0.25">
      <c r="B238" s="100" t="s">
        <v>17</v>
      </c>
      <c r="C238" s="147" t="str">
        <f>VLOOKUP(Table2[[#This Row],[Course]],Data!$A$1:$E$56,2,FALSE)</f>
        <v>A-493-0012</v>
      </c>
      <c r="D238" s="147">
        <f>VLOOKUP(Table2[[#This Row],[Course]],Data!$A$1:$E$56,3,FALSE)</f>
        <v>3682</v>
      </c>
      <c r="E238" s="100" t="s">
        <v>104</v>
      </c>
      <c r="F238" s="149">
        <v>45418</v>
      </c>
      <c r="G238" s="149">
        <v>45422</v>
      </c>
      <c r="H238" s="151">
        <v>0.33333333333333331</v>
      </c>
      <c r="I238" s="151"/>
      <c r="J238" s="151"/>
      <c r="K238" s="151"/>
      <c r="L238" s="151"/>
      <c r="M238" s="151"/>
      <c r="N238" s="149"/>
      <c r="O238" s="146" t="s">
        <v>78</v>
      </c>
      <c r="Q238" s="152" t="e">
        <v>#REF!</v>
      </c>
      <c r="R238" s="152" t="e">
        <v>#REF!</v>
      </c>
      <c r="S238" s="153"/>
      <c r="V238" s="154">
        <f>VLOOKUP(Table2[[#This Row],[Course]],Data!$A$1:$E$56,4,FALSE)</f>
        <v>40</v>
      </c>
      <c r="W238" s="154">
        <f>VLOOKUP(Table2[[#This Row],[Course]],Data!$A$1:$E$56,5,FALSE)</f>
        <v>5</v>
      </c>
      <c r="X238" s="154">
        <v>0</v>
      </c>
      <c r="Y238" s="275">
        <v>39</v>
      </c>
      <c r="Z238" s="275">
        <v>0</v>
      </c>
      <c r="AA238" s="275">
        <v>21</v>
      </c>
      <c r="AB238" s="276">
        <v>0</v>
      </c>
      <c r="AC238" s="275">
        <v>1</v>
      </c>
      <c r="AD238" s="275">
        <v>4</v>
      </c>
      <c r="AE238" s="275">
        <v>0</v>
      </c>
      <c r="AF238" s="271" t="s">
        <v>191</v>
      </c>
      <c r="AG238" s="277">
        <f ca="1">Table2[[#This Row],[End Date]]+2-TODAY()</f>
        <v>-108</v>
      </c>
      <c r="AH238" s="275">
        <f>IF(ISBLANK(Table2[[#This Row],[Roster Received By]]),1,0)</f>
        <v>0</v>
      </c>
      <c r="AI238" s="275">
        <f ca="1">IF(Table2[[#This Row],[Start Date]]&gt;TODAY(),1,)</f>
        <v>0</v>
      </c>
    </row>
    <row r="239" spans="1:35" s="146" customFormat="1" x14ac:dyDescent="0.25">
      <c r="B239" s="285" t="s">
        <v>17</v>
      </c>
      <c r="C239" s="147" t="str">
        <f>VLOOKUP(Table2[[#This Row],[Course]],Data!$A$1:$E$56,2,FALSE)</f>
        <v>A-493-0012</v>
      </c>
      <c r="D239" s="147">
        <f>VLOOKUP(Table2[[#This Row],[Course]],Data!$A$1:$E$56,3,FALSE)</f>
        <v>3682</v>
      </c>
      <c r="E239" s="100" t="s">
        <v>166</v>
      </c>
      <c r="F239" s="149">
        <v>45418</v>
      </c>
      <c r="G239" s="149">
        <v>45422</v>
      </c>
      <c r="H239" s="151">
        <v>0.33333333333333331</v>
      </c>
      <c r="I239" s="151"/>
      <c r="J239" s="151"/>
      <c r="K239" s="151"/>
      <c r="L239" s="151"/>
      <c r="M239" s="151"/>
      <c r="N239" s="149"/>
      <c r="O239" s="146" t="s">
        <v>78</v>
      </c>
      <c r="Q239" s="152" t="e">
        <v>#REF!</v>
      </c>
      <c r="R239" s="152" t="e">
        <v>#REF!</v>
      </c>
      <c r="S239" s="153"/>
      <c r="V239" s="154">
        <f>VLOOKUP(Table2[[#This Row],[Course]],Data!$A$1:$E$56,4,FALSE)</f>
        <v>40</v>
      </c>
      <c r="W239" s="154">
        <f>VLOOKUP(Table2[[#This Row],[Course]],Data!$A$1:$E$56,5,FALSE)</f>
        <v>5</v>
      </c>
      <c r="X239" s="154">
        <v>20</v>
      </c>
      <c r="Y239" s="275">
        <v>40</v>
      </c>
      <c r="Z239" s="275">
        <v>4</v>
      </c>
      <c r="AA239" s="275">
        <v>32</v>
      </c>
      <c r="AB239" s="276">
        <v>0</v>
      </c>
      <c r="AC239" s="275">
        <v>7</v>
      </c>
      <c r="AD239" s="275">
        <v>0</v>
      </c>
      <c r="AE239" s="275">
        <v>0</v>
      </c>
      <c r="AF239" s="271" t="s">
        <v>191</v>
      </c>
      <c r="AG239" s="277">
        <f ca="1">Table2[[#This Row],[End Date]]+2-TODAY()</f>
        <v>-108</v>
      </c>
      <c r="AH239" s="275">
        <f>IF(ISBLANK(Table2[[#This Row],[Roster Received By]]),1,0)</f>
        <v>0</v>
      </c>
      <c r="AI239" s="275">
        <f ca="1">IF(Table2[[#This Row],[Start Date]]&gt;TODAY(),1,)</f>
        <v>0</v>
      </c>
    </row>
    <row r="240" spans="1:35" s="146" customFormat="1" x14ac:dyDescent="0.25">
      <c r="B240" s="100" t="s">
        <v>243</v>
      </c>
      <c r="C240" s="147" t="str">
        <f>VLOOKUP(Table2[[#This Row],[Course]],Data!$A$1:$E$56,2,FALSE)</f>
        <v>A-493-0061</v>
      </c>
      <c r="D240" s="147" t="str">
        <f>VLOOKUP(Table2[[#This Row],[Course]],Data!$A$1:$E$56,3,FALSE)</f>
        <v>288E</v>
      </c>
      <c r="E240" s="100" t="s">
        <v>116</v>
      </c>
      <c r="F240" s="292">
        <v>45418</v>
      </c>
      <c r="G240" s="292">
        <v>45422</v>
      </c>
      <c r="H240" s="149"/>
      <c r="I240" s="150">
        <v>0.54166666666666663</v>
      </c>
      <c r="J240" s="150">
        <v>0.41666666666666669</v>
      </c>
      <c r="K240" s="150">
        <v>0.83333333333333337</v>
      </c>
      <c r="L240" s="150">
        <v>0.75</v>
      </c>
      <c r="M240" s="150">
        <v>0.29166666666666669</v>
      </c>
      <c r="N240" s="150">
        <v>8.3333333333333329E-2</v>
      </c>
      <c r="O240" s="100" t="s">
        <v>92</v>
      </c>
      <c r="P240" s="100"/>
      <c r="Q240" s="171" t="e">
        <v>#REF!</v>
      </c>
      <c r="R240" s="171" t="e">
        <v>#REF!</v>
      </c>
      <c r="S240" s="173"/>
      <c r="T240" s="101"/>
      <c r="U240" s="101"/>
      <c r="V240" s="154">
        <f>VLOOKUP(Table2[[#This Row],[Course]],Data!$A$1:$E$56,4,FALSE)</f>
        <v>45</v>
      </c>
      <c r="W240" s="154">
        <f>VLOOKUP(Table2[[#This Row],[Course]],Data!$A$1:$E$56,5,FALSE)</f>
        <v>5</v>
      </c>
      <c r="X240" s="154">
        <v>583</v>
      </c>
      <c r="Y240" s="275">
        <v>13</v>
      </c>
      <c r="Z240" s="275">
        <v>0</v>
      </c>
      <c r="AA240" s="275">
        <v>10</v>
      </c>
      <c r="AB240" s="276">
        <v>0</v>
      </c>
      <c r="AC240" s="275">
        <v>2</v>
      </c>
      <c r="AD240" s="275">
        <v>0</v>
      </c>
      <c r="AE240" s="275">
        <v>0</v>
      </c>
      <c r="AF240" s="271" t="s">
        <v>191</v>
      </c>
      <c r="AG240" s="277">
        <f ca="1">Table2[[#This Row],[End Date]]+2-TODAY()</f>
        <v>-108</v>
      </c>
      <c r="AH240" s="275">
        <f>IF(ISBLANK(Table2[[#This Row],[Roster Received By]]),1,0)</f>
        <v>0</v>
      </c>
      <c r="AI240" s="275">
        <f ca="1">IF(Table2[[#This Row],[Start Date]]&gt;TODAY(),1,)</f>
        <v>0</v>
      </c>
    </row>
    <row r="241" spans="1:35" s="146" customFormat="1" x14ac:dyDescent="0.25">
      <c r="B241" s="285" t="s">
        <v>24</v>
      </c>
      <c r="C241" s="147" t="str">
        <f>VLOOKUP(Table2[[#This Row],[Course]],Data!$A$1:$E$56,2,FALSE)</f>
        <v>A-493-0083</v>
      </c>
      <c r="D241" s="147" t="str">
        <f>VLOOKUP(Table2[[#This Row],[Course]],Data!$A$1:$E$56,3,FALSE)</f>
        <v>339E</v>
      </c>
      <c r="E241" s="100" t="s">
        <v>116</v>
      </c>
      <c r="F241" s="149">
        <v>45418</v>
      </c>
      <c r="G241" s="149">
        <v>45418</v>
      </c>
      <c r="H241" s="149"/>
      <c r="I241" s="150">
        <v>0.45833333333333331</v>
      </c>
      <c r="J241" s="150">
        <v>0.33333333333333331</v>
      </c>
      <c r="K241" s="150">
        <v>0.75</v>
      </c>
      <c r="L241" s="150">
        <v>0.66666666666666663</v>
      </c>
      <c r="M241" s="150">
        <v>0.20833333333333334</v>
      </c>
      <c r="N241" s="150">
        <v>0</v>
      </c>
      <c r="O241" s="100" t="s">
        <v>78</v>
      </c>
      <c r="P241" s="100"/>
      <c r="Q241" s="170" t="e">
        <v>#REF!</v>
      </c>
      <c r="R241" s="171" t="e">
        <v>#REF!</v>
      </c>
      <c r="S241" s="170"/>
      <c r="T241" s="101"/>
      <c r="U241" s="101"/>
      <c r="V241" s="154">
        <f>VLOOKUP(Table2[[#This Row],[Course]],Data!$A$1:$E$56,4,FALSE)</f>
        <v>30</v>
      </c>
      <c r="W241" s="154">
        <f>VLOOKUP(Table2[[#This Row],[Course]],Data!$A$1:$E$56,5,FALSE)</f>
        <v>1</v>
      </c>
      <c r="X241" s="154">
        <v>0</v>
      </c>
      <c r="Y241" s="275">
        <v>30</v>
      </c>
      <c r="Z241" s="275">
        <v>5</v>
      </c>
      <c r="AA241" s="275">
        <v>32</v>
      </c>
      <c r="AB241" s="276">
        <v>0</v>
      </c>
      <c r="AC241" s="275">
        <v>3</v>
      </c>
      <c r="AD241" s="275">
        <v>4</v>
      </c>
      <c r="AE241" s="275">
        <v>0</v>
      </c>
      <c r="AF241" s="271" t="s">
        <v>213</v>
      </c>
      <c r="AG241" s="277">
        <f ca="1">Table2[[#This Row],[End Date]]+2-TODAY()</f>
        <v>-112</v>
      </c>
      <c r="AH241" s="275">
        <f>IF(ISBLANK(Table2[[#This Row],[Roster Received By]]),1,0)</f>
        <v>0</v>
      </c>
      <c r="AI241" s="275">
        <f ca="1">IF(Table2[[#This Row],[Start Date]]&gt;TODAY(),1,)</f>
        <v>0</v>
      </c>
    </row>
    <row r="242" spans="1:35" s="146" customFormat="1" x14ac:dyDescent="0.25">
      <c r="B242" s="285" t="s">
        <v>281</v>
      </c>
      <c r="C242" s="147" t="str">
        <f>VLOOKUP(Table2[[#This Row],[Course]],Data!$A$1:$E$56,2,FALSE)</f>
        <v>A-493-0550</v>
      </c>
      <c r="D242" s="147" t="str">
        <f>VLOOKUP(Table2[[#This Row],[Course]],Data!$A$1:$E$56,3,FALSE)</f>
        <v>09K5</v>
      </c>
      <c r="E242" s="100" t="s">
        <v>116</v>
      </c>
      <c r="F242" s="292">
        <v>45418</v>
      </c>
      <c r="G242" s="292">
        <v>45422</v>
      </c>
      <c r="H242" s="149"/>
      <c r="I242" s="150">
        <v>0.33333333333333331</v>
      </c>
      <c r="J242" s="150">
        <v>0.20833333333333334</v>
      </c>
      <c r="K242" s="150">
        <v>0.625</v>
      </c>
      <c r="L242" s="150">
        <v>0.54166666666666663</v>
      </c>
      <c r="M242" s="150">
        <v>8.3333333333333329E-2</v>
      </c>
      <c r="N242" s="150">
        <v>0.875</v>
      </c>
      <c r="O242" s="100" t="s">
        <v>85</v>
      </c>
      <c r="P242" s="100"/>
      <c r="Q242" s="152" t="e">
        <v>#REF!</v>
      </c>
      <c r="R242" s="152" t="e">
        <v>#REF!</v>
      </c>
      <c r="S242" s="153"/>
      <c r="V242" s="154">
        <f>VLOOKUP(Table2[[#This Row],[Course]],Data!$A$1:$E$56,4,FALSE)</f>
        <v>45</v>
      </c>
      <c r="W242" s="154">
        <f>VLOOKUP(Table2[[#This Row],[Course]],Data!$A$1:$E$56,5,FALSE)</f>
        <v>4</v>
      </c>
      <c r="X242" s="154">
        <v>480</v>
      </c>
      <c r="Y242" s="275">
        <v>45</v>
      </c>
      <c r="Z242" s="275">
        <v>0</v>
      </c>
      <c r="AA242" s="275">
        <v>39</v>
      </c>
      <c r="AB242" s="276">
        <v>1</v>
      </c>
      <c r="AC242" s="275">
        <v>5</v>
      </c>
      <c r="AD242" s="275">
        <v>0</v>
      </c>
      <c r="AE242" s="275">
        <v>0</v>
      </c>
      <c r="AF242" s="271" t="s">
        <v>208</v>
      </c>
      <c r="AG242" s="277">
        <f ca="1">Table2[[#This Row],[End Date]]+2-TODAY()</f>
        <v>-108</v>
      </c>
      <c r="AH242" s="275">
        <f>IF(ISBLANK(Table2[[#This Row],[Roster Received By]]),1,0)</f>
        <v>0</v>
      </c>
      <c r="AI242" s="275">
        <f ca="1">IF(Table2[[#This Row],[Start Date]]&gt;TODAY(),1,)</f>
        <v>0</v>
      </c>
    </row>
    <row r="243" spans="1:35" s="146" customFormat="1" x14ac:dyDescent="0.25">
      <c r="B243" s="285" t="s">
        <v>292</v>
      </c>
      <c r="C243" s="147" t="str">
        <f>VLOOKUP(Table2[[#This Row],[Course]],Data!$A$1:$E$56,2,FALSE)</f>
        <v>A-493-0078</v>
      </c>
      <c r="D243" s="147">
        <f>VLOOKUP(Table2[[#This Row],[Course]],Data!$A$1:$E$56,3,FALSE)</f>
        <v>1228</v>
      </c>
      <c r="E243" s="285" t="s">
        <v>116</v>
      </c>
      <c r="F243" s="292">
        <v>45418</v>
      </c>
      <c r="G243" s="292">
        <v>45422</v>
      </c>
      <c r="H243" s="149"/>
      <c r="I243" s="150">
        <v>0.41666666666666669</v>
      </c>
      <c r="J243" s="150">
        <v>0.29166666666666669</v>
      </c>
      <c r="K243" s="150">
        <v>0.70833333333333337</v>
      </c>
      <c r="L243" s="150">
        <v>0.625</v>
      </c>
      <c r="M243" s="150">
        <v>0.16666666666666666</v>
      </c>
      <c r="N243" s="150">
        <v>0.95833333333333337</v>
      </c>
      <c r="O243" s="100" t="s">
        <v>80</v>
      </c>
      <c r="P243" s="100"/>
      <c r="Q243" s="171" t="e">
        <v>#REF!</v>
      </c>
      <c r="R243" s="171" t="e">
        <v>#REF!</v>
      </c>
      <c r="S243" s="173"/>
      <c r="T243" s="101"/>
      <c r="U243" s="101"/>
      <c r="V243" s="154">
        <f>VLOOKUP(Table2[[#This Row],[Course]],Data!$A$1:$E$56,4,FALSE)</f>
        <v>45</v>
      </c>
      <c r="W243" s="154">
        <f>VLOOKUP(Table2[[#This Row],[Course]],Data!$A$1:$E$56,5,FALSE)</f>
        <v>5</v>
      </c>
      <c r="X243" s="154">
        <v>543</v>
      </c>
      <c r="Y243" s="275">
        <v>44</v>
      </c>
      <c r="Z243" s="275">
        <v>0</v>
      </c>
      <c r="AA243" s="275">
        <v>35</v>
      </c>
      <c r="AB243" s="276">
        <v>0</v>
      </c>
      <c r="AC243" s="275">
        <v>9</v>
      </c>
      <c r="AD243" s="275">
        <v>1</v>
      </c>
      <c r="AE243" s="275">
        <v>0</v>
      </c>
      <c r="AF243" s="271" t="s">
        <v>213</v>
      </c>
      <c r="AG243" s="277">
        <f ca="1">Table2[[#This Row],[End Date]]+2-TODAY()</f>
        <v>-108</v>
      </c>
      <c r="AH243" s="275">
        <f>IF(ISBLANK(Table2[[#This Row],[Roster Received By]]),1,0)</f>
        <v>0</v>
      </c>
      <c r="AI243" s="275">
        <f ca="1">IF(Table2[[#This Row],[Start Date]]&gt;TODAY(),1,)</f>
        <v>0</v>
      </c>
    </row>
    <row r="244" spans="1:35" s="146" customFormat="1" x14ac:dyDescent="0.25">
      <c r="B244" s="100" t="s">
        <v>303</v>
      </c>
      <c r="C244" s="147" t="str">
        <f>VLOOKUP(Table2[[#This Row],[Course]],Data!$A$1:$E$56,2,FALSE)</f>
        <v>A-570-0100</v>
      </c>
      <c r="D244" s="147" t="str">
        <f>VLOOKUP(Table2[[#This Row],[Course]],Data!$A$1:$E$56,3,FALSE)</f>
        <v>18B7</v>
      </c>
      <c r="E244" s="100" t="s">
        <v>116</v>
      </c>
      <c r="F244" s="149">
        <v>45418</v>
      </c>
      <c r="G244" s="149">
        <v>45421</v>
      </c>
      <c r="H244" s="149"/>
      <c r="I244" s="150">
        <v>0.54166666666666663</v>
      </c>
      <c r="J244" s="150">
        <v>0.41666666666666669</v>
      </c>
      <c r="K244" s="150">
        <v>0.83333333333333337</v>
      </c>
      <c r="L244" s="150">
        <v>0.75</v>
      </c>
      <c r="M244" s="150">
        <v>0.29166666666666669</v>
      </c>
      <c r="N244" s="150">
        <v>8.3333333333333329E-2</v>
      </c>
      <c r="O244" s="100" t="s">
        <v>89</v>
      </c>
      <c r="P244" s="100"/>
      <c r="Q244" s="170" t="e">
        <v>#REF!</v>
      </c>
      <c r="R244" s="171" t="e">
        <v>#REF!</v>
      </c>
      <c r="S244" s="170"/>
      <c r="T244" s="101"/>
      <c r="U244" s="101"/>
      <c r="V244" s="154">
        <f>VLOOKUP(Table2[[#This Row],[Course]],Data!$A$1:$E$56,4,FALSE)</f>
        <v>30</v>
      </c>
      <c r="W244" s="154">
        <f>VLOOKUP(Table2[[#This Row],[Course]],Data!$A$1:$E$56,5,FALSE)</f>
        <v>4</v>
      </c>
      <c r="X244" s="154">
        <v>459</v>
      </c>
      <c r="Y244" s="275">
        <v>33</v>
      </c>
      <c r="Z244" s="275">
        <v>0</v>
      </c>
      <c r="AA244" s="275">
        <v>25</v>
      </c>
      <c r="AB244" s="276">
        <v>1</v>
      </c>
      <c r="AC244" s="275">
        <v>7</v>
      </c>
      <c r="AD244" s="275">
        <v>3</v>
      </c>
      <c r="AE244" s="275">
        <v>0</v>
      </c>
      <c r="AF244" s="271" t="s">
        <v>200</v>
      </c>
      <c r="AG244" s="277">
        <f ca="1">Table2[[#This Row],[End Date]]+2-TODAY()</f>
        <v>-109</v>
      </c>
      <c r="AH244" s="275">
        <f>IF(ISBLANK(Table2[[#This Row],[Roster Received By]]),1,0)</f>
        <v>0</v>
      </c>
      <c r="AI244" s="275">
        <f ca="1">IF(Table2[[#This Row],[Start Date]]&gt;TODAY(),1,)</f>
        <v>0</v>
      </c>
    </row>
    <row r="245" spans="1:35" s="146" customFormat="1" x14ac:dyDescent="0.25">
      <c r="A245" s="158" t="s">
        <v>512</v>
      </c>
      <c r="B245" s="159" t="s">
        <v>40</v>
      </c>
      <c r="C245" s="160" t="str">
        <f>VLOOKUP(Table2[[#This Row],[Course]],Data!$A$1:$E$56,2,FALSE)</f>
        <v>A-493-2017</v>
      </c>
      <c r="D245" s="160" t="str">
        <f>VLOOKUP(Table2[[#This Row],[Course]],Data!$A$1:$E$56,3,FALSE)</f>
        <v>12x3</v>
      </c>
      <c r="E245" s="286" t="s">
        <v>343</v>
      </c>
      <c r="F245" s="161">
        <v>45418</v>
      </c>
      <c r="G245" s="161">
        <v>45422</v>
      </c>
      <c r="H245" s="162">
        <v>0.33333333333333331</v>
      </c>
      <c r="I245" s="163"/>
      <c r="J245" s="161"/>
      <c r="K245" s="161"/>
      <c r="L245" s="161"/>
      <c r="M245" s="161"/>
      <c r="N245" s="161"/>
      <c r="O245" s="159" t="s">
        <v>78</v>
      </c>
      <c r="P245" s="159"/>
      <c r="Q245" s="179"/>
      <c r="R245" s="180"/>
      <c r="S245" s="179"/>
      <c r="T245" s="174"/>
      <c r="U245" s="174"/>
      <c r="V245" s="164">
        <v>25</v>
      </c>
      <c r="W245" s="165">
        <v>2</v>
      </c>
      <c r="X245" s="165">
        <v>0</v>
      </c>
      <c r="Y245" s="353">
        <v>13</v>
      </c>
      <c r="Z245" s="353">
        <v>0</v>
      </c>
      <c r="AA245" s="338">
        <v>12</v>
      </c>
      <c r="AB245" s="338">
        <v>0</v>
      </c>
      <c r="AC245" s="339">
        <v>1</v>
      </c>
      <c r="AD245" s="339">
        <v>0</v>
      </c>
      <c r="AE245" s="339">
        <v>0</v>
      </c>
      <c r="AF245" s="340" t="s">
        <v>213</v>
      </c>
      <c r="AG245" s="341">
        <f ca="1">Table2[[#This Row],[End Date]]+2-TODAY()</f>
        <v>-108</v>
      </c>
      <c r="AH245" s="339">
        <f>IF(ISBLANK(Table2[[#This Row],[Roster Received By]]),1,0)</f>
        <v>0</v>
      </c>
      <c r="AI245" s="339">
        <f ca="1">IF(Table2[[#This Row],[Start Date]]&gt;TODAY(),1,)</f>
        <v>0</v>
      </c>
    </row>
    <row r="246" spans="1:35" s="146" customFormat="1" x14ac:dyDescent="0.25">
      <c r="B246" s="228" t="s">
        <v>270</v>
      </c>
      <c r="C246" s="147" t="str">
        <f>VLOOKUP(Table2[[#This Row],[Course]],Data!$A$1:$E$56,2,FALSE)</f>
        <v>A-493-0331</v>
      </c>
      <c r="D246" s="147" t="str">
        <f>VLOOKUP(Table2[[#This Row],[Course]],Data!$A$1:$E$56,3,FALSE)</f>
        <v>10UG</v>
      </c>
      <c r="E246" s="100" t="s">
        <v>116</v>
      </c>
      <c r="F246" s="149">
        <v>45419</v>
      </c>
      <c r="G246" s="149">
        <v>45421</v>
      </c>
      <c r="H246" s="149"/>
      <c r="I246" s="150">
        <v>0.5</v>
      </c>
      <c r="J246" s="150">
        <v>0.375</v>
      </c>
      <c r="K246" s="150">
        <v>0.79166666666666663</v>
      </c>
      <c r="L246" s="150">
        <v>0.70833333333333337</v>
      </c>
      <c r="M246" s="150">
        <v>0.25</v>
      </c>
      <c r="N246" s="150">
        <v>4.1666666666666664E-2</v>
      </c>
      <c r="O246" s="100" t="s">
        <v>84</v>
      </c>
      <c r="P246" s="100"/>
      <c r="Q246" s="170" t="e">
        <v>#REF!</v>
      </c>
      <c r="R246" s="171" t="e">
        <v>#REF!</v>
      </c>
      <c r="S246" s="170"/>
      <c r="T246" s="101"/>
      <c r="U246" s="101"/>
      <c r="V246" s="154">
        <f>VLOOKUP(Table2[[#This Row],[Course]],Data!$A$1:$E$56,4,FALSE)</f>
        <v>40</v>
      </c>
      <c r="W246" s="154">
        <f>VLOOKUP(Table2[[#This Row],[Course]],Data!$A$1:$E$56,5,FALSE)</f>
        <v>3</v>
      </c>
      <c r="X246" s="154">
        <v>709</v>
      </c>
      <c r="Y246" s="275">
        <v>40</v>
      </c>
      <c r="Z246" s="275">
        <v>9</v>
      </c>
      <c r="AA246" s="275">
        <v>38</v>
      </c>
      <c r="AB246" s="276">
        <v>1</v>
      </c>
      <c r="AC246" s="275">
        <v>6</v>
      </c>
      <c r="AD246" s="275">
        <v>0</v>
      </c>
      <c r="AE246" s="275">
        <v>0</v>
      </c>
      <c r="AF246" s="271" t="s">
        <v>208</v>
      </c>
      <c r="AG246" s="277">
        <f ca="1">Table2[[#This Row],[End Date]]+2-TODAY()</f>
        <v>-109</v>
      </c>
      <c r="AH246" s="275">
        <f>IF(ISBLANK(Table2[[#This Row],[Roster Received By]]),1,0)</f>
        <v>0</v>
      </c>
      <c r="AI246" s="275">
        <f ca="1">IF(Table2[[#This Row],[Start Date]]&gt;TODAY(),1,)</f>
        <v>0</v>
      </c>
    </row>
    <row r="247" spans="1:35" s="146" customFormat="1" x14ac:dyDescent="0.25">
      <c r="B247" s="285" t="s">
        <v>15</v>
      </c>
      <c r="C247" s="147" t="str">
        <f>VLOOKUP(Table2[[#This Row],[Course]],Data!$A$1:$E$56,2,FALSE)</f>
        <v>A-493-0021</v>
      </c>
      <c r="D247" s="147" t="str">
        <f>VLOOKUP(Table2[[#This Row],[Course]],Data!$A$1:$E$56,3,FALSE)</f>
        <v>18BN</v>
      </c>
      <c r="E247" s="100" t="s">
        <v>117</v>
      </c>
      <c r="F247" s="149">
        <v>45425</v>
      </c>
      <c r="G247" s="149">
        <v>45429</v>
      </c>
      <c r="H247" s="151">
        <v>0.33333333333333331</v>
      </c>
      <c r="I247" s="151"/>
      <c r="J247" s="149"/>
      <c r="K247" s="149"/>
      <c r="L247" s="149"/>
      <c r="M247" s="149"/>
      <c r="N247" s="149"/>
      <c r="O247" s="100" t="s">
        <v>94</v>
      </c>
      <c r="P247" s="100"/>
      <c r="Q247" s="152" t="e">
        <v>#REF!</v>
      </c>
      <c r="R247" s="152" t="e">
        <v>#REF!</v>
      </c>
      <c r="S247" s="153"/>
      <c r="V247" s="154">
        <f>VLOOKUP(Table2[[#This Row],[Course]],Data!$A$1:$E$56,4,FALSE)</f>
        <v>35</v>
      </c>
      <c r="W247" s="154">
        <f>VLOOKUP(Table2[[#This Row],[Course]],Data!$A$1:$E$56,5,FALSE)</f>
        <v>5</v>
      </c>
      <c r="X247" s="154">
        <v>20</v>
      </c>
      <c r="Y247" s="275">
        <v>35</v>
      </c>
      <c r="Z247" s="275">
        <v>7</v>
      </c>
      <c r="AA247" s="275">
        <v>32</v>
      </c>
      <c r="AB247" s="276">
        <v>0</v>
      </c>
      <c r="AC247" s="275">
        <v>10</v>
      </c>
      <c r="AD247" s="275">
        <v>8</v>
      </c>
      <c r="AE247" s="331">
        <v>0</v>
      </c>
      <c r="AF247" s="271" t="s">
        <v>189</v>
      </c>
      <c r="AG247" s="277">
        <f ca="1">Table2[[#This Row],[End Date]]+2-TODAY()</f>
        <v>-101</v>
      </c>
      <c r="AH247" s="275">
        <f>IF(ISBLANK(Table2[[#This Row],[Roster Received By]]),1,0)</f>
        <v>0</v>
      </c>
      <c r="AI247" s="275">
        <f ca="1">IF(Table2[[#This Row],[Start Date]]&gt;TODAY(),1,)</f>
        <v>0</v>
      </c>
    </row>
    <row r="248" spans="1:35" s="146" customFormat="1" x14ac:dyDescent="0.25">
      <c r="A248" s="146" t="s">
        <v>513</v>
      </c>
      <c r="B248" s="228" t="s">
        <v>18</v>
      </c>
      <c r="C248" s="147" t="str">
        <f>VLOOKUP(Table2[[#This Row],[Course]],Data!$A$1:$E$56,2,FALSE)</f>
        <v>A-493-0013</v>
      </c>
      <c r="D248" s="147">
        <f>VLOOKUP(Table2[[#This Row],[Course]],Data!$A$1:$E$56,3,FALSE)</f>
        <v>3683</v>
      </c>
      <c r="E248" s="100" t="s">
        <v>267</v>
      </c>
      <c r="F248" s="149">
        <v>45425</v>
      </c>
      <c r="G248" s="149">
        <v>45427</v>
      </c>
      <c r="H248" s="151">
        <v>0.33333333333333331</v>
      </c>
      <c r="I248" s="151"/>
      <c r="J248" s="151"/>
      <c r="K248" s="151"/>
      <c r="L248" s="151"/>
      <c r="M248" s="151"/>
      <c r="N248" s="149"/>
      <c r="O248" s="146" t="s">
        <v>78</v>
      </c>
      <c r="Q248" s="171" t="e">
        <v>#REF!</v>
      </c>
      <c r="R248" s="171" t="e">
        <v>#REF!</v>
      </c>
      <c r="S248" s="173"/>
      <c r="T248" s="101"/>
      <c r="U248" s="101"/>
      <c r="V248" s="154">
        <f>VLOOKUP(Table2[[#This Row],[Course]],Data!$A$1:$E$56,4,FALSE)</f>
        <v>40</v>
      </c>
      <c r="W248" s="154">
        <v>3</v>
      </c>
      <c r="X248" s="154">
        <v>0</v>
      </c>
      <c r="Y248" s="275">
        <v>10</v>
      </c>
      <c r="Z248" s="275">
        <v>0</v>
      </c>
      <c r="AA248" s="275">
        <v>25</v>
      </c>
      <c r="AB248" s="276">
        <v>0</v>
      </c>
      <c r="AC248" s="275">
        <v>0</v>
      </c>
      <c r="AD248" s="275">
        <v>12</v>
      </c>
      <c r="AE248" s="275">
        <v>16</v>
      </c>
      <c r="AF248" s="271" t="s">
        <v>191</v>
      </c>
      <c r="AG248" s="277">
        <f ca="1">Table2[[#This Row],[End Date]]+2-TODAY()</f>
        <v>-103</v>
      </c>
      <c r="AH248" s="275">
        <f>IF(ISBLANK(Table2[[#This Row],[Roster Received By]]),1,0)</f>
        <v>0</v>
      </c>
      <c r="AI248" s="275">
        <f ca="1">IF(Table2[[#This Row],[Start Date]]&gt;TODAY(),1,)</f>
        <v>0</v>
      </c>
    </row>
    <row r="249" spans="1:35" s="146" customFormat="1" x14ac:dyDescent="0.25">
      <c r="B249" s="228" t="s">
        <v>20</v>
      </c>
      <c r="C249" s="147" t="str">
        <f>VLOOKUP(Table2[[#This Row],[Course]],Data!$A$1:$E$56,2,FALSE)</f>
        <v xml:space="preserve">A-493-0075 </v>
      </c>
      <c r="D249" s="147" t="str">
        <f>VLOOKUP(Table2[[#This Row],[Course]],Data!$A$1:$E$56,3,FALSE)</f>
        <v>714U</v>
      </c>
      <c r="E249" s="285" t="s">
        <v>109</v>
      </c>
      <c r="F249" s="292">
        <v>45425</v>
      </c>
      <c r="G249" s="292">
        <v>45428</v>
      </c>
      <c r="H249" s="151">
        <v>0.33333333333333331</v>
      </c>
      <c r="I249" s="151"/>
      <c r="J249" s="149"/>
      <c r="K249" s="149"/>
      <c r="L249" s="149"/>
      <c r="M249" s="149"/>
      <c r="N249" s="149"/>
      <c r="O249" s="100" t="s">
        <v>94</v>
      </c>
      <c r="P249" s="100"/>
      <c r="Q249" s="171" t="e">
        <v>#REF!</v>
      </c>
      <c r="R249" s="171" t="e">
        <v>#REF!</v>
      </c>
      <c r="S249" s="173"/>
      <c r="T249" s="101"/>
      <c r="U249" s="101"/>
      <c r="V249" s="154">
        <f>VLOOKUP(Table2[[#This Row],[Course]],Data!$A$1:$E$56,4,FALSE)</f>
        <v>30</v>
      </c>
      <c r="W249" s="154">
        <f>VLOOKUP(Table2[[#This Row],[Course]],Data!$A$1:$E$56,5,FALSE)</f>
        <v>4</v>
      </c>
      <c r="X249" s="154">
        <v>6</v>
      </c>
      <c r="Y249" s="275">
        <v>11</v>
      </c>
      <c r="Z249" s="275">
        <v>0</v>
      </c>
      <c r="AA249" s="275">
        <v>10</v>
      </c>
      <c r="AB249" s="276">
        <v>0</v>
      </c>
      <c r="AC249" s="275">
        <v>1</v>
      </c>
      <c r="AD249" s="275">
        <v>0</v>
      </c>
      <c r="AE249" s="275">
        <v>0</v>
      </c>
      <c r="AF249" s="271" t="s">
        <v>191</v>
      </c>
      <c r="AG249" s="277">
        <f ca="1">Table2[[#This Row],[End Date]]+2-TODAY()</f>
        <v>-102</v>
      </c>
      <c r="AH249" s="275">
        <f>IF(ISBLANK(Table2[[#This Row],[Roster Received By]]),1,0)</f>
        <v>0</v>
      </c>
      <c r="AI249" s="275">
        <f ca="1">IF(Table2[[#This Row],[Start Date]]&gt;TODAY(),1,)</f>
        <v>0</v>
      </c>
    </row>
    <row r="250" spans="1:35" s="146" customFormat="1" x14ac:dyDescent="0.25">
      <c r="B250" s="228" t="s">
        <v>249</v>
      </c>
      <c r="C250" s="147" t="str">
        <f>VLOOKUP(Table2[[#This Row],[Course]],Data!$A$1:$E$56,2,FALSE)</f>
        <v>A-322-2604</v>
      </c>
      <c r="D250" s="147" t="str">
        <f>VLOOKUP(Table2[[#This Row],[Course]],Data!$A$1:$E$56,3,FALSE)</f>
        <v>10ZZ</v>
      </c>
      <c r="E250" s="100" t="s">
        <v>116</v>
      </c>
      <c r="F250" s="149">
        <v>45425</v>
      </c>
      <c r="G250" s="149">
        <v>45429</v>
      </c>
      <c r="H250" s="149"/>
      <c r="I250" s="150">
        <v>0.33333333333333331</v>
      </c>
      <c r="J250" s="150">
        <v>0.20833333333333334</v>
      </c>
      <c r="K250" s="150">
        <v>0.625</v>
      </c>
      <c r="L250" s="150">
        <v>0.54166666666666663</v>
      </c>
      <c r="M250" s="150">
        <v>8.3333333333333329E-2</v>
      </c>
      <c r="N250" s="150">
        <v>0.875</v>
      </c>
      <c r="O250" s="100" t="s">
        <v>83</v>
      </c>
      <c r="P250" s="100"/>
      <c r="Q250" s="170" t="e">
        <v>#REF!</v>
      </c>
      <c r="R250" s="171" t="e">
        <v>#REF!</v>
      </c>
      <c r="S250" s="170"/>
      <c r="T250" s="101"/>
      <c r="U250" s="101"/>
      <c r="V250" s="154">
        <f>VLOOKUP(Table2[[#This Row],[Course]],Data!$A$1:$E$56,4,FALSE)</f>
        <v>45</v>
      </c>
      <c r="W250" s="154">
        <f>VLOOKUP(Table2[[#This Row],[Course]],Data!$A$1:$E$56,5,FALSE)</f>
        <v>5</v>
      </c>
      <c r="X250" s="154">
        <v>403</v>
      </c>
      <c r="Y250" s="275">
        <v>28</v>
      </c>
      <c r="Z250" s="275">
        <v>5</v>
      </c>
      <c r="AA250" s="275">
        <v>37</v>
      </c>
      <c r="AB250" s="276">
        <v>0</v>
      </c>
      <c r="AC250" s="275">
        <v>8</v>
      </c>
      <c r="AD250" s="275">
        <v>0</v>
      </c>
      <c r="AE250" s="275">
        <v>0</v>
      </c>
      <c r="AF250" s="271" t="s">
        <v>213</v>
      </c>
      <c r="AG250" s="277">
        <f ca="1">Table2[[#This Row],[End Date]]+2-TODAY()</f>
        <v>-101</v>
      </c>
      <c r="AH250" s="275">
        <f>IF(ISBLANK(Table2[[#This Row],[Roster Received By]]),1,0)</f>
        <v>0</v>
      </c>
      <c r="AI250" s="275">
        <f ca="1">IF(Table2[[#This Row],[Start Date]]&gt;TODAY(),1,)</f>
        <v>0</v>
      </c>
    </row>
    <row r="251" spans="1:35" s="146" customFormat="1" x14ac:dyDescent="0.25">
      <c r="B251" s="285" t="s">
        <v>38</v>
      </c>
      <c r="C251" s="147" t="str">
        <f>VLOOKUP(Table2[[#This Row],[Course]],Data!$A$1:$E$56,2,FALSE)</f>
        <v>A-493-0072</v>
      </c>
      <c r="D251" s="147" t="str">
        <f>VLOOKUP(Table2[[#This Row],[Course]],Data!$A$1:$E$56,3,FALSE)</f>
        <v>713U</v>
      </c>
      <c r="E251" s="285" t="s">
        <v>102</v>
      </c>
      <c r="F251" s="292">
        <v>45425</v>
      </c>
      <c r="G251" s="292">
        <v>45428</v>
      </c>
      <c r="H251" s="162">
        <v>0.33333333333333331</v>
      </c>
      <c r="I251" s="162"/>
      <c r="J251" s="149"/>
      <c r="K251" s="149"/>
      <c r="L251" s="149"/>
      <c r="M251" s="149"/>
      <c r="N251" s="149"/>
      <c r="O251" s="100" t="s">
        <v>187</v>
      </c>
      <c r="P251" s="100" t="s">
        <v>90</v>
      </c>
      <c r="Q251" s="155" t="e">
        <v>#REF!</v>
      </c>
      <c r="R251" s="155" t="e">
        <v>#REF!</v>
      </c>
      <c r="S251" s="153"/>
      <c r="V251" s="154">
        <f>VLOOKUP(Table2[[#This Row],[Course]],Data!$A$1:$E$56,4,FALSE)</f>
        <v>30</v>
      </c>
      <c r="W251" s="154">
        <f>VLOOKUP(Table2[[#This Row],[Course]],Data!$A$1:$E$56,5,FALSE)</f>
        <v>4</v>
      </c>
      <c r="X251" s="154">
        <v>23</v>
      </c>
      <c r="Y251" s="275">
        <v>28</v>
      </c>
      <c r="Z251" s="275">
        <v>0</v>
      </c>
      <c r="AA251" s="275">
        <v>25</v>
      </c>
      <c r="AB251" s="276">
        <v>0</v>
      </c>
      <c r="AC251" s="275">
        <v>6</v>
      </c>
      <c r="AD251" s="275">
        <v>3</v>
      </c>
      <c r="AE251" s="275">
        <v>0</v>
      </c>
      <c r="AF251" s="271" t="s">
        <v>208</v>
      </c>
      <c r="AG251" s="277">
        <f ca="1">Table2[[#This Row],[End Date]]+2-TODAY()</f>
        <v>-102</v>
      </c>
      <c r="AH251" s="275">
        <f>IF(ISBLANK(Table2[[#This Row],[Roster Received By]]),1,0)</f>
        <v>0</v>
      </c>
      <c r="AI251" s="275">
        <f ca="1">IF(Table2[[#This Row],[Start Date]]&gt;TODAY(),1,)</f>
        <v>0</v>
      </c>
    </row>
    <row r="252" spans="1:35" s="146" customFormat="1" x14ac:dyDescent="0.25">
      <c r="B252" s="285" t="s">
        <v>317</v>
      </c>
      <c r="C252" s="147" t="str">
        <f>VLOOKUP(Table2[[#This Row],[Course]],Data!$A$1:$E$56,2,FALSE)</f>
        <v>A-493-2098</v>
      </c>
      <c r="D252" s="147" t="str">
        <f>VLOOKUP(Table2[[#This Row],[Course]],Data!$A$1:$E$56,3,FALSE)</f>
        <v>09WW</v>
      </c>
      <c r="E252" s="285" t="s">
        <v>116</v>
      </c>
      <c r="F252" s="292">
        <v>45425</v>
      </c>
      <c r="G252" s="292">
        <v>45429</v>
      </c>
      <c r="H252" s="149"/>
      <c r="I252" s="150">
        <v>0.33333333333333331</v>
      </c>
      <c r="J252" s="150">
        <v>0.20833333333333334</v>
      </c>
      <c r="K252" s="150">
        <v>0.625</v>
      </c>
      <c r="L252" s="150">
        <v>0.54166666666666663</v>
      </c>
      <c r="M252" s="150">
        <v>8.3333333333333329E-2</v>
      </c>
      <c r="N252" s="150">
        <v>0.875</v>
      </c>
      <c r="O252" s="100" t="s">
        <v>89</v>
      </c>
      <c r="P252" s="100"/>
      <c r="Q252" s="170" t="e">
        <v>#REF!</v>
      </c>
      <c r="R252" s="171" t="e">
        <v>#REF!</v>
      </c>
      <c r="S252" s="170"/>
      <c r="T252" s="101"/>
      <c r="U252" s="101"/>
      <c r="V252" s="154">
        <f>VLOOKUP(Table2[[#This Row],[Course]],Data!$A$1:$E$56,4,FALSE)</f>
        <v>100</v>
      </c>
      <c r="W252" s="154">
        <f>VLOOKUP(Table2[[#This Row],[Course]],Data!$A$1:$E$56,5,FALSE)</f>
        <v>5</v>
      </c>
      <c r="X252" s="154">
        <v>383</v>
      </c>
      <c r="Y252" s="275">
        <v>100</v>
      </c>
      <c r="Z252" s="275">
        <v>4</v>
      </c>
      <c r="AA252" s="275">
        <v>80</v>
      </c>
      <c r="AB252" s="276">
        <v>1</v>
      </c>
      <c r="AC252" s="275">
        <v>21</v>
      </c>
      <c r="AD252" s="275">
        <v>3</v>
      </c>
      <c r="AE252" s="275">
        <v>0</v>
      </c>
      <c r="AF252" s="271" t="s">
        <v>191</v>
      </c>
      <c r="AG252" s="277">
        <f ca="1">Table2[[#This Row],[End Date]]+2-TODAY()</f>
        <v>-101</v>
      </c>
      <c r="AH252" s="275">
        <f>IF(ISBLANK(Table2[[#This Row],[Roster Received By]]),1,0)</f>
        <v>0</v>
      </c>
      <c r="AI252" s="275">
        <f ca="1">IF(Table2[[#This Row],[Start Date]]&gt;TODAY(),1,)</f>
        <v>0</v>
      </c>
    </row>
    <row r="253" spans="1:35" s="146" customFormat="1" x14ac:dyDescent="0.25">
      <c r="B253" s="288" t="s">
        <v>327</v>
      </c>
      <c r="C253" s="147" t="str">
        <f>VLOOKUP(Table2[[#This Row],[Course]],Data!$A$1:$E$56,2,FALSE)</f>
        <v>F-4J-0023</v>
      </c>
      <c r="D253" s="147" t="str">
        <f>VLOOKUP(Table2[[#This Row],[Course]],Data!$A$1:$E$56,3,FALSE)</f>
        <v>11A2</v>
      </c>
      <c r="E253" s="285" t="s">
        <v>116</v>
      </c>
      <c r="F253" s="292">
        <v>45425</v>
      </c>
      <c r="G253" s="292">
        <v>45429</v>
      </c>
      <c r="H253" s="149"/>
      <c r="I253" s="150">
        <v>0.54166666666666663</v>
      </c>
      <c r="J253" s="150">
        <v>0.41666666666666669</v>
      </c>
      <c r="K253" s="150">
        <v>0.83333333333333337</v>
      </c>
      <c r="L253" s="150">
        <v>0.75</v>
      </c>
      <c r="M253" s="150">
        <v>0.29166666666666669</v>
      </c>
      <c r="N253" s="150">
        <v>8.3333333333333329E-2</v>
      </c>
      <c r="O253" s="100" t="s">
        <v>227</v>
      </c>
      <c r="P253" s="100" t="s">
        <v>223</v>
      </c>
      <c r="Q253" s="170" t="e">
        <v>#REF!</v>
      </c>
      <c r="R253" s="171" t="e">
        <v>#REF!</v>
      </c>
      <c r="S253" s="170"/>
      <c r="T253" s="101"/>
      <c r="U253" s="101"/>
      <c r="V253" s="154">
        <f>VLOOKUP(Table2[[#This Row],[Course]],Data!$A$1:$E$56,4,FALSE)</f>
        <v>25</v>
      </c>
      <c r="W253" s="154">
        <f>VLOOKUP(Table2[[#This Row],[Course]],Data!$A$1:$E$56,5,FALSE)</f>
        <v>2</v>
      </c>
      <c r="X253" s="154">
        <v>45</v>
      </c>
      <c r="Y253" s="275">
        <v>100</v>
      </c>
      <c r="Z253" s="275">
        <v>2</v>
      </c>
      <c r="AA253" s="275">
        <v>9</v>
      </c>
      <c r="AB253" s="276">
        <v>0</v>
      </c>
      <c r="AC253" s="275">
        <v>1</v>
      </c>
      <c r="AD253" s="275">
        <v>1</v>
      </c>
      <c r="AE253" s="272">
        <v>0</v>
      </c>
      <c r="AF253" s="271" t="s">
        <v>191</v>
      </c>
      <c r="AG253" s="277">
        <f ca="1">Table2[[#This Row],[End Date]]+2-TODAY()</f>
        <v>-101</v>
      </c>
      <c r="AH253" s="275">
        <f>IF(ISBLANK(Table2[[#This Row],[Roster Received By]]),1,0)</f>
        <v>0</v>
      </c>
      <c r="AI253" s="275">
        <f ca="1">IF(Table2[[#This Row],[Start Date]]&gt;TODAY(),1,)</f>
        <v>0</v>
      </c>
    </row>
    <row r="254" spans="1:35" s="146" customFormat="1" x14ac:dyDescent="0.25">
      <c r="B254" s="228" t="s">
        <v>19</v>
      </c>
      <c r="C254" s="147" t="str">
        <f>VLOOKUP(Table2[[#This Row],[Course]],Data!$A$1:$E$56,2,FALSE)</f>
        <v>A-493-0099</v>
      </c>
      <c r="D254" s="147" t="str">
        <f>VLOOKUP(Table2[[#This Row],[Course]],Data!$A$1:$E$56,3,FALSE)</f>
        <v>12JW</v>
      </c>
      <c r="E254" s="285" t="s">
        <v>116</v>
      </c>
      <c r="F254" s="292">
        <v>45426</v>
      </c>
      <c r="G254" s="292">
        <v>45428</v>
      </c>
      <c r="H254" s="149"/>
      <c r="I254" s="150">
        <v>0.29166666666666669</v>
      </c>
      <c r="J254" s="150">
        <v>0.16666666666666666</v>
      </c>
      <c r="K254" s="150">
        <v>0.58333333333333337</v>
      </c>
      <c r="L254" s="150">
        <v>0.5</v>
      </c>
      <c r="M254" s="150">
        <v>4.1666666666666664E-2</v>
      </c>
      <c r="N254" s="150">
        <v>0.83333333333333337</v>
      </c>
      <c r="O254" s="100" t="s">
        <v>88</v>
      </c>
      <c r="P254" s="100"/>
      <c r="Q254" s="152" t="e">
        <v>#REF!</v>
      </c>
      <c r="R254" s="152" t="e">
        <v>#REF!</v>
      </c>
      <c r="S254" s="153"/>
      <c r="V254" s="154">
        <f>VLOOKUP(Table2[[#This Row],[Course]],Data!$A$1:$E$56,4,FALSE)</f>
        <v>45</v>
      </c>
      <c r="W254" s="154">
        <f>VLOOKUP(Table2[[#This Row],[Course]],Data!$A$1:$E$56,5,FALSE)</f>
        <v>3</v>
      </c>
      <c r="X254" s="154">
        <v>50</v>
      </c>
      <c r="Y254" s="275">
        <v>22</v>
      </c>
      <c r="Z254" s="275">
        <v>0</v>
      </c>
      <c r="AA254" s="275">
        <v>20</v>
      </c>
      <c r="AB254" s="276">
        <v>0</v>
      </c>
      <c r="AC254" s="275">
        <v>2</v>
      </c>
      <c r="AD254" s="275">
        <v>0</v>
      </c>
      <c r="AE254" s="275">
        <v>0</v>
      </c>
      <c r="AF254" s="271" t="s">
        <v>189</v>
      </c>
      <c r="AG254" s="277">
        <f ca="1">Table2[[#This Row],[End Date]]+2-TODAY()</f>
        <v>-102</v>
      </c>
      <c r="AH254" s="275">
        <f>IF(ISBLANK(Table2[[#This Row],[Roster Received By]]),1,0)</f>
        <v>0</v>
      </c>
      <c r="AI254" s="275">
        <f ca="1">IF(Table2[[#This Row],[Start Date]]&gt;TODAY(),1,)</f>
        <v>0</v>
      </c>
    </row>
    <row r="255" spans="1:35" s="146" customFormat="1" x14ac:dyDescent="0.25">
      <c r="A255" s="146" t="s">
        <v>514</v>
      </c>
      <c r="B255" s="228" t="s">
        <v>18</v>
      </c>
      <c r="C255" s="147" t="str">
        <f>VLOOKUP(Table2[[#This Row],[Course]],Data!$A$1:$E$56,2,FALSE)</f>
        <v>A-493-0013</v>
      </c>
      <c r="D255" s="147">
        <f>VLOOKUP(Table2[[#This Row],[Course]],Data!$A$1:$E$56,3,FALSE)</f>
        <v>3683</v>
      </c>
      <c r="E255" s="285" t="s">
        <v>356</v>
      </c>
      <c r="F255" s="292">
        <v>45428</v>
      </c>
      <c r="G255" s="292">
        <v>45432</v>
      </c>
      <c r="H255" s="151">
        <v>0.33333333333333331</v>
      </c>
      <c r="I255" s="151"/>
      <c r="J255" s="151"/>
      <c r="K255" s="151"/>
      <c r="L255" s="151"/>
      <c r="M255" s="151"/>
      <c r="N255" s="149"/>
      <c r="O255" s="146" t="s">
        <v>78</v>
      </c>
      <c r="Q255" s="171" t="e">
        <v>#REF!</v>
      </c>
      <c r="R255" s="171" t="e">
        <v>#REF!</v>
      </c>
      <c r="S255" s="173"/>
      <c r="T255" s="101"/>
      <c r="U255" s="101"/>
      <c r="V255" s="154">
        <f>VLOOKUP(Table2[[#This Row],[Course]],Data!$A$1:$E$56,4,FALSE)</f>
        <v>40</v>
      </c>
      <c r="W255" s="154">
        <v>3</v>
      </c>
      <c r="X255" s="154">
        <v>0</v>
      </c>
      <c r="Y255" s="275">
        <v>8</v>
      </c>
      <c r="Z255" s="275">
        <v>0</v>
      </c>
      <c r="AA255" s="275">
        <v>20</v>
      </c>
      <c r="AB255" s="276">
        <v>0</v>
      </c>
      <c r="AC255" s="275">
        <v>0</v>
      </c>
      <c r="AD255" s="275">
        <v>11</v>
      </c>
      <c r="AE255" s="275">
        <v>17</v>
      </c>
      <c r="AF255" s="271" t="s">
        <v>191</v>
      </c>
      <c r="AG255" s="277">
        <f ca="1">Table2[[#This Row],[End Date]]+2-TODAY()</f>
        <v>-98</v>
      </c>
      <c r="AH255" s="275">
        <f>IF(ISBLANK(Table2[[#This Row],[Roster Received By]]),1,0)</f>
        <v>0</v>
      </c>
      <c r="AI255" s="275">
        <f ca="1">IF(Table2[[#This Row],[Start Date]]&gt;TODAY(),1,)</f>
        <v>0</v>
      </c>
    </row>
    <row r="256" spans="1:35" s="146" customFormat="1" x14ac:dyDescent="0.25">
      <c r="B256" s="228" t="s">
        <v>184</v>
      </c>
      <c r="C256" s="147" t="str">
        <f>VLOOKUP(Table2[[#This Row],[Course]],Data!$A$1:$E$56,2,FALSE)</f>
        <v>A-4J-0022</v>
      </c>
      <c r="D256" s="147" t="str">
        <f>VLOOKUP(Table2[[#This Row],[Course]],Data!$A$1:$E$56,3,FALSE)</f>
        <v>09ER</v>
      </c>
      <c r="E256" s="228" t="s">
        <v>116</v>
      </c>
      <c r="F256" s="218">
        <v>45432</v>
      </c>
      <c r="G256" s="222">
        <v>45436</v>
      </c>
      <c r="H256" s="149"/>
      <c r="I256" s="150">
        <v>0.54166666666666663</v>
      </c>
      <c r="J256" s="150">
        <v>0.41666666666666669</v>
      </c>
      <c r="K256" s="150">
        <v>0.83333333333333337</v>
      </c>
      <c r="L256" s="150">
        <v>0.75</v>
      </c>
      <c r="M256" s="150">
        <v>0.29166666666666669</v>
      </c>
      <c r="N256" s="150">
        <v>8.3333333333333329E-2</v>
      </c>
      <c r="O256" s="146" t="s">
        <v>89</v>
      </c>
      <c r="Q256" s="170" t="e">
        <v>#REF!</v>
      </c>
      <c r="R256" s="171" t="e">
        <v>#REF!</v>
      </c>
      <c r="S256" s="170"/>
      <c r="T256" s="101"/>
      <c r="U256" s="101"/>
      <c r="V256" s="154">
        <f>VLOOKUP(Table2[[#This Row],[Course]],Data!$A$1:$E$56,4,FALSE)</f>
        <v>45</v>
      </c>
      <c r="W256" s="154">
        <f>VLOOKUP(Table2[[#This Row],[Course]],Data!$A$1:$E$56,5,FALSE)</f>
        <v>5</v>
      </c>
      <c r="X256" s="154">
        <v>282</v>
      </c>
      <c r="Y256" s="275">
        <v>38</v>
      </c>
      <c r="Z256" s="275">
        <v>0</v>
      </c>
      <c r="AA256" s="275">
        <v>39</v>
      </c>
      <c r="AB256" s="276">
        <v>0</v>
      </c>
      <c r="AC256" s="275">
        <v>0</v>
      </c>
      <c r="AD256" s="275">
        <v>0</v>
      </c>
      <c r="AE256" s="275">
        <v>0</v>
      </c>
      <c r="AF256" s="271" t="s">
        <v>213</v>
      </c>
      <c r="AG256" s="277">
        <f ca="1">Table2[[#This Row],[End Date]]+2-TODAY()</f>
        <v>-94</v>
      </c>
      <c r="AH256" s="275">
        <f>IF(ISBLANK(Table2[[#This Row],[Roster Received By]]),1,0)</f>
        <v>0</v>
      </c>
      <c r="AI256" s="275">
        <f ca="1">IF(Table2[[#This Row],[Start Date]]&gt;TODAY(),1,)</f>
        <v>0</v>
      </c>
    </row>
    <row r="257" spans="1:35" s="146" customFormat="1" x14ac:dyDescent="0.25">
      <c r="B257" s="285" t="s">
        <v>14</v>
      </c>
      <c r="C257" s="147" t="str">
        <f>VLOOKUP(Table2[[#This Row],[Course]],Data!$A$1:$E$56,2,FALSE)</f>
        <v>A-493-0030</v>
      </c>
      <c r="D257" s="147" t="str">
        <f>VLOOKUP(Table2[[#This Row],[Course]],Data!$A$1:$E$56,3,FALSE)</f>
        <v>286X</v>
      </c>
      <c r="E257" s="285" t="s">
        <v>151</v>
      </c>
      <c r="F257" s="292">
        <v>45432</v>
      </c>
      <c r="G257" s="292">
        <v>45436</v>
      </c>
      <c r="H257" s="151">
        <v>0.33333333333333331</v>
      </c>
      <c r="I257" s="151"/>
      <c r="J257" s="149"/>
      <c r="K257" s="149"/>
      <c r="L257" s="149"/>
      <c r="M257" s="149"/>
      <c r="N257" s="149"/>
      <c r="O257" s="100" t="s">
        <v>95</v>
      </c>
      <c r="P257" s="100"/>
      <c r="Q257" s="170" t="e">
        <v>#REF!</v>
      </c>
      <c r="R257" s="171" t="e">
        <v>#REF!</v>
      </c>
      <c r="S257" s="170"/>
      <c r="T257" s="101"/>
      <c r="U257" s="101"/>
      <c r="V257" s="154">
        <f>VLOOKUP(Table2[[#This Row],[Course]],Data!$A$1:$E$56,4,FALSE)</f>
        <v>25</v>
      </c>
      <c r="W257" s="154">
        <f>VLOOKUP(Table2[[#This Row],[Course]],Data!$A$1:$E$56,5,FALSE)</f>
        <v>5</v>
      </c>
      <c r="X257" s="154">
        <v>9</v>
      </c>
      <c r="Y257" s="275">
        <v>18</v>
      </c>
      <c r="Z257" s="275"/>
      <c r="AA257" s="275">
        <v>9</v>
      </c>
      <c r="AB257" s="276">
        <v>0</v>
      </c>
      <c r="AC257" s="275">
        <v>11</v>
      </c>
      <c r="AD257" s="275">
        <v>2</v>
      </c>
      <c r="AE257" s="275">
        <v>0</v>
      </c>
      <c r="AF257" s="271" t="s">
        <v>208</v>
      </c>
      <c r="AG257" s="277">
        <f ca="1">Table2[[#This Row],[End Date]]+2-TODAY()</f>
        <v>-94</v>
      </c>
      <c r="AH257" s="275">
        <f>IF(ISBLANK(Table2[[#This Row],[Roster Received By]]),1,0)</f>
        <v>0</v>
      </c>
      <c r="AI257" s="275">
        <f ca="1">IF(Table2[[#This Row],[Start Date]]&gt;TODAY(),1,)</f>
        <v>0</v>
      </c>
    </row>
    <row r="258" spans="1:35" s="146" customFormat="1" x14ac:dyDescent="0.25">
      <c r="B258" s="228" t="s">
        <v>17</v>
      </c>
      <c r="C258" s="147" t="str">
        <f>VLOOKUP(Table2[[#This Row],[Course]],Data!$A$1:$E$56,2,FALSE)</f>
        <v>A-493-0012</v>
      </c>
      <c r="D258" s="147">
        <f>VLOOKUP(Table2[[#This Row],[Course]],Data!$A$1:$E$56,3,FALSE)</f>
        <v>3682</v>
      </c>
      <c r="E258" s="234" t="s">
        <v>348</v>
      </c>
      <c r="F258" s="218">
        <v>45432</v>
      </c>
      <c r="G258" s="222">
        <v>45436</v>
      </c>
      <c r="H258" s="151">
        <v>0.33333333333333331</v>
      </c>
      <c r="I258" s="151"/>
      <c r="J258" s="149"/>
      <c r="K258" s="149"/>
      <c r="L258" s="149"/>
      <c r="M258" s="149"/>
      <c r="N258" s="149"/>
      <c r="O258" s="100" t="s">
        <v>78</v>
      </c>
      <c r="P258" s="100"/>
      <c r="Q258" s="155" t="e">
        <v>#REF!</v>
      </c>
      <c r="R258" s="152" t="e">
        <v>#REF!</v>
      </c>
      <c r="S258" s="155"/>
      <c r="V258" s="154">
        <f>VLOOKUP(Table2[[#This Row],[Course]],Data!$A$1:$E$56,4,FALSE)</f>
        <v>40</v>
      </c>
      <c r="W258" s="154">
        <f>VLOOKUP(Table2[[#This Row],[Course]],Data!$A$1:$E$56,5,FALSE)</f>
        <v>5</v>
      </c>
      <c r="X258" s="154">
        <v>0</v>
      </c>
      <c r="Y258" s="275">
        <v>11</v>
      </c>
      <c r="Z258" s="275">
        <v>0</v>
      </c>
      <c r="AA258" s="275">
        <v>10</v>
      </c>
      <c r="AB258" s="276">
        <v>2</v>
      </c>
      <c r="AC258" s="275">
        <v>2</v>
      </c>
      <c r="AD258" s="275">
        <v>3</v>
      </c>
      <c r="AE258" s="272">
        <v>0</v>
      </c>
      <c r="AF258" s="271" t="s">
        <v>191</v>
      </c>
      <c r="AG258" s="277">
        <f ca="1">Table2[[#This Row],[End Date]]+2-TODAY()</f>
        <v>-94</v>
      </c>
      <c r="AH258" s="275">
        <f>IF(ISBLANK(Table2[[#This Row],[Roster Received By]]),1,0)</f>
        <v>0</v>
      </c>
      <c r="AI258" s="275">
        <f ca="1">IF(Table2[[#This Row],[Start Date]]&gt;TODAY(),1,)</f>
        <v>0</v>
      </c>
    </row>
    <row r="259" spans="1:35" s="146" customFormat="1" x14ac:dyDescent="0.25">
      <c r="B259" s="234" t="s">
        <v>23</v>
      </c>
      <c r="C259" s="147" t="str">
        <f>VLOOKUP(Table2[[#This Row],[Course]],Data!$A$1:$E$56,2,FALSE)</f>
        <v>A-493-0077</v>
      </c>
      <c r="D259" s="147" t="str">
        <f>VLOOKUP(Table2[[#This Row],[Course]],Data!$A$1:$E$56,3,FALSE)</f>
        <v>0381</v>
      </c>
      <c r="E259" s="291" t="s">
        <v>107</v>
      </c>
      <c r="F259" s="218">
        <v>45432</v>
      </c>
      <c r="G259" s="218">
        <v>45434</v>
      </c>
      <c r="H259" s="150">
        <v>0.33333333333333331</v>
      </c>
      <c r="I259" s="150"/>
      <c r="J259" s="149"/>
      <c r="K259" s="149"/>
      <c r="L259" s="149"/>
      <c r="M259" s="149"/>
      <c r="N259" s="149"/>
      <c r="O259" s="100" t="s">
        <v>78</v>
      </c>
      <c r="P259" s="100"/>
      <c r="Q259" s="155" t="e">
        <v>#REF!</v>
      </c>
      <c r="R259" s="152" t="e">
        <v>#REF!</v>
      </c>
      <c r="S259" s="155"/>
      <c r="V259" s="154">
        <f>VLOOKUP(Table2[[#This Row],[Course]],Data!$A$1:$E$56,4,FALSE)</f>
        <v>25</v>
      </c>
      <c r="W259" s="154">
        <f>VLOOKUP(Table2[[#This Row],[Course]],Data!$A$1:$E$56,5,FALSE)</f>
        <v>3</v>
      </c>
      <c r="X259" s="154">
        <v>8</v>
      </c>
      <c r="Y259" s="275">
        <v>12</v>
      </c>
      <c r="Z259" s="275">
        <v>0</v>
      </c>
      <c r="AA259" s="275">
        <v>12</v>
      </c>
      <c r="AB259" s="276">
        <v>0</v>
      </c>
      <c r="AC259" s="275">
        <v>1</v>
      </c>
      <c r="AD259" s="275">
        <v>1</v>
      </c>
      <c r="AE259" s="275">
        <v>0</v>
      </c>
      <c r="AF259" s="271" t="s">
        <v>191</v>
      </c>
      <c r="AG259" s="277">
        <f ca="1">Table2[[#This Row],[End Date]]+2-TODAY()</f>
        <v>-96</v>
      </c>
      <c r="AH259" s="275">
        <f>IF(ISBLANK(Table2[[#This Row],[Roster Received By]]),1,0)</f>
        <v>0</v>
      </c>
      <c r="AI259" s="275">
        <f ca="1">IF(Table2[[#This Row],[Start Date]]&gt;TODAY(),1,)</f>
        <v>0</v>
      </c>
    </row>
    <row r="260" spans="1:35" s="146" customFormat="1" x14ac:dyDescent="0.25">
      <c r="B260" s="228" t="s">
        <v>281</v>
      </c>
      <c r="C260" s="147" t="str">
        <f>VLOOKUP(Table2[[#This Row],[Course]],Data!$A$1:$E$56,2,FALSE)</f>
        <v>A-493-0550</v>
      </c>
      <c r="D260" s="147" t="str">
        <f>VLOOKUP(Table2[[#This Row],[Course]],Data!$A$1:$E$56,3,FALSE)</f>
        <v>09K5</v>
      </c>
      <c r="E260" s="228" t="s">
        <v>116</v>
      </c>
      <c r="F260" s="222">
        <v>45432</v>
      </c>
      <c r="G260" s="222">
        <v>45436</v>
      </c>
      <c r="H260" s="149"/>
      <c r="I260" s="150">
        <v>0.45833333333333331</v>
      </c>
      <c r="J260" s="150">
        <v>0.33333333333333331</v>
      </c>
      <c r="K260" s="150">
        <v>0.75</v>
      </c>
      <c r="L260" s="150">
        <v>0.66666666666666663</v>
      </c>
      <c r="M260" s="150">
        <v>0.20833333333333334</v>
      </c>
      <c r="N260" s="150">
        <v>0</v>
      </c>
      <c r="O260" s="100" t="s">
        <v>85</v>
      </c>
      <c r="P260" s="100"/>
      <c r="Q260" s="152" t="e">
        <v>#REF!</v>
      </c>
      <c r="R260" s="152" t="e">
        <v>#REF!</v>
      </c>
      <c r="S260" s="153"/>
      <c r="V260" s="154">
        <f>VLOOKUP(Table2[[#This Row],[Course]],Data!$A$1:$E$56,4,FALSE)</f>
        <v>45</v>
      </c>
      <c r="W260" s="154">
        <f>VLOOKUP(Table2[[#This Row],[Course]],Data!$A$1:$E$56,5,FALSE)</f>
        <v>4</v>
      </c>
      <c r="X260" s="154">
        <v>746</v>
      </c>
      <c r="Y260" s="275">
        <v>45</v>
      </c>
      <c r="Z260" s="275">
        <v>3</v>
      </c>
      <c r="AA260" s="275">
        <v>35</v>
      </c>
      <c r="AB260" s="276">
        <v>0</v>
      </c>
      <c r="AC260" s="275">
        <v>13</v>
      </c>
      <c r="AD260" s="275">
        <v>0</v>
      </c>
      <c r="AE260" s="275">
        <v>0</v>
      </c>
      <c r="AF260" s="271" t="s">
        <v>189</v>
      </c>
      <c r="AG260" s="277">
        <f ca="1">Table2[[#This Row],[End Date]]+2-TODAY()</f>
        <v>-94</v>
      </c>
      <c r="AH260" s="275">
        <f>IF(ISBLANK(Table2[[#This Row],[Roster Received By]]),1,0)</f>
        <v>0</v>
      </c>
      <c r="AI260" s="275">
        <f ca="1">IF(Table2[[#This Row],[Start Date]]&gt;TODAY(),1,)</f>
        <v>0</v>
      </c>
    </row>
    <row r="261" spans="1:35" s="146" customFormat="1" x14ac:dyDescent="0.25">
      <c r="B261" s="228" t="s">
        <v>288</v>
      </c>
      <c r="C261" s="147" t="str">
        <f>VLOOKUP(Table2[[#This Row],[Course]],Data!$A$1:$E$56,2,FALSE)</f>
        <v>A-493-0073</v>
      </c>
      <c r="D261" s="147" t="str">
        <f>VLOOKUP(Table2[[#This Row],[Course]],Data!$A$1:$E$56,3,FALSE)</f>
        <v>714S</v>
      </c>
      <c r="E261" s="228" t="s">
        <v>116</v>
      </c>
      <c r="F261" s="222">
        <v>45432</v>
      </c>
      <c r="G261" s="222">
        <v>45435</v>
      </c>
      <c r="H261" s="149"/>
      <c r="I261" s="150">
        <v>0.45833333333333331</v>
      </c>
      <c r="J261" s="150">
        <v>0.33333333333333331</v>
      </c>
      <c r="K261" s="150">
        <v>0.75</v>
      </c>
      <c r="L261" s="150">
        <v>0.66666666666666663</v>
      </c>
      <c r="M261" s="150">
        <v>0.20833333333333334</v>
      </c>
      <c r="N261" s="150">
        <v>0</v>
      </c>
      <c r="O261" s="100" t="s">
        <v>94</v>
      </c>
      <c r="P261" s="100"/>
      <c r="Q261" s="152" t="e">
        <v>#REF!</v>
      </c>
      <c r="R261" s="152" t="e">
        <v>#REF!</v>
      </c>
      <c r="S261" s="153"/>
      <c r="V261" s="154">
        <f>VLOOKUP(Table2[[#This Row],[Course]],Data!$A$1:$E$56,4,FALSE)</f>
        <v>30</v>
      </c>
      <c r="W261" s="154">
        <f>VLOOKUP(Table2[[#This Row],[Course]],Data!$A$1:$E$56,5,FALSE)</f>
        <v>4</v>
      </c>
      <c r="X261" s="154">
        <v>453</v>
      </c>
      <c r="Y261" s="275">
        <v>17</v>
      </c>
      <c r="Z261" s="275">
        <v>0</v>
      </c>
      <c r="AA261" s="275">
        <v>15</v>
      </c>
      <c r="AB261" s="276">
        <v>0</v>
      </c>
      <c r="AC261" s="275">
        <v>2</v>
      </c>
      <c r="AD261" s="275">
        <v>0</v>
      </c>
      <c r="AE261" s="272">
        <v>0</v>
      </c>
      <c r="AF261" s="271" t="s">
        <v>189</v>
      </c>
      <c r="AG261" s="277">
        <f ca="1">Table2[[#This Row],[End Date]]+2-TODAY()</f>
        <v>-95</v>
      </c>
      <c r="AH261" s="275">
        <f>IF(ISBLANK(Table2[[#This Row],[Roster Received By]]),1,0)</f>
        <v>0</v>
      </c>
      <c r="AI261" s="275">
        <f ca="1">IF(Table2[[#This Row],[Start Date]]&gt;TODAY(),1,)</f>
        <v>0</v>
      </c>
    </row>
    <row r="262" spans="1:35" s="146" customFormat="1" x14ac:dyDescent="0.25">
      <c r="B262" s="228" t="s">
        <v>292</v>
      </c>
      <c r="C262" s="147" t="str">
        <f>VLOOKUP(Table2[[#This Row],[Course]],Data!$A$1:$E$56,2,FALSE)</f>
        <v>A-493-0078</v>
      </c>
      <c r="D262" s="147">
        <f>VLOOKUP(Table2[[#This Row],[Course]],Data!$A$1:$E$56,3,FALSE)</f>
        <v>1228</v>
      </c>
      <c r="E262" s="228" t="s">
        <v>116</v>
      </c>
      <c r="F262" s="222">
        <v>45432</v>
      </c>
      <c r="G262" s="222">
        <v>45436</v>
      </c>
      <c r="H262" s="149"/>
      <c r="I262" s="150">
        <v>0.29166666666666669</v>
      </c>
      <c r="J262" s="150">
        <v>0.16666666666666666</v>
      </c>
      <c r="K262" s="150">
        <v>0.58333333333333337</v>
      </c>
      <c r="L262" s="150">
        <v>0.5</v>
      </c>
      <c r="M262" s="150">
        <v>4.1666666666666664E-2</v>
      </c>
      <c r="N262" s="150">
        <v>0.83333333333333337</v>
      </c>
      <c r="O262" s="100" t="s">
        <v>80</v>
      </c>
      <c r="P262" s="100"/>
      <c r="Q262" s="152" t="e">
        <v>#REF!</v>
      </c>
      <c r="R262" s="152" t="e">
        <v>#REF!</v>
      </c>
      <c r="S262" s="153"/>
      <c r="V262" s="154">
        <f>VLOOKUP(Table2[[#This Row],[Course]],Data!$A$1:$E$56,4,FALSE)</f>
        <v>45</v>
      </c>
      <c r="W262" s="154">
        <f>VLOOKUP(Table2[[#This Row],[Course]],Data!$A$1:$E$56,5,FALSE)</f>
        <v>5</v>
      </c>
      <c r="X262" s="154">
        <v>57</v>
      </c>
      <c r="Y262" s="275">
        <v>27</v>
      </c>
      <c r="Z262" s="275">
        <v>0</v>
      </c>
      <c r="AA262" s="275">
        <v>25</v>
      </c>
      <c r="AB262" s="276">
        <v>0</v>
      </c>
      <c r="AC262" s="275">
        <v>2</v>
      </c>
      <c r="AD262" s="275">
        <v>0</v>
      </c>
      <c r="AE262" s="275">
        <v>0</v>
      </c>
      <c r="AF262" s="271" t="s">
        <v>189</v>
      </c>
      <c r="AG262" s="277">
        <f ca="1">Table2[[#This Row],[End Date]]+2-TODAY()</f>
        <v>-94</v>
      </c>
      <c r="AH262" s="275">
        <f>IF(ISBLANK(Table2[[#This Row],[Roster Received By]]),1,0)</f>
        <v>0</v>
      </c>
      <c r="AI262" s="275">
        <f ca="1">IF(Table2[[#This Row],[Start Date]]&gt;TODAY(),1,)</f>
        <v>0</v>
      </c>
    </row>
    <row r="263" spans="1:35" s="146" customFormat="1" x14ac:dyDescent="0.25">
      <c r="A263" s="205"/>
      <c r="B263" s="228" t="s">
        <v>34</v>
      </c>
      <c r="C263" s="147" t="str">
        <f>VLOOKUP(Table2[[#This Row],[Course]],Data!$A$1:$E$56,2,FALSE)</f>
        <v>A-493-0085</v>
      </c>
      <c r="D263" s="147">
        <f>VLOOKUP(Table2[[#This Row],[Course]],Data!$A$1:$E$56,3,FALSE)</f>
        <v>3555</v>
      </c>
      <c r="E263" s="228" t="s">
        <v>116</v>
      </c>
      <c r="F263" s="222">
        <v>45432</v>
      </c>
      <c r="G263" s="222">
        <v>45435</v>
      </c>
      <c r="H263" s="149"/>
      <c r="I263" s="150">
        <v>0.5</v>
      </c>
      <c r="J263" s="150">
        <v>0.375</v>
      </c>
      <c r="K263" s="150">
        <v>0.79166666666666663</v>
      </c>
      <c r="L263" s="150">
        <v>0.70833333333333337</v>
      </c>
      <c r="M263" s="150">
        <v>0.25</v>
      </c>
      <c r="N263" s="150">
        <v>4.1666666666666664E-2</v>
      </c>
      <c r="O263" s="100" t="s">
        <v>81</v>
      </c>
      <c r="P263" s="100"/>
      <c r="Q263" s="171" t="e">
        <v>#REF!</v>
      </c>
      <c r="R263" s="171" t="e">
        <v>#REF!</v>
      </c>
      <c r="S263" s="173"/>
      <c r="T263" s="101"/>
      <c r="U263" s="101"/>
      <c r="V263" s="154">
        <f>VLOOKUP(Table2[[#This Row],[Course]],Data!$A$1:$E$56,4,FALSE)</f>
        <v>30</v>
      </c>
      <c r="W263" s="154">
        <f>VLOOKUP(Table2[[#This Row],[Course]],Data!$A$1:$E$56,5,FALSE)</f>
        <v>4</v>
      </c>
      <c r="X263" s="154">
        <v>464</v>
      </c>
      <c r="Y263" s="275">
        <v>29</v>
      </c>
      <c r="Z263" s="275">
        <v>0</v>
      </c>
      <c r="AA263" s="275">
        <v>24</v>
      </c>
      <c r="AB263" s="276">
        <v>0</v>
      </c>
      <c r="AC263" s="275">
        <v>5</v>
      </c>
      <c r="AD263" s="275"/>
      <c r="AE263" s="275">
        <v>0</v>
      </c>
      <c r="AF263" s="271" t="s">
        <v>208</v>
      </c>
      <c r="AG263" s="277">
        <f ca="1">Table2[[#This Row],[End Date]]+2-TODAY()</f>
        <v>-95</v>
      </c>
      <c r="AH263" s="275">
        <f>IF(ISBLANK(Table2[[#This Row],[Roster Received By]]),1,0)</f>
        <v>0</v>
      </c>
      <c r="AI263" s="275">
        <f ca="1">IF(Table2[[#This Row],[Start Date]]&gt;TODAY(),1,)</f>
        <v>0</v>
      </c>
    </row>
    <row r="264" spans="1:35" s="146" customFormat="1" x14ac:dyDescent="0.25">
      <c r="B264" s="228" t="s">
        <v>38</v>
      </c>
      <c r="C264" s="147" t="str">
        <f>VLOOKUP(Table2[[#This Row],[Course]],Data!$A$1:$E$56,2,FALSE)</f>
        <v>A-493-0072</v>
      </c>
      <c r="D264" s="147" t="str">
        <f>VLOOKUP(Table2[[#This Row],[Course]],Data!$A$1:$E$56,3,FALSE)</f>
        <v>713U</v>
      </c>
      <c r="E264" s="228" t="s">
        <v>153</v>
      </c>
      <c r="F264" s="222">
        <v>45432</v>
      </c>
      <c r="G264" s="222">
        <v>45435</v>
      </c>
      <c r="H264" s="162">
        <v>0.33333333333333331</v>
      </c>
      <c r="I264" s="162"/>
      <c r="J264" s="149"/>
      <c r="K264" s="149"/>
      <c r="L264" s="149"/>
      <c r="M264" s="149"/>
      <c r="N264" s="149"/>
      <c r="O264" s="100" t="s">
        <v>84</v>
      </c>
      <c r="P264" s="100"/>
      <c r="Q264" s="171" t="e">
        <v>#REF!</v>
      </c>
      <c r="R264" s="171" t="e">
        <v>#REF!</v>
      </c>
      <c r="S264" s="173"/>
      <c r="T264" s="101"/>
      <c r="U264" s="101"/>
      <c r="V264" s="154">
        <f>VLOOKUP(Table2[[#This Row],[Course]],Data!$A$1:$E$56,4,FALSE)</f>
        <v>30</v>
      </c>
      <c r="W264" s="154">
        <f>VLOOKUP(Table2[[#This Row],[Course]],Data!$A$1:$E$56,5,FALSE)</f>
        <v>4</v>
      </c>
      <c r="X264" s="154">
        <v>0</v>
      </c>
      <c r="Y264" s="275">
        <v>20</v>
      </c>
      <c r="Z264" s="275">
        <v>0</v>
      </c>
      <c r="AA264" s="275">
        <v>16</v>
      </c>
      <c r="AB264" s="276">
        <v>0</v>
      </c>
      <c r="AC264" s="275">
        <v>4</v>
      </c>
      <c r="AD264" s="275">
        <v>0</v>
      </c>
      <c r="AE264" s="275">
        <v>0</v>
      </c>
      <c r="AF264" s="271" t="s">
        <v>208</v>
      </c>
      <c r="AG264" s="277">
        <f ca="1">Table2[[#This Row],[End Date]]+2-TODAY()</f>
        <v>-95</v>
      </c>
      <c r="AH264" s="275">
        <f>IF(ISBLANK(Table2[[#This Row],[Roster Received By]]),1,0)</f>
        <v>0</v>
      </c>
      <c r="AI264" s="275">
        <f ca="1">IF(Table2[[#This Row],[Start Date]]&gt;TODAY(),1,)</f>
        <v>0</v>
      </c>
    </row>
    <row r="265" spans="1:35" s="146" customFormat="1" x14ac:dyDescent="0.25">
      <c r="A265" s="174" t="s">
        <v>515</v>
      </c>
      <c r="B265" s="198" t="s">
        <v>336</v>
      </c>
      <c r="C265" s="176" t="str">
        <f>VLOOKUP(Table2[[#This Row],[Course]],Data!$A$1:$E$56,2,FALSE)</f>
        <v>NA</v>
      </c>
      <c r="D265" s="176" t="str">
        <f>VLOOKUP(Table2[[#This Row],[Course]],Data!$A$1:$E$56,3,FALSE)</f>
        <v>NA</v>
      </c>
      <c r="E265" s="198" t="s">
        <v>140</v>
      </c>
      <c r="F265" s="187">
        <v>45434</v>
      </c>
      <c r="G265" s="187">
        <v>45434</v>
      </c>
      <c r="H265" s="172">
        <v>0</v>
      </c>
      <c r="I265" s="172">
        <v>0</v>
      </c>
      <c r="J265" s="172">
        <v>0</v>
      </c>
      <c r="K265" s="172">
        <v>0</v>
      </c>
      <c r="L265" s="172">
        <v>0</v>
      </c>
      <c r="M265" s="172">
        <v>0</v>
      </c>
      <c r="N265" s="172">
        <v>0</v>
      </c>
      <c r="O265" s="175"/>
      <c r="P265" s="175"/>
      <c r="Q265" s="179"/>
      <c r="R265" s="180"/>
      <c r="S265" s="179"/>
      <c r="T265" s="174"/>
      <c r="U265" s="174"/>
      <c r="V265" s="179"/>
      <c r="W265" s="180"/>
      <c r="X265" s="180">
        <v>0</v>
      </c>
      <c r="Y265" s="297">
        <v>0</v>
      </c>
      <c r="Z265" s="297">
        <v>0</v>
      </c>
      <c r="AA265" s="303"/>
      <c r="AB265" s="303"/>
      <c r="AC265" s="304"/>
      <c r="AD265" s="304"/>
      <c r="AE265" s="304"/>
      <c r="AF265" s="305"/>
      <c r="AG265" s="306">
        <f ca="1">Table2[[#This Row],[End Date]]+2-TODAY()</f>
        <v>-96</v>
      </c>
      <c r="AH265" s="304">
        <f>IF(ISBLANK(Table2[[#This Row],[Roster Received By]]),1,0)</f>
        <v>1</v>
      </c>
      <c r="AI265" s="304">
        <f ca="1">IF(Table2[[#This Row],[Start Date]]&gt;TODAY(),1,)</f>
        <v>0</v>
      </c>
    </row>
    <row r="266" spans="1:35" s="146" customFormat="1" x14ac:dyDescent="0.25">
      <c r="B266" s="228" t="s">
        <v>24</v>
      </c>
      <c r="C266" s="147" t="str">
        <f>VLOOKUP(Table2[[#This Row],[Course]],Data!$A$1:$E$56,2,FALSE)</f>
        <v>A-493-0083</v>
      </c>
      <c r="D266" s="147" t="str">
        <f>VLOOKUP(Table2[[#This Row],[Course]],Data!$A$1:$E$56,3,FALSE)</f>
        <v>339E</v>
      </c>
      <c r="E266" s="291" t="s">
        <v>107</v>
      </c>
      <c r="F266" s="218">
        <v>45435</v>
      </c>
      <c r="G266" s="218">
        <v>45435</v>
      </c>
      <c r="H266" s="150">
        <v>0.33333333333333331</v>
      </c>
      <c r="I266" s="150"/>
      <c r="J266" s="149"/>
      <c r="K266" s="149"/>
      <c r="L266" s="149"/>
      <c r="M266" s="149"/>
      <c r="N266" s="149"/>
      <c r="O266" s="100" t="s">
        <v>78</v>
      </c>
      <c r="P266" s="100"/>
      <c r="Q266" s="170" t="e">
        <v>#REF!</v>
      </c>
      <c r="R266" s="171" t="e">
        <v>#REF!</v>
      </c>
      <c r="S266" s="170"/>
      <c r="T266" s="101"/>
      <c r="U266" s="101"/>
      <c r="V266" s="154">
        <f>VLOOKUP(Table2[[#This Row],[Course]],Data!$A$1:$E$56,4,FALSE)</f>
        <v>30</v>
      </c>
      <c r="W266" s="154">
        <f>VLOOKUP(Table2[[#This Row],[Course]],Data!$A$1:$E$56,5,FALSE)</f>
        <v>1</v>
      </c>
      <c r="X266" s="154">
        <v>7</v>
      </c>
      <c r="Y266" s="275">
        <v>26</v>
      </c>
      <c r="Z266" s="275">
        <v>0</v>
      </c>
      <c r="AA266" s="275">
        <v>15</v>
      </c>
      <c r="AB266" s="276">
        <v>0</v>
      </c>
      <c r="AC266" s="275">
        <v>11</v>
      </c>
      <c r="AD266" s="275">
        <v>1</v>
      </c>
      <c r="AE266" s="276">
        <v>0</v>
      </c>
      <c r="AF266" s="271" t="s">
        <v>213</v>
      </c>
      <c r="AG266" s="277">
        <f ca="1">Table2[[#This Row],[End Date]]+2-TODAY()</f>
        <v>-95</v>
      </c>
      <c r="AH266" s="275">
        <f>IF(ISBLANK(Table2[[#This Row],[Roster Received By]]),1,0)</f>
        <v>0</v>
      </c>
      <c r="AI266" s="275">
        <f ca="1">IF(Table2[[#This Row],[Start Date]]&gt;TODAY(),1,)</f>
        <v>0</v>
      </c>
    </row>
    <row r="267" spans="1:35" s="146" customFormat="1" x14ac:dyDescent="0.25">
      <c r="A267" s="146" t="s">
        <v>516</v>
      </c>
      <c r="B267" s="228" t="s">
        <v>334</v>
      </c>
      <c r="C267" s="147" t="str">
        <f>VLOOKUP(Table2[[#This Row],[Course]],Data!$A$1:$E$56,2,FALSE)</f>
        <v>Holiday</v>
      </c>
      <c r="D267" s="147" t="str">
        <f>VLOOKUP(Table2[[#This Row],[Course]],Data!$A$1:$E$56,3,FALSE)</f>
        <v>Holiday</v>
      </c>
      <c r="E267" s="100"/>
      <c r="F267" s="149">
        <v>45439</v>
      </c>
      <c r="G267" s="149">
        <v>45439</v>
      </c>
      <c r="H267" s="151">
        <v>0</v>
      </c>
      <c r="I267" s="151">
        <v>0</v>
      </c>
      <c r="J267" s="151">
        <v>0</v>
      </c>
      <c r="K267" s="151">
        <v>0</v>
      </c>
      <c r="L267" s="151">
        <v>0</v>
      </c>
      <c r="M267" s="151">
        <v>0</v>
      </c>
      <c r="N267" s="151">
        <v>0</v>
      </c>
      <c r="O267" s="100"/>
      <c r="P267" s="100"/>
      <c r="Q267" s="152" t="e">
        <v>#REF!</v>
      </c>
      <c r="R267" s="152" t="e">
        <v>#REF!</v>
      </c>
      <c r="S267" s="153">
        <v>0</v>
      </c>
      <c r="T267" s="146">
        <v>0</v>
      </c>
      <c r="U267" s="146">
        <v>0</v>
      </c>
      <c r="V267" s="154">
        <f>VLOOKUP(Table2[[#This Row],[Course]],Data!$A$1:$E$56,4,FALSE)</f>
        <v>0</v>
      </c>
      <c r="W267" s="154">
        <f>VLOOKUP(Table2[[#This Row],[Course]],Data!$A$1:$E$56,5,FALSE)</f>
        <v>0</v>
      </c>
      <c r="X267" s="154">
        <v>0</v>
      </c>
      <c r="Y267" s="275">
        <v>0</v>
      </c>
      <c r="Z267" s="275">
        <v>0</v>
      </c>
      <c r="AA267" s="275">
        <v>0</v>
      </c>
      <c r="AB267" s="276">
        <v>0</v>
      </c>
      <c r="AC267" s="275">
        <v>0</v>
      </c>
      <c r="AD267" s="275">
        <v>0</v>
      </c>
      <c r="AE267" s="275">
        <v>0</v>
      </c>
      <c r="AF267" s="271" t="s">
        <v>194</v>
      </c>
      <c r="AG267" s="277">
        <f ca="1">Table2[[#This Row],[End Date]]+2-TODAY()</f>
        <v>-91</v>
      </c>
      <c r="AH267" s="275">
        <f>IF(ISBLANK(Table2[[#This Row],[Roster Received By]]),1,0)</f>
        <v>0</v>
      </c>
      <c r="AI267" s="275">
        <f ca="1">IF(Table2[[#This Row],[Start Date]]&gt;TODAY(),1,)</f>
        <v>0</v>
      </c>
    </row>
    <row r="268" spans="1:35" s="146" customFormat="1" x14ac:dyDescent="0.25">
      <c r="B268" s="229" t="s">
        <v>19</v>
      </c>
      <c r="C268" s="147" t="str">
        <f>VLOOKUP(Table2[[#This Row],[Course]],Data!$A$1:$E$56,2,FALSE)</f>
        <v>A-493-0099</v>
      </c>
      <c r="D268" s="147" t="str">
        <f>VLOOKUP(Table2[[#This Row],[Course]],Data!$A$1:$E$56,3,FALSE)</f>
        <v>12JW</v>
      </c>
      <c r="E268" s="100" t="s">
        <v>116</v>
      </c>
      <c r="F268" s="149">
        <v>45440</v>
      </c>
      <c r="G268" s="149">
        <v>45442</v>
      </c>
      <c r="H268" s="149"/>
      <c r="I268" s="150">
        <v>0.54166666666666663</v>
      </c>
      <c r="J268" s="150">
        <v>0.41666666666666669</v>
      </c>
      <c r="K268" s="150">
        <v>0.83333333333333337</v>
      </c>
      <c r="L268" s="150">
        <v>0.75</v>
      </c>
      <c r="M268" s="150">
        <v>0.29166666666666669</v>
      </c>
      <c r="N268" s="150">
        <v>8.3333333333333329E-2</v>
      </c>
      <c r="O268" s="100" t="s">
        <v>88</v>
      </c>
      <c r="P268" s="100"/>
      <c r="Q268" s="152" t="e">
        <v>#REF!</v>
      </c>
      <c r="R268" s="152" t="e">
        <v>#REF!</v>
      </c>
      <c r="S268" s="153"/>
      <c r="V268" s="154">
        <f>VLOOKUP(Table2[[#This Row],[Course]],Data!$A$1:$E$56,4,FALSE)</f>
        <v>45</v>
      </c>
      <c r="W268" s="154">
        <f>VLOOKUP(Table2[[#This Row],[Course]],Data!$A$1:$E$56,5,FALSE)</f>
        <v>3</v>
      </c>
      <c r="X268" s="154">
        <v>682</v>
      </c>
      <c r="Y268" s="275">
        <v>28</v>
      </c>
      <c r="Z268" s="275">
        <v>0</v>
      </c>
      <c r="AA268" s="275">
        <v>20</v>
      </c>
      <c r="AB268" s="276">
        <v>0</v>
      </c>
      <c r="AC268" s="275">
        <v>8</v>
      </c>
      <c r="AD268" s="275">
        <v>0</v>
      </c>
      <c r="AE268" s="275">
        <v>0</v>
      </c>
      <c r="AF268" s="271" t="s">
        <v>189</v>
      </c>
      <c r="AG268" s="277">
        <f ca="1">Table2[[#This Row],[End Date]]+2-TODAY()</f>
        <v>-88</v>
      </c>
      <c r="AH268" s="275">
        <f>IF(ISBLANK(Table2[[#This Row],[Roster Received By]]),1,0)</f>
        <v>0</v>
      </c>
      <c r="AI268" s="275">
        <f ca="1">IF(Table2[[#This Row],[Start Date]]&gt;TODAY(),1,)</f>
        <v>0</v>
      </c>
    </row>
    <row r="269" spans="1:35" s="146" customFormat="1" x14ac:dyDescent="0.25">
      <c r="B269" s="229" t="s">
        <v>270</v>
      </c>
      <c r="C269" s="147" t="str">
        <f>VLOOKUP(Table2[[#This Row],[Course]],Data!$A$1:$E$56,2,FALSE)</f>
        <v>A-493-0331</v>
      </c>
      <c r="D269" s="147" t="str">
        <f>VLOOKUP(Table2[[#This Row],[Course]],Data!$A$1:$E$56,3,FALSE)</f>
        <v>10UG</v>
      </c>
      <c r="E269" s="100" t="s">
        <v>116</v>
      </c>
      <c r="F269" s="149">
        <v>45440</v>
      </c>
      <c r="G269" s="149">
        <v>45442</v>
      </c>
      <c r="H269" s="149"/>
      <c r="I269" s="150">
        <v>0.5</v>
      </c>
      <c r="J269" s="150">
        <v>0.375</v>
      </c>
      <c r="K269" s="150">
        <v>0.79166666666666663</v>
      </c>
      <c r="L269" s="150">
        <v>0.70833333333333337</v>
      </c>
      <c r="M269" s="150">
        <v>0.25</v>
      </c>
      <c r="N269" s="150">
        <v>4.1666666666666664E-2</v>
      </c>
      <c r="O269" s="100" t="s">
        <v>84</v>
      </c>
      <c r="P269" s="100"/>
      <c r="Q269" s="171" t="e">
        <v>#REF!</v>
      </c>
      <c r="R269" s="171" t="e">
        <v>#REF!</v>
      </c>
      <c r="S269" s="173"/>
      <c r="T269" s="101"/>
      <c r="U269" s="101"/>
      <c r="V269" s="154">
        <f>VLOOKUP(Table2[[#This Row],[Course]],Data!$A$1:$E$56,4,FALSE)</f>
        <v>40</v>
      </c>
      <c r="W269" s="154">
        <f>VLOOKUP(Table2[[#This Row],[Course]],Data!$A$1:$E$56,5,FALSE)</f>
        <v>3</v>
      </c>
      <c r="X269" s="154">
        <v>709</v>
      </c>
      <c r="Y269" s="275">
        <v>40</v>
      </c>
      <c r="Z269" s="275">
        <v>5</v>
      </c>
      <c r="AA269" s="275">
        <v>32</v>
      </c>
      <c r="AB269" s="276">
        <v>0</v>
      </c>
      <c r="AC269" s="275">
        <v>9</v>
      </c>
      <c r="AD269" s="275">
        <v>0</v>
      </c>
      <c r="AE269" s="275">
        <v>0</v>
      </c>
      <c r="AF269" s="271" t="s">
        <v>208</v>
      </c>
      <c r="AG269" s="277">
        <f ca="1">Table2[[#This Row],[End Date]]+2-TODAY()</f>
        <v>-88</v>
      </c>
      <c r="AH269" s="275">
        <f>IF(ISBLANK(Table2[[#This Row],[Roster Received By]]),1,0)</f>
        <v>0</v>
      </c>
      <c r="AI269" s="275">
        <f ca="1">IF(Table2[[#This Row],[Start Date]]&gt;TODAY(),1,)</f>
        <v>0</v>
      </c>
    </row>
    <row r="270" spans="1:35" s="146" customFormat="1" x14ac:dyDescent="0.25">
      <c r="B270" s="228" t="s">
        <v>274</v>
      </c>
      <c r="C270" s="147" t="str">
        <f>VLOOKUP(Table2[[#This Row],[Course]],Data!$A$1:$E$56,2,FALSE)</f>
        <v>A-493-0335</v>
      </c>
      <c r="D270" s="147" t="str">
        <f>VLOOKUP(Table2[[#This Row],[Course]],Data!$A$1:$E$56,3,FALSE)</f>
        <v>09ND</v>
      </c>
      <c r="E270" s="100" t="s">
        <v>116</v>
      </c>
      <c r="F270" s="149">
        <v>45440</v>
      </c>
      <c r="G270" s="149">
        <v>45443</v>
      </c>
      <c r="H270" s="149"/>
      <c r="I270" s="150">
        <v>0.5</v>
      </c>
      <c r="J270" s="150">
        <v>0.375</v>
      </c>
      <c r="K270" s="150">
        <v>0.79166666666666663</v>
      </c>
      <c r="L270" s="150">
        <v>0.70833333333333337</v>
      </c>
      <c r="M270" s="150">
        <v>0.25</v>
      </c>
      <c r="N270" s="150">
        <v>4.1666666666666664E-2</v>
      </c>
      <c r="O270" s="100" t="s">
        <v>81</v>
      </c>
      <c r="P270" s="100"/>
      <c r="Q270" s="171" t="e">
        <v>#REF!</v>
      </c>
      <c r="R270" s="171" t="e">
        <v>#REF!</v>
      </c>
      <c r="S270" s="189"/>
      <c r="T270" s="101"/>
      <c r="U270" s="166"/>
      <c r="V270" s="154">
        <f>VLOOKUP(Table2[[#This Row],[Course]],Data!$A$1:$E$56,4,FALSE)</f>
        <v>30</v>
      </c>
      <c r="W270" s="154">
        <f>VLOOKUP(Table2[[#This Row],[Course]],Data!$A$1:$E$56,5,FALSE)</f>
        <v>4</v>
      </c>
      <c r="X270" s="154">
        <v>499</v>
      </c>
      <c r="Y270" s="275">
        <v>30</v>
      </c>
      <c r="Z270" s="275">
        <v>2</v>
      </c>
      <c r="AA270" s="275">
        <v>25</v>
      </c>
      <c r="AB270" s="276">
        <v>2</v>
      </c>
      <c r="AC270" s="275">
        <v>5</v>
      </c>
      <c r="AD270" s="275">
        <v>0</v>
      </c>
      <c r="AE270" s="275">
        <v>0</v>
      </c>
      <c r="AF270" s="271" t="s">
        <v>208</v>
      </c>
      <c r="AG270" s="277">
        <f ca="1">Table2[[#This Row],[End Date]]+2-TODAY()</f>
        <v>-87</v>
      </c>
      <c r="AH270" s="275">
        <f>IF(ISBLANK(Table2[[#This Row],[Roster Received By]]),1,0)</f>
        <v>0</v>
      </c>
      <c r="AI270" s="275">
        <f ca="1">IF(Table2[[#This Row],[Start Date]]&gt;TODAY(),1,)</f>
        <v>0</v>
      </c>
    </row>
    <row r="271" spans="1:35" s="146" customFormat="1" x14ac:dyDescent="0.25">
      <c r="B271" s="228" t="s">
        <v>303</v>
      </c>
      <c r="C271" s="147" t="str">
        <f>VLOOKUP(Table2[[#This Row],[Course]],Data!$A$1:$E$56,2,FALSE)</f>
        <v>A-570-0100</v>
      </c>
      <c r="D271" s="147" t="str">
        <f>VLOOKUP(Table2[[#This Row],[Course]],Data!$A$1:$E$56,3,FALSE)</f>
        <v>18B7</v>
      </c>
      <c r="E271" s="100" t="s">
        <v>116</v>
      </c>
      <c r="F271" s="149">
        <v>45440</v>
      </c>
      <c r="G271" s="149">
        <v>45443</v>
      </c>
      <c r="H271" s="149"/>
      <c r="I271" s="150">
        <v>0.54166666666666663</v>
      </c>
      <c r="J271" s="150">
        <v>0.41666666666666669</v>
      </c>
      <c r="K271" s="150">
        <v>0.83333333333333337</v>
      </c>
      <c r="L271" s="150">
        <v>0.75</v>
      </c>
      <c r="M271" s="150">
        <v>0.29166666666666669</v>
      </c>
      <c r="N271" s="150">
        <v>8.3333333333333329E-2</v>
      </c>
      <c r="O271" s="100" t="s">
        <v>89</v>
      </c>
      <c r="P271" s="100"/>
      <c r="Q271" s="170" t="e">
        <v>#REF!</v>
      </c>
      <c r="R271" s="171" t="e">
        <v>#REF!</v>
      </c>
      <c r="S271" s="170"/>
      <c r="T271" s="101"/>
      <c r="U271" s="101"/>
      <c r="V271" s="154">
        <f>VLOOKUP(Table2[[#This Row],[Course]],Data!$A$1:$E$56,4,FALSE)</f>
        <v>30</v>
      </c>
      <c r="W271" s="154">
        <f>VLOOKUP(Table2[[#This Row],[Course]],Data!$A$1:$E$56,5,FALSE)</f>
        <v>4</v>
      </c>
      <c r="X271" s="154">
        <v>459</v>
      </c>
      <c r="Y271" s="275">
        <v>30</v>
      </c>
      <c r="Z271" s="275">
        <v>0</v>
      </c>
      <c r="AA271" s="275">
        <v>19</v>
      </c>
      <c r="AB271" s="276">
        <v>4</v>
      </c>
      <c r="AC271" s="275">
        <v>7</v>
      </c>
      <c r="AD271" s="275">
        <v>0</v>
      </c>
      <c r="AE271" s="275">
        <v>0</v>
      </c>
      <c r="AF271" s="271" t="s">
        <v>213</v>
      </c>
      <c r="AG271" s="277">
        <f ca="1">Table2[[#This Row],[End Date]]+2-TODAY()</f>
        <v>-87</v>
      </c>
      <c r="AH271" s="275">
        <f>IF(ISBLANK(Table2[[#This Row],[Roster Received By]]),1,0)</f>
        <v>0</v>
      </c>
      <c r="AI271" s="275">
        <f ca="1">IF(Table2[[#This Row],[Start Date]]&gt;TODAY(),1,)</f>
        <v>0</v>
      </c>
    </row>
    <row r="272" spans="1:35" s="146" customFormat="1" x14ac:dyDescent="0.25">
      <c r="B272" s="228" t="s">
        <v>214</v>
      </c>
      <c r="C272" s="147" t="str">
        <f>VLOOKUP(Table2[[#This Row],[Course]],Data!$A$1:$E$56,2,FALSE)</f>
        <v>A-493-0665</v>
      </c>
      <c r="D272" s="147" t="str">
        <f>VLOOKUP(Table2[[#This Row],[Course]],Data!$A$1:$E$56,3,FALSE)</f>
        <v>10KW</v>
      </c>
      <c r="E272" s="100" t="s">
        <v>116</v>
      </c>
      <c r="F272" s="149">
        <v>45446</v>
      </c>
      <c r="G272" s="149">
        <v>45450</v>
      </c>
      <c r="H272" s="149"/>
      <c r="I272" s="150">
        <v>0.33333333333333331</v>
      </c>
      <c r="J272" s="150">
        <v>0.20833333333333334</v>
      </c>
      <c r="K272" s="150">
        <v>0.625</v>
      </c>
      <c r="L272" s="150">
        <v>0.54166666666666663</v>
      </c>
      <c r="M272" s="150">
        <v>8.3333333333333329E-2</v>
      </c>
      <c r="N272" s="150">
        <v>0.875</v>
      </c>
      <c r="O272" s="100" t="s">
        <v>80</v>
      </c>
      <c r="P272" s="100"/>
      <c r="Q272" s="170" t="e">
        <v>#REF!</v>
      </c>
      <c r="R272" s="171" t="e">
        <v>#REF!</v>
      </c>
      <c r="S272" s="170"/>
      <c r="T272" s="101"/>
      <c r="U272" s="101"/>
      <c r="V272" s="154">
        <f>VLOOKUP(Table2[[#This Row],[Course]],Data!$A$1:$E$56,4,FALSE)</f>
        <v>45</v>
      </c>
      <c r="W272" s="154">
        <f>VLOOKUP(Table2[[#This Row],[Course]],Data!$A$1:$E$56,5,FALSE)</f>
        <v>5</v>
      </c>
      <c r="X272" s="154">
        <v>127</v>
      </c>
      <c r="Y272" s="275">
        <v>25</v>
      </c>
      <c r="Z272" s="275">
        <v>0</v>
      </c>
      <c r="AA272" s="275">
        <v>19</v>
      </c>
      <c r="AB272" s="276">
        <v>0</v>
      </c>
      <c r="AC272" s="275">
        <v>6</v>
      </c>
      <c r="AD272" s="275">
        <v>0</v>
      </c>
      <c r="AE272" s="275">
        <v>0</v>
      </c>
      <c r="AF272" s="271" t="s">
        <v>213</v>
      </c>
      <c r="AG272" s="277">
        <f ca="1">Table2[[#This Row],[End Date]]+2-TODAY()</f>
        <v>-80</v>
      </c>
      <c r="AH272" s="275">
        <f>IF(ISBLANK(Table2[[#This Row],[Roster Received By]]),1,0)</f>
        <v>0</v>
      </c>
      <c r="AI272" s="275">
        <f ca="1">IF(Table2[[#This Row],[Start Date]]&gt;TODAY(),1,)</f>
        <v>0</v>
      </c>
    </row>
    <row r="273" spans="1:35" s="146" customFormat="1" x14ac:dyDescent="0.25">
      <c r="B273" s="228" t="s">
        <v>249</v>
      </c>
      <c r="C273" s="147" t="str">
        <f>VLOOKUP(Table2[[#This Row],[Course]],Data!$A$1:$E$56,2,FALSE)</f>
        <v>A-322-2604</v>
      </c>
      <c r="D273" s="147" t="str">
        <f>VLOOKUP(Table2[[#This Row],[Course]],Data!$A$1:$E$56,3,FALSE)</f>
        <v>10ZZ</v>
      </c>
      <c r="E273" s="100" t="s">
        <v>116</v>
      </c>
      <c r="F273" s="149">
        <v>45446</v>
      </c>
      <c r="G273" s="149">
        <v>45450</v>
      </c>
      <c r="H273" s="149"/>
      <c r="I273" s="150">
        <v>0.54166666666666663</v>
      </c>
      <c r="J273" s="150">
        <v>0.41666666666666669</v>
      </c>
      <c r="K273" s="150">
        <v>0.83333333333333337</v>
      </c>
      <c r="L273" s="150">
        <v>0.75</v>
      </c>
      <c r="M273" s="150">
        <v>0.29166666666666669</v>
      </c>
      <c r="N273" s="150">
        <v>8.3333333333333329E-2</v>
      </c>
      <c r="O273" s="100" t="s">
        <v>266</v>
      </c>
      <c r="P273" s="100"/>
      <c r="Q273" s="170" t="e">
        <v>#REF!</v>
      </c>
      <c r="R273" s="171" t="e">
        <v>#REF!</v>
      </c>
      <c r="S273" s="170"/>
      <c r="T273" s="101"/>
      <c r="U273" s="101"/>
      <c r="V273" s="154">
        <f>VLOOKUP(Table2[[#This Row],[Course]],Data!$A$1:$E$56,4,FALSE)</f>
        <v>45</v>
      </c>
      <c r="W273" s="154">
        <f>VLOOKUP(Table2[[#This Row],[Course]],Data!$A$1:$E$56,5,FALSE)</f>
        <v>5</v>
      </c>
      <c r="X273" s="154">
        <v>653</v>
      </c>
      <c r="Y273" s="275">
        <v>42</v>
      </c>
      <c r="Z273" s="275"/>
      <c r="AA273" s="275">
        <v>38</v>
      </c>
      <c r="AB273" s="276">
        <v>0</v>
      </c>
      <c r="AC273" s="275">
        <v>4</v>
      </c>
      <c r="AD273" s="275">
        <v>0</v>
      </c>
      <c r="AE273" s="275">
        <v>0</v>
      </c>
      <c r="AF273" s="271" t="s">
        <v>213</v>
      </c>
      <c r="AG273" s="277">
        <f ca="1">Table2[[#This Row],[End Date]]+2-TODAY()</f>
        <v>-80</v>
      </c>
      <c r="AH273" s="275">
        <f>IF(ISBLANK(Table2[[#This Row],[Roster Received By]]),1,0)</f>
        <v>0</v>
      </c>
      <c r="AI273" s="275">
        <f ca="1">IF(Table2[[#This Row],[Start Date]]&gt;TODAY(),1,)</f>
        <v>0</v>
      </c>
    </row>
    <row r="274" spans="1:35" s="146" customFormat="1" x14ac:dyDescent="0.25">
      <c r="B274" s="228" t="s">
        <v>38</v>
      </c>
      <c r="C274" s="147" t="str">
        <f>VLOOKUP(Table2[[#This Row],[Course]],Data!$A$1:$E$56,2,FALSE)</f>
        <v>A-493-0072</v>
      </c>
      <c r="D274" s="147" t="str">
        <f>VLOOKUP(Table2[[#This Row],[Course]],Data!$A$1:$E$56,3,FALSE)</f>
        <v>713U</v>
      </c>
      <c r="E274" s="118" t="s">
        <v>140</v>
      </c>
      <c r="F274" s="149">
        <v>45446</v>
      </c>
      <c r="G274" s="149">
        <v>45449</v>
      </c>
      <c r="H274" s="162">
        <v>0.33333333333333331</v>
      </c>
      <c r="I274" s="162"/>
      <c r="J274" s="149"/>
      <c r="K274" s="149"/>
      <c r="L274" s="149"/>
      <c r="M274" s="149"/>
      <c r="N274" s="149"/>
      <c r="O274" s="100" t="s">
        <v>81</v>
      </c>
      <c r="P274" s="100" t="s">
        <v>90</v>
      </c>
      <c r="Q274" s="171" t="e">
        <v>#REF!</v>
      </c>
      <c r="R274" s="171" t="e">
        <v>#REF!</v>
      </c>
      <c r="S274" s="189"/>
      <c r="T274" s="101"/>
      <c r="U274" s="166"/>
      <c r="V274" s="154">
        <f>VLOOKUP(Table2[[#This Row],[Course]],Data!$A$1:$E$56,4,FALSE)</f>
        <v>30</v>
      </c>
      <c r="W274" s="154">
        <f>VLOOKUP(Table2[[#This Row],[Course]],Data!$A$1:$E$56,5,FALSE)</f>
        <v>4</v>
      </c>
      <c r="X274" s="154">
        <v>235</v>
      </c>
      <c r="Y274" s="275">
        <v>30</v>
      </c>
      <c r="Z274" s="275">
        <v>5</v>
      </c>
      <c r="AA274" s="275">
        <v>29</v>
      </c>
      <c r="AB274" s="276">
        <v>0</v>
      </c>
      <c r="AC274" s="275">
        <v>3</v>
      </c>
      <c r="AD274" s="275">
        <v>2</v>
      </c>
      <c r="AE274" s="275">
        <v>0</v>
      </c>
      <c r="AF274" s="271" t="s">
        <v>208</v>
      </c>
      <c r="AG274" s="277">
        <f ca="1">Table2[[#This Row],[End Date]]+2-TODAY()</f>
        <v>-81</v>
      </c>
      <c r="AH274" s="275">
        <f>IF(ISBLANK(Table2[[#This Row],[Roster Received By]]),1,0)</f>
        <v>0</v>
      </c>
      <c r="AI274" s="275">
        <f ca="1">IF(Table2[[#This Row],[Start Date]]&gt;TODAY(),1,)</f>
        <v>0</v>
      </c>
    </row>
    <row r="275" spans="1:35" s="157" customFormat="1" ht="14.45" customHeight="1" x14ac:dyDescent="0.25">
      <c r="A275" s="146"/>
      <c r="B275" s="228" t="s">
        <v>40</v>
      </c>
      <c r="C275" s="147" t="str">
        <f>VLOOKUP(Table2[[#This Row],[Course]],Data!$A$1:$E$56,2,FALSE)</f>
        <v>A-493-2017</v>
      </c>
      <c r="D275" s="147" t="str">
        <f>VLOOKUP(Table2[[#This Row],[Course]],Data!$A$1:$E$56,3,FALSE)</f>
        <v>12x3</v>
      </c>
      <c r="E275" s="416" t="s">
        <v>147</v>
      </c>
      <c r="F275" s="148">
        <v>45446</v>
      </c>
      <c r="G275" s="148">
        <v>45450</v>
      </c>
      <c r="H275" s="162">
        <v>0.33333333333333331</v>
      </c>
      <c r="I275" s="162"/>
      <c r="J275" s="149"/>
      <c r="K275" s="149"/>
      <c r="L275" s="149"/>
      <c r="M275" s="149"/>
      <c r="N275" s="149"/>
      <c r="O275" s="100" t="s">
        <v>78</v>
      </c>
      <c r="P275" s="100"/>
      <c r="Q275" s="170" t="e">
        <v>#REF!</v>
      </c>
      <c r="R275" s="171" t="e">
        <v>#REF!</v>
      </c>
      <c r="S275" s="170"/>
      <c r="T275" s="101"/>
      <c r="U275" s="101"/>
      <c r="V275" s="154">
        <f>VLOOKUP(Table2[[#This Row],[Course]],Data!$A$1:$E$56,4,FALSE)</f>
        <v>25</v>
      </c>
      <c r="W275" s="154">
        <f>VLOOKUP(Table2[[#This Row],[Course]],Data!$A$1:$E$56,5,FALSE)</f>
        <v>2</v>
      </c>
      <c r="X275" s="154">
        <v>16</v>
      </c>
      <c r="Y275" s="275">
        <v>25</v>
      </c>
      <c r="Z275" s="275">
        <v>5</v>
      </c>
      <c r="AA275" s="275">
        <v>23</v>
      </c>
      <c r="AB275" s="276">
        <v>0</v>
      </c>
      <c r="AC275" s="275">
        <v>3</v>
      </c>
      <c r="AD275" s="275">
        <v>0</v>
      </c>
      <c r="AE275" s="275">
        <v>0</v>
      </c>
      <c r="AF275" s="271" t="s">
        <v>213</v>
      </c>
      <c r="AG275" s="277">
        <f ca="1">Table2[[#This Row],[End Date]]+2-TODAY()</f>
        <v>-80</v>
      </c>
      <c r="AH275" s="275">
        <f>IF(ISBLANK(Table2[[#This Row],[Roster Received By]]),1,0)</f>
        <v>0</v>
      </c>
      <c r="AI275" s="275">
        <f ca="1">IF(Table2[[#This Row],[Start Date]]&gt;TODAY(),1,)</f>
        <v>0</v>
      </c>
    </row>
    <row r="276" spans="1:35" s="157" customFormat="1" ht="15.75" customHeight="1" x14ac:dyDescent="0.25">
      <c r="A276" s="146"/>
      <c r="B276" s="228" t="s">
        <v>18</v>
      </c>
      <c r="C276" s="147" t="str">
        <f>VLOOKUP(Table2[[#This Row],[Course]],Data!$A$1:$E$56,2,FALSE)</f>
        <v>A-493-0013</v>
      </c>
      <c r="D276" s="147">
        <f>VLOOKUP(Table2[[#This Row],[Course]],Data!$A$1:$E$56,3,FALSE)</f>
        <v>3683</v>
      </c>
      <c r="E276" s="100" t="s">
        <v>154</v>
      </c>
      <c r="F276" s="149">
        <v>45447</v>
      </c>
      <c r="G276" s="149">
        <v>45449</v>
      </c>
      <c r="H276" s="151">
        <v>0.33333333333333331</v>
      </c>
      <c r="I276" s="151"/>
      <c r="J276" s="151"/>
      <c r="K276" s="151"/>
      <c r="L276" s="151"/>
      <c r="M276" s="151"/>
      <c r="N276" s="149"/>
      <c r="O276" s="146" t="s">
        <v>78</v>
      </c>
      <c r="P276" s="146"/>
      <c r="Q276" s="152" t="e">
        <v>#REF!</v>
      </c>
      <c r="R276" s="152" t="e">
        <v>#REF!</v>
      </c>
      <c r="S276" s="153"/>
      <c r="T276" s="146"/>
      <c r="U276" s="146"/>
      <c r="V276" s="154">
        <f>VLOOKUP(Table2[[#This Row],[Course]],Data!$A$1:$E$56,4,FALSE)</f>
        <v>40</v>
      </c>
      <c r="W276" s="154">
        <v>3</v>
      </c>
      <c r="X276" s="154">
        <v>5</v>
      </c>
      <c r="Y276" s="275">
        <v>10</v>
      </c>
      <c r="Z276" s="275">
        <v>0</v>
      </c>
      <c r="AA276" s="275">
        <v>10</v>
      </c>
      <c r="AB276" s="276">
        <v>0</v>
      </c>
      <c r="AC276" s="275">
        <v>0</v>
      </c>
      <c r="AD276" s="275">
        <v>0</v>
      </c>
      <c r="AE276" s="275">
        <v>0</v>
      </c>
      <c r="AF276" s="271" t="s">
        <v>191</v>
      </c>
      <c r="AG276" s="277">
        <f ca="1">Table2[[#This Row],[End Date]]+2-TODAY()</f>
        <v>-81</v>
      </c>
      <c r="AH276" s="275">
        <f>IF(ISBLANK(Table2[[#This Row],[Roster Received By]]),1,0)</f>
        <v>0</v>
      </c>
      <c r="AI276" s="275">
        <f ca="1">IF(Table2[[#This Row],[Start Date]]&gt;TODAY(),1,)</f>
        <v>0</v>
      </c>
    </row>
    <row r="277" spans="1:35" s="157" customFormat="1" ht="15.75" customHeight="1" x14ac:dyDescent="0.25">
      <c r="A277" s="243" t="s">
        <v>505</v>
      </c>
      <c r="B277" s="228" t="s">
        <v>38</v>
      </c>
      <c r="C277" s="147" t="str">
        <f>VLOOKUP(Table2[[#This Row],[Course]],Data!$A$1:$E$56,2,FALSE)</f>
        <v>A-493-0072</v>
      </c>
      <c r="D277" s="147" t="str">
        <f>VLOOKUP(Table2[[#This Row],[Course]],Data!$A$1:$E$56,3,FALSE)</f>
        <v>713U</v>
      </c>
      <c r="E277" s="100" t="s">
        <v>143</v>
      </c>
      <c r="F277" s="149">
        <v>45447</v>
      </c>
      <c r="G277" s="149">
        <v>45450</v>
      </c>
      <c r="H277" s="162">
        <v>0.33333333333333331</v>
      </c>
      <c r="I277" s="162"/>
      <c r="J277" s="149"/>
      <c r="K277" s="149"/>
      <c r="L277" s="149"/>
      <c r="M277" s="149"/>
      <c r="N277" s="149"/>
      <c r="O277" s="100" t="s">
        <v>187</v>
      </c>
      <c r="P277" s="100" t="s">
        <v>84</v>
      </c>
      <c r="Q277" s="171" t="e">
        <v>#REF!</v>
      </c>
      <c r="R277" s="171" t="e">
        <v>#REF!</v>
      </c>
      <c r="S277" s="173"/>
      <c r="T277" s="101"/>
      <c r="U277" s="101"/>
      <c r="V277" s="154">
        <f>VLOOKUP(Table2[[#This Row],[Course]],Data!$A$1:$E$56,4,FALSE)</f>
        <v>30</v>
      </c>
      <c r="W277" s="154">
        <f>VLOOKUP(Table2[[#This Row],[Course]],Data!$A$1:$E$56,5,FALSE)</f>
        <v>4</v>
      </c>
      <c r="X277" s="154">
        <v>8</v>
      </c>
      <c r="Y277" s="275">
        <v>23</v>
      </c>
      <c r="Z277" s="275">
        <v>0</v>
      </c>
      <c r="AA277" s="275">
        <v>23</v>
      </c>
      <c r="AB277" s="276">
        <v>0</v>
      </c>
      <c r="AC277" s="275">
        <v>0</v>
      </c>
      <c r="AD277" s="275">
        <v>0</v>
      </c>
      <c r="AE277" s="275">
        <v>0</v>
      </c>
      <c r="AF277" s="271" t="s">
        <v>208</v>
      </c>
      <c r="AG277" s="277">
        <f ca="1">Table2[[#This Row],[End Date]]+2-TODAY()</f>
        <v>-80</v>
      </c>
      <c r="AH277" s="275">
        <f>IF(ISBLANK(Table2[[#This Row],[Roster Received By]]),1,0)</f>
        <v>0</v>
      </c>
      <c r="AI277" s="275">
        <f ca="1">IF(Table2[[#This Row],[Start Date]]&gt;TODAY(),1,)</f>
        <v>0</v>
      </c>
    </row>
    <row r="278" spans="1:35" s="157" customFormat="1" ht="15.75" customHeight="1" x14ac:dyDescent="0.25">
      <c r="A278" s="100"/>
      <c r="B278" s="228" t="s">
        <v>236</v>
      </c>
      <c r="C278" s="147" t="str">
        <f>VLOOKUP(Table2[[#This Row],[Course]],Data!$A$1:$E$56,2,FALSE)</f>
        <v>A-493-0103</v>
      </c>
      <c r="D278" s="147" t="str">
        <f>VLOOKUP(Table2[[#This Row],[Course]],Data!$A$1:$E$56,3,FALSE)</f>
        <v>12JY</v>
      </c>
      <c r="E278" s="100" t="s">
        <v>109</v>
      </c>
      <c r="F278" s="149">
        <v>45453</v>
      </c>
      <c r="G278" s="149">
        <v>45457</v>
      </c>
      <c r="H278" s="151">
        <v>0.33333333333333331</v>
      </c>
      <c r="I278" s="151"/>
      <c r="J278" s="149"/>
      <c r="K278" s="149"/>
      <c r="L278" s="149"/>
      <c r="M278" s="149"/>
      <c r="N278" s="149"/>
      <c r="O278" s="100" t="s">
        <v>94</v>
      </c>
      <c r="P278" s="100"/>
      <c r="Q278" s="152" t="e">
        <v>#REF!</v>
      </c>
      <c r="R278" s="152" t="e">
        <v>#REF!</v>
      </c>
      <c r="S278" s="153"/>
      <c r="T278" s="146"/>
      <c r="U278" s="146"/>
      <c r="V278" s="154">
        <f>VLOOKUP(Table2[[#This Row],[Course]],Data!$A$1:$E$56,4,FALSE)</f>
        <v>25</v>
      </c>
      <c r="W278" s="154">
        <f>VLOOKUP(Table2[[#This Row],[Course]],Data!$A$1:$E$56,5,FALSE)</f>
        <v>5</v>
      </c>
      <c r="X278" s="154">
        <v>152</v>
      </c>
      <c r="Y278" s="275">
        <v>24</v>
      </c>
      <c r="Z278" s="275">
        <v>0</v>
      </c>
      <c r="AA278" s="275">
        <v>17</v>
      </c>
      <c r="AB278" s="276">
        <v>0</v>
      </c>
      <c r="AC278" s="275">
        <v>8</v>
      </c>
      <c r="AD278" s="275">
        <v>1</v>
      </c>
      <c r="AE278" s="275">
        <v>0</v>
      </c>
      <c r="AF278" s="271" t="s">
        <v>191</v>
      </c>
      <c r="AG278" s="277">
        <f ca="1">Table2[[#This Row],[End Date]]+2-TODAY()</f>
        <v>-73</v>
      </c>
      <c r="AH278" s="275">
        <f>IF(ISBLANK(Table2[[#This Row],[Roster Received By]]),1,0)</f>
        <v>0</v>
      </c>
      <c r="AI278" s="275">
        <f ca="1">IF(Table2[[#This Row],[Start Date]]&gt;TODAY(),1,)</f>
        <v>0</v>
      </c>
    </row>
    <row r="279" spans="1:35" s="157" customFormat="1" ht="15.75" customHeight="1" x14ac:dyDescent="0.25">
      <c r="A279" s="146"/>
      <c r="B279" s="228" t="s">
        <v>14</v>
      </c>
      <c r="C279" s="147" t="str">
        <f>VLOOKUP(Table2[[#This Row],[Course]],Data!$A$1:$E$56,2,FALSE)</f>
        <v>A-493-0030</v>
      </c>
      <c r="D279" s="147" t="str">
        <f>VLOOKUP(Table2[[#This Row],[Course]],Data!$A$1:$E$56,3,FALSE)</f>
        <v>286X</v>
      </c>
      <c r="E279" s="118" t="s">
        <v>116</v>
      </c>
      <c r="F279" s="149">
        <v>45453</v>
      </c>
      <c r="G279" s="149">
        <v>45457</v>
      </c>
      <c r="H279" s="151"/>
      <c r="I279" s="150">
        <v>0.33333333333333331</v>
      </c>
      <c r="J279" s="150">
        <v>0.20833333333333334</v>
      </c>
      <c r="K279" s="150">
        <v>0.625</v>
      </c>
      <c r="L279" s="150">
        <v>0.54166666666666663</v>
      </c>
      <c r="M279" s="150">
        <v>8.3333333333333329E-2</v>
      </c>
      <c r="N279" s="150">
        <v>0.875</v>
      </c>
      <c r="O279" s="100" t="s">
        <v>95</v>
      </c>
      <c r="P279" s="100"/>
      <c r="Q279" s="152" t="e">
        <v>#REF!</v>
      </c>
      <c r="R279" s="152" t="e">
        <v>#REF!</v>
      </c>
      <c r="S279" s="184"/>
      <c r="T279" s="146"/>
      <c r="U279" s="100"/>
      <c r="V279" s="154">
        <f>VLOOKUP(Table2[[#This Row],[Course]],Data!$A$1:$E$56,4,FALSE)</f>
        <v>25</v>
      </c>
      <c r="W279" s="154">
        <f>VLOOKUP(Table2[[#This Row],[Course]],Data!$A$1:$E$56,5,FALSE)</f>
        <v>5</v>
      </c>
      <c r="X279" s="154">
        <v>0</v>
      </c>
      <c r="Y279" s="275">
        <v>25</v>
      </c>
      <c r="Z279" s="275">
        <v>5</v>
      </c>
      <c r="AA279" s="275">
        <v>20</v>
      </c>
      <c r="AB279" s="276">
        <v>3</v>
      </c>
      <c r="AC279" s="275">
        <v>4</v>
      </c>
      <c r="AD279" s="275">
        <v>0</v>
      </c>
      <c r="AE279" s="275"/>
      <c r="AF279" s="271" t="s">
        <v>208</v>
      </c>
      <c r="AG279" s="277">
        <f ca="1">Table2[[#This Row],[End Date]]+2-TODAY()</f>
        <v>-73</v>
      </c>
      <c r="AH279" s="275">
        <f>IF(ISBLANK(Table2[[#This Row],[Roster Received By]]),1,0)</f>
        <v>0</v>
      </c>
      <c r="AI279" s="275">
        <f ca="1">IF(Table2[[#This Row],[Start Date]]&gt;TODAY(),1,)</f>
        <v>0</v>
      </c>
    </row>
    <row r="280" spans="1:35" s="157" customFormat="1" ht="15.75" customHeight="1" x14ac:dyDescent="0.25">
      <c r="A280" s="100"/>
      <c r="B280" s="228" t="s">
        <v>15</v>
      </c>
      <c r="C280" s="147" t="str">
        <f>VLOOKUP(Table2[[#This Row],[Course]],Data!$A$1:$E$56,2,FALSE)</f>
        <v>A-493-0021</v>
      </c>
      <c r="D280" s="147" t="str">
        <f>VLOOKUP(Table2[[#This Row],[Course]],Data!$A$1:$E$56,3,FALSE)</f>
        <v>18BN</v>
      </c>
      <c r="E280" s="100" t="s">
        <v>151</v>
      </c>
      <c r="F280" s="149">
        <v>45453</v>
      </c>
      <c r="G280" s="149">
        <v>45457</v>
      </c>
      <c r="H280" s="151">
        <v>0.33333333333333331</v>
      </c>
      <c r="I280" s="151"/>
      <c r="J280" s="149"/>
      <c r="K280" s="149"/>
      <c r="L280" s="149"/>
      <c r="M280" s="149"/>
      <c r="N280" s="149"/>
      <c r="O280" s="100" t="s">
        <v>94</v>
      </c>
      <c r="P280" s="100"/>
      <c r="Q280" s="155" t="e">
        <v>#REF!</v>
      </c>
      <c r="R280" s="155" t="e">
        <v>#REF!</v>
      </c>
      <c r="S280" s="153"/>
      <c r="T280" s="146"/>
      <c r="U280" s="146"/>
      <c r="V280" s="154">
        <f>VLOOKUP(Table2[[#This Row],[Course]],Data!$A$1:$E$56,4,FALSE)</f>
        <v>35</v>
      </c>
      <c r="W280" s="154">
        <f>VLOOKUP(Table2[[#This Row],[Course]],Data!$A$1:$E$56,5,FALSE)</f>
        <v>5</v>
      </c>
      <c r="X280" s="154">
        <v>47</v>
      </c>
      <c r="Y280" s="275">
        <v>11</v>
      </c>
      <c r="Z280" s="275">
        <v>0</v>
      </c>
      <c r="AA280" s="275">
        <v>9</v>
      </c>
      <c r="AB280" s="276">
        <v>0</v>
      </c>
      <c r="AC280" s="275">
        <v>2</v>
      </c>
      <c r="AD280" s="275">
        <v>0</v>
      </c>
      <c r="AE280" s="272">
        <v>0</v>
      </c>
      <c r="AF280" s="271" t="s">
        <v>189</v>
      </c>
      <c r="AG280" s="277">
        <f ca="1">Table2[[#This Row],[End Date]]+2-TODAY()</f>
        <v>-73</v>
      </c>
      <c r="AH280" s="275">
        <f>IF(ISBLANK(Table2[[#This Row],[Roster Received By]]),1,0)</f>
        <v>0</v>
      </c>
      <c r="AI280" s="275">
        <f ca="1">IF(Table2[[#This Row],[Start Date]]&gt;TODAY(),1,)</f>
        <v>0</v>
      </c>
    </row>
    <row r="281" spans="1:35" s="157" customFormat="1" ht="15.75" customHeight="1" x14ac:dyDescent="0.25">
      <c r="A281" s="146"/>
      <c r="B281" s="228" t="s">
        <v>17</v>
      </c>
      <c r="C281" s="147" t="str">
        <f>VLOOKUP(Table2[[#This Row],[Course]],Data!$A$1:$E$56,2,FALSE)</f>
        <v>A-493-0012</v>
      </c>
      <c r="D281" s="147">
        <f>VLOOKUP(Table2[[#This Row],[Course]],Data!$A$1:$E$56,3,FALSE)</f>
        <v>3682</v>
      </c>
      <c r="E281" s="118" t="s">
        <v>109</v>
      </c>
      <c r="F281" s="148">
        <v>45453</v>
      </c>
      <c r="G281" s="149">
        <v>45457</v>
      </c>
      <c r="H281" s="151">
        <v>0.33333333333333331</v>
      </c>
      <c r="I281" s="151"/>
      <c r="J281" s="149"/>
      <c r="K281" s="149"/>
      <c r="L281" s="149"/>
      <c r="M281" s="149"/>
      <c r="N281" s="149"/>
      <c r="O281" s="100" t="s">
        <v>78</v>
      </c>
      <c r="P281" s="100"/>
      <c r="Q281" s="170" t="e">
        <v>#REF!</v>
      </c>
      <c r="R281" s="171" t="e">
        <v>#REF!</v>
      </c>
      <c r="S281" s="170"/>
      <c r="T281" s="101"/>
      <c r="U281" s="101"/>
      <c r="V281" s="154">
        <f>VLOOKUP(Table2[[#This Row],[Course]],Data!$A$1:$E$56,4,FALSE)</f>
        <v>40</v>
      </c>
      <c r="W281" s="154">
        <f>VLOOKUP(Table2[[#This Row],[Course]],Data!$A$1:$E$56,5,FALSE)</f>
        <v>5</v>
      </c>
      <c r="X281" s="154">
        <v>20</v>
      </c>
      <c r="Y281" s="275">
        <v>28</v>
      </c>
      <c r="Z281" s="275">
        <v>0</v>
      </c>
      <c r="AA281" s="275">
        <v>22</v>
      </c>
      <c r="AB281" s="276">
        <v>0</v>
      </c>
      <c r="AC281" s="275">
        <v>6</v>
      </c>
      <c r="AD281" s="275">
        <v>7</v>
      </c>
      <c r="AE281" s="275">
        <v>0</v>
      </c>
      <c r="AF281" s="271" t="s">
        <v>191</v>
      </c>
      <c r="AG281" s="277">
        <f ca="1">Table2[[#This Row],[End Date]]+2-TODAY()</f>
        <v>-73</v>
      </c>
      <c r="AH281" s="275">
        <f>IF(ISBLANK(Table2[[#This Row],[Roster Received By]]),1,0)</f>
        <v>0</v>
      </c>
      <c r="AI281" s="275">
        <f ca="1">IF(Table2[[#This Row],[Start Date]]&gt;TODAY(),1,)</f>
        <v>0</v>
      </c>
    </row>
    <row r="282" spans="1:35" s="157" customFormat="1" ht="15.75" customHeight="1" x14ac:dyDescent="0.25">
      <c r="A282" s="100"/>
      <c r="B282" s="228" t="s">
        <v>243</v>
      </c>
      <c r="C282" s="147" t="str">
        <f>VLOOKUP(Table2[[#This Row],[Course]],Data!$A$1:$E$56,2,FALSE)</f>
        <v>A-493-0061</v>
      </c>
      <c r="D282" s="147" t="str">
        <f>VLOOKUP(Table2[[#This Row],[Course]],Data!$A$1:$E$56,3,FALSE)</f>
        <v>288E</v>
      </c>
      <c r="E282" s="100" t="s">
        <v>116</v>
      </c>
      <c r="F282" s="292">
        <v>45453</v>
      </c>
      <c r="G282" s="292">
        <v>45457</v>
      </c>
      <c r="H282" s="149"/>
      <c r="I282" s="150">
        <v>0.33333333333333331</v>
      </c>
      <c r="J282" s="150">
        <v>0.20833333333333334</v>
      </c>
      <c r="K282" s="150">
        <v>0.625</v>
      </c>
      <c r="L282" s="150">
        <v>0.54166666666666663</v>
      </c>
      <c r="M282" s="150">
        <v>8.3333333333333329E-2</v>
      </c>
      <c r="N282" s="150">
        <v>0.875</v>
      </c>
      <c r="O282" s="100" t="s">
        <v>92</v>
      </c>
      <c r="P282" s="100"/>
      <c r="Q282" s="152" t="e">
        <v>#REF!</v>
      </c>
      <c r="R282" s="152" t="e">
        <v>#REF!</v>
      </c>
      <c r="S282" s="153"/>
      <c r="T282" s="146"/>
      <c r="U282" s="146"/>
      <c r="V282" s="154">
        <f>VLOOKUP(Table2[[#This Row],[Course]],Data!$A$1:$E$56,4,FALSE)</f>
        <v>45</v>
      </c>
      <c r="W282" s="154">
        <f>VLOOKUP(Table2[[#This Row],[Course]],Data!$A$1:$E$56,5,FALSE)</f>
        <v>5</v>
      </c>
      <c r="X282" s="154">
        <v>480</v>
      </c>
      <c r="Y282" s="275">
        <v>31</v>
      </c>
      <c r="Z282" s="275">
        <v>0</v>
      </c>
      <c r="AA282" s="275">
        <v>25</v>
      </c>
      <c r="AB282" s="276">
        <v>0</v>
      </c>
      <c r="AC282" s="275">
        <v>6</v>
      </c>
      <c r="AD282" s="275">
        <v>0</v>
      </c>
      <c r="AE282" s="275">
        <v>0</v>
      </c>
      <c r="AF282" s="271" t="s">
        <v>189</v>
      </c>
      <c r="AG282" s="277">
        <f ca="1">Table2[[#This Row],[End Date]]+2-TODAY()</f>
        <v>-73</v>
      </c>
      <c r="AH282" s="275">
        <f>IF(ISBLANK(Table2[[#This Row],[Roster Received By]]),1,0)</f>
        <v>0</v>
      </c>
      <c r="AI282" s="275">
        <f ca="1">IF(Table2[[#This Row],[Start Date]]&gt;TODAY(),1,)</f>
        <v>0</v>
      </c>
    </row>
    <row r="283" spans="1:35" s="157" customFormat="1" ht="15.75" customHeight="1" x14ac:dyDescent="0.25">
      <c r="A283" s="146"/>
      <c r="B283" s="228" t="s">
        <v>292</v>
      </c>
      <c r="C283" s="147" t="str">
        <f>VLOOKUP(Table2[[#This Row],[Course]],Data!$A$1:$E$56,2,FALSE)</f>
        <v>A-493-0078</v>
      </c>
      <c r="D283" s="147">
        <f>VLOOKUP(Table2[[#This Row],[Course]],Data!$A$1:$E$56,3,FALSE)</f>
        <v>1228</v>
      </c>
      <c r="E283" s="285" t="s">
        <v>116</v>
      </c>
      <c r="F283" s="292">
        <v>45453</v>
      </c>
      <c r="G283" s="292">
        <v>45457</v>
      </c>
      <c r="H283" s="149"/>
      <c r="I283" s="150">
        <v>0.54166666666666663</v>
      </c>
      <c r="J283" s="150">
        <v>0.41666666666666669</v>
      </c>
      <c r="K283" s="150">
        <v>0.83333333333333337</v>
      </c>
      <c r="L283" s="150">
        <v>0.75</v>
      </c>
      <c r="M283" s="150">
        <v>0.29166666666666669</v>
      </c>
      <c r="N283" s="150">
        <v>8.3333333333333329E-2</v>
      </c>
      <c r="O283" s="100" t="s">
        <v>80</v>
      </c>
      <c r="P283" s="100"/>
      <c r="Q283" s="152" t="e">
        <v>#REF!</v>
      </c>
      <c r="R283" s="152" t="e">
        <v>#REF!</v>
      </c>
      <c r="S283" s="153"/>
      <c r="T283" s="146"/>
      <c r="U283" s="146"/>
      <c r="V283" s="154">
        <f>VLOOKUP(Table2[[#This Row],[Course]],Data!$A$1:$E$56,4,FALSE)</f>
        <v>45</v>
      </c>
      <c r="W283" s="154">
        <f>VLOOKUP(Table2[[#This Row],[Course]],Data!$A$1:$E$56,5,FALSE)</f>
        <v>5</v>
      </c>
      <c r="X283" s="154">
        <v>836</v>
      </c>
      <c r="Y283" s="275">
        <v>30</v>
      </c>
      <c r="Z283" s="275">
        <v>0</v>
      </c>
      <c r="AA283" s="275">
        <v>26</v>
      </c>
      <c r="AB283" s="276">
        <v>0</v>
      </c>
      <c r="AC283" s="275">
        <v>4</v>
      </c>
      <c r="AD283" s="275">
        <v>0</v>
      </c>
      <c r="AE283" s="275">
        <v>0</v>
      </c>
      <c r="AF283" s="271" t="s">
        <v>189</v>
      </c>
      <c r="AG283" s="277">
        <f ca="1">Table2[[#This Row],[End Date]]+2-TODAY()</f>
        <v>-73</v>
      </c>
      <c r="AH283" s="275">
        <f>IF(ISBLANK(Table2[[#This Row],[Roster Received By]]),1,0)</f>
        <v>0</v>
      </c>
      <c r="AI283" s="275">
        <f ca="1">IF(Table2[[#This Row],[Start Date]]&gt;TODAY(),1,)</f>
        <v>0</v>
      </c>
    </row>
    <row r="284" spans="1:35" s="157" customFormat="1" ht="15.75" customHeight="1" x14ac:dyDescent="0.25">
      <c r="A284" s="146"/>
      <c r="B284" s="285" t="s">
        <v>317</v>
      </c>
      <c r="C284" s="147" t="str">
        <f>VLOOKUP(Table2[[#This Row],[Course]],Data!$A$1:$E$56,2,FALSE)</f>
        <v>A-493-2098</v>
      </c>
      <c r="D284" s="147" t="str">
        <f>VLOOKUP(Table2[[#This Row],[Course]],Data!$A$1:$E$56,3,FALSE)</f>
        <v>09WW</v>
      </c>
      <c r="E284" s="100" t="s">
        <v>116</v>
      </c>
      <c r="F284" s="149">
        <v>45453</v>
      </c>
      <c r="G284" s="149">
        <v>45457</v>
      </c>
      <c r="H284" s="149"/>
      <c r="I284" s="150">
        <v>0.79166666666666663</v>
      </c>
      <c r="J284" s="150">
        <v>0.66666666666666663</v>
      </c>
      <c r="K284" s="150">
        <v>8.3333333333333329E-2</v>
      </c>
      <c r="L284" s="150">
        <v>0</v>
      </c>
      <c r="M284" s="150">
        <v>0.54166666666666663</v>
      </c>
      <c r="N284" s="150">
        <v>0.33333333333333331</v>
      </c>
      <c r="O284" s="100" t="s">
        <v>89</v>
      </c>
      <c r="P284" s="100"/>
      <c r="Q284" s="170" t="e">
        <v>#REF!</v>
      </c>
      <c r="R284" s="171" t="e">
        <v>#REF!</v>
      </c>
      <c r="S284" s="170"/>
      <c r="T284" s="101"/>
      <c r="U284" s="101"/>
      <c r="V284" s="154">
        <f>VLOOKUP(Table2[[#This Row],[Course]],Data!$A$1:$E$56,4,FALSE)</f>
        <v>100</v>
      </c>
      <c r="W284" s="154">
        <f>VLOOKUP(Table2[[#This Row],[Course]],Data!$A$1:$E$56,5,FALSE)</f>
        <v>5</v>
      </c>
      <c r="X284" s="154">
        <v>237</v>
      </c>
      <c r="Y284" s="275">
        <v>93</v>
      </c>
      <c r="Z284" s="275">
        <v>0</v>
      </c>
      <c r="AA284" s="275">
        <v>65</v>
      </c>
      <c r="AB284" s="276">
        <v>0</v>
      </c>
      <c r="AC284" s="275">
        <v>35</v>
      </c>
      <c r="AD284" s="275">
        <v>0</v>
      </c>
      <c r="AE284" s="342">
        <v>0</v>
      </c>
      <c r="AF284" s="271" t="s">
        <v>200</v>
      </c>
      <c r="AG284" s="277">
        <f ca="1">Table2[[#This Row],[End Date]]+2-TODAY()</f>
        <v>-73</v>
      </c>
      <c r="AH284" s="275">
        <f>IF(ISBLANK(Table2[[#This Row],[Roster Received By]]),1,0)</f>
        <v>0</v>
      </c>
      <c r="AI284" s="275">
        <f ca="1">IF(Table2[[#This Row],[Start Date]]&gt;TODAY(),1,)</f>
        <v>0</v>
      </c>
    </row>
    <row r="285" spans="1:35" s="157" customFormat="1" ht="15.75" customHeight="1" x14ac:dyDescent="0.25">
      <c r="A285" s="146"/>
      <c r="B285" s="229" t="s">
        <v>18</v>
      </c>
      <c r="C285" s="147" t="str">
        <f>VLOOKUP(Table2[[#This Row],[Course]],Data!$A$1:$E$56,2,FALSE)</f>
        <v>A-493-0013</v>
      </c>
      <c r="D285" s="147">
        <f>VLOOKUP(Table2[[#This Row],[Course]],Data!$A$1:$E$56,3,FALSE)</f>
        <v>3683</v>
      </c>
      <c r="E285" s="100" t="s">
        <v>359</v>
      </c>
      <c r="F285" s="292">
        <v>45454</v>
      </c>
      <c r="G285" s="292">
        <v>45456</v>
      </c>
      <c r="H285" s="151">
        <v>0.33333333333333331</v>
      </c>
      <c r="I285" s="151"/>
      <c r="J285" s="151"/>
      <c r="K285" s="151"/>
      <c r="L285" s="151"/>
      <c r="M285" s="151"/>
      <c r="N285" s="149"/>
      <c r="O285" s="146" t="s">
        <v>78</v>
      </c>
      <c r="P285" s="146"/>
      <c r="Q285" s="152" t="e">
        <v>#REF!</v>
      </c>
      <c r="R285" s="152" t="e">
        <v>#REF!</v>
      </c>
      <c r="S285" s="153"/>
      <c r="T285" s="146"/>
      <c r="U285" s="146"/>
      <c r="V285" s="154">
        <f>VLOOKUP(Table2[[#This Row],[Course]],Data!$A$1:$E$56,4,FALSE)</f>
        <v>40</v>
      </c>
      <c r="W285" s="154">
        <v>3</v>
      </c>
      <c r="X285" s="154">
        <v>38</v>
      </c>
      <c r="Y285" s="275">
        <v>31</v>
      </c>
      <c r="Z285" s="275">
        <v>0</v>
      </c>
      <c r="AA285" s="275">
        <v>19</v>
      </c>
      <c r="AB285" s="276">
        <v>2</v>
      </c>
      <c r="AC285" s="275">
        <v>13</v>
      </c>
      <c r="AD285" s="275">
        <v>4</v>
      </c>
      <c r="AE285" s="275">
        <v>0</v>
      </c>
      <c r="AF285" s="271" t="s">
        <v>191</v>
      </c>
      <c r="AG285" s="277">
        <f ca="1">Table2[[#This Row],[End Date]]+2-TODAY()</f>
        <v>-74</v>
      </c>
      <c r="AH285" s="275">
        <f>IF(ISBLANK(Table2[[#This Row],[Roster Received By]]),1,0)</f>
        <v>0</v>
      </c>
      <c r="AI285" s="275">
        <f ca="1">IF(Table2[[#This Row],[Start Date]]&gt;TODAY(),1,)</f>
        <v>0</v>
      </c>
    </row>
    <row r="286" spans="1:35" s="157" customFormat="1" ht="15.75" customHeight="1" x14ac:dyDescent="0.25">
      <c r="A286" s="146"/>
      <c r="B286" s="229" t="s">
        <v>19</v>
      </c>
      <c r="C286" s="147" t="str">
        <f>VLOOKUP(Table2[[#This Row],[Course]],Data!$A$1:$E$56,2,FALSE)</f>
        <v>A-493-0099</v>
      </c>
      <c r="D286" s="147" t="str">
        <f>VLOOKUP(Table2[[#This Row],[Course]],Data!$A$1:$E$56,3,FALSE)</f>
        <v>12JW</v>
      </c>
      <c r="E286" s="100" t="s">
        <v>116</v>
      </c>
      <c r="F286" s="149">
        <v>45454</v>
      </c>
      <c r="G286" s="149">
        <v>45456</v>
      </c>
      <c r="H286" s="149"/>
      <c r="I286" s="150">
        <v>0.33333333333333331</v>
      </c>
      <c r="J286" s="150">
        <v>0.20833333333333334</v>
      </c>
      <c r="K286" s="150">
        <v>0.625</v>
      </c>
      <c r="L286" s="150">
        <v>0.54166666666666663</v>
      </c>
      <c r="M286" s="150">
        <v>8.3333333333333329E-2</v>
      </c>
      <c r="N286" s="150">
        <v>0.875</v>
      </c>
      <c r="O286" s="100" t="s">
        <v>88</v>
      </c>
      <c r="P286" s="100"/>
      <c r="Q286" s="152" t="e">
        <v>#REF!</v>
      </c>
      <c r="R286" s="152" t="e">
        <v>#REF!</v>
      </c>
      <c r="S286" s="153"/>
      <c r="T286" s="146"/>
      <c r="U286" s="146"/>
      <c r="V286" s="154">
        <f>VLOOKUP(Table2[[#This Row],[Course]],Data!$A$1:$E$56,4,FALSE)</f>
        <v>45</v>
      </c>
      <c r="W286" s="154">
        <f>VLOOKUP(Table2[[#This Row],[Course]],Data!$A$1:$E$56,5,FALSE)</f>
        <v>3</v>
      </c>
      <c r="X286" s="154">
        <v>431</v>
      </c>
      <c r="Y286" s="275">
        <v>25</v>
      </c>
      <c r="Z286" s="275">
        <v>0</v>
      </c>
      <c r="AA286" s="275">
        <v>21</v>
      </c>
      <c r="AB286" s="276">
        <v>0</v>
      </c>
      <c r="AC286" s="275">
        <v>6</v>
      </c>
      <c r="AD286" s="275">
        <v>1</v>
      </c>
      <c r="AE286" s="275">
        <v>0</v>
      </c>
      <c r="AF286" s="271" t="s">
        <v>189</v>
      </c>
      <c r="AG286" s="277">
        <f ca="1">Table2[[#This Row],[End Date]]+2-TODAY()</f>
        <v>-74</v>
      </c>
      <c r="AH286" s="275">
        <f>IF(ISBLANK(Table2[[#This Row],[Roster Received By]]),1,0)</f>
        <v>0</v>
      </c>
      <c r="AI286" s="275">
        <f ca="1">IF(Table2[[#This Row],[Start Date]]&gt;TODAY(),1,)</f>
        <v>0</v>
      </c>
    </row>
    <row r="287" spans="1:35" s="146" customFormat="1" x14ac:dyDescent="0.25">
      <c r="B287" s="228" t="s">
        <v>270</v>
      </c>
      <c r="C287" s="147" t="str">
        <f>VLOOKUP(Table2[[#This Row],[Course]],Data!$A$1:$E$56,2,FALSE)</f>
        <v>A-493-0331</v>
      </c>
      <c r="D287" s="147" t="str">
        <f>VLOOKUP(Table2[[#This Row],[Course]],Data!$A$1:$E$56,3,FALSE)</f>
        <v>10UG</v>
      </c>
      <c r="E287" s="100" t="s">
        <v>116</v>
      </c>
      <c r="F287" s="149">
        <v>45454</v>
      </c>
      <c r="G287" s="149">
        <v>45456</v>
      </c>
      <c r="H287" s="149"/>
      <c r="I287" s="150">
        <v>0.5</v>
      </c>
      <c r="J287" s="150">
        <v>0.375</v>
      </c>
      <c r="K287" s="150">
        <v>0.79166666666666663</v>
      </c>
      <c r="L287" s="150">
        <v>0.70833333333333337</v>
      </c>
      <c r="M287" s="150">
        <v>0.25</v>
      </c>
      <c r="N287" s="150">
        <v>4.1666666666666664E-2</v>
      </c>
      <c r="O287" s="100" t="s">
        <v>90</v>
      </c>
      <c r="P287" s="100"/>
      <c r="Q287" s="171" t="e">
        <v>#REF!</v>
      </c>
      <c r="R287" s="171" t="e">
        <v>#REF!</v>
      </c>
      <c r="S287" s="189"/>
      <c r="T287" s="101"/>
      <c r="U287" s="166"/>
      <c r="V287" s="154">
        <f>VLOOKUP(Table2[[#This Row],[Course]],Data!$A$1:$E$56,4,FALSE)</f>
        <v>40</v>
      </c>
      <c r="W287" s="154">
        <f>VLOOKUP(Table2[[#This Row],[Course]],Data!$A$1:$E$56,5,FALSE)</f>
        <v>3</v>
      </c>
      <c r="X287" s="154">
        <v>709</v>
      </c>
      <c r="Y287" s="275">
        <v>39</v>
      </c>
      <c r="Z287" s="275">
        <v>5</v>
      </c>
      <c r="AA287" s="275">
        <v>37</v>
      </c>
      <c r="AB287" s="276">
        <v>1</v>
      </c>
      <c r="AC287" s="275">
        <v>6</v>
      </c>
      <c r="AD287" s="275">
        <v>3</v>
      </c>
      <c r="AE287" s="275">
        <v>0</v>
      </c>
      <c r="AF287" s="271" t="s">
        <v>208</v>
      </c>
      <c r="AG287" s="277">
        <f ca="1">Table2[[#This Row],[End Date]]+2-TODAY()</f>
        <v>-74</v>
      </c>
      <c r="AH287" s="275">
        <f>IF(ISBLANK(Table2[[#This Row],[Roster Received By]]),1,0)</f>
        <v>0</v>
      </c>
      <c r="AI287" s="275">
        <f ca="1">IF(Table2[[#This Row],[Start Date]]&gt;TODAY(),1,)</f>
        <v>0</v>
      </c>
    </row>
    <row r="288" spans="1:35" s="146" customFormat="1" x14ac:dyDescent="0.25">
      <c r="B288" s="228" t="s">
        <v>303</v>
      </c>
      <c r="C288" s="147" t="str">
        <f>VLOOKUP(Table2[[#This Row],[Course]],Data!$A$1:$E$56,2,FALSE)</f>
        <v>A-570-0100</v>
      </c>
      <c r="D288" s="147" t="str">
        <f>VLOOKUP(Table2[[#This Row],[Course]],Data!$A$1:$E$56,3,FALSE)</f>
        <v>18B7</v>
      </c>
      <c r="E288" s="100" t="s">
        <v>116</v>
      </c>
      <c r="F288" s="149">
        <v>45454</v>
      </c>
      <c r="G288" s="149">
        <v>45457</v>
      </c>
      <c r="H288" s="149"/>
      <c r="I288" s="150">
        <v>0.33333333333333331</v>
      </c>
      <c r="J288" s="150">
        <v>0.20833333333333334</v>
      </c>
      <c r="K288" s="150">
        <v>0.625</v>
      </c>
      <c r="L288" s="150">
        <v>0.54166666666666663</v>
      </c>
      <c r="M288" s="150">
        <v>8.3333333333333329E-2</v>
      </c>
      <c r="N288" s="150">
        <v>0.875</v>
      </c>
      <c r="O288" s="100" t="s">
        <v>89</v>
      </c>
      <c r="P288" s="100"/>
      <c r="Q288" s="170" t="e">
        <v>#REF!</v>
      </c>
      <c r="R288" s="171" t="e">
        <v>#REF!</v>
      </c>
      <c r="S288" s="170"/>
      <c r="T288" s="101"/>
      <c r="U288" s="101"/>
      <c r="V288" s="154">
        <f>VLOOKUP(Table2[[#This Row],[Course]],Data!$A$1:$E$56,4,FALSE)</f>
        <v>30</v>
      </c>
      <c r="W288" s="154">
        <f>VLOOKUP(Table2[[#This Row],[Course]],Data!$A$1:$E$56,5,FALSE)</f>
        <v>4</v>
      </c>
      <c r="X288" s="154">
        <v>283</v>
      </c>
      <c r="Y288" s="275">
        <v>30</v>
      </c>
      <c r="Z288" s="275">
        <v>0</v>
      </c>
      <c r="AA288" s="275">
        <v>22</v>
      </c>
      <c r="AB288" s="276">
        <v>2</v>
      </c>
      <c r="AC288" s="275">
        <v>6</v>
      </c>
      <c r="AD288" s="275">
        <v>0</v>
      </c>
      <c r="AE288" s="275">
        <v>0</v>
      </c>
      <c r="AF288" s="271" t="s">
        <v>200</v>
      </c>
      <c r="AG288" s="277">
        <f ca="1">Table2[[#This Row],[End Date]]+2-TODAY()</f>
        <v>-73</v>
      </c>
      <c r="AH288" s="275">
        <f>IF(ISBLANK(Table2[[#This Row],[Roster Received By]]),1,0)</f>
        <v>0</v>
      </c>
      <c r="AI288" s="275">
        <f ca="1">IF(Table2[[#This Row],[Start Date]]&gt;TODAY(),1,)</f>
        <v>0</v>
      </c>
    </row>
    <row r="289" spans="1:35" s="146" customFormat="1" x14ac:dyDescent="0.25">
      <c r="B289" s="229" t="s">
        <v>24</v>
      </c>
      <c r="C289" s="147" t="str">
        <f>VLOOKUP(Table2[[#This Row],[Course]],Data!$A$1:$E$56,2,FALSE)</f>
        <v>A-493-0083</v>
      </c>
      <c r="D289" s="147" t="str">
        <f>VLOOKUP(Table2[[#This Row],[Course]],Data!$A$1:$E$56,3,FALSE)</f>
        <v>339E</v>
      </c>
      <c r="E289" s="100" t="s">
        <v>116</v>
      </c>
      <c r="F289" s="148">
        <v>45461</v>
      </c>
      <c r="G289" s="148">
        <v>45461</v>
      </c>
      <c r="H289" s="148"/>
      <c r="I289" s="150">
        <v>8.3333333333333329E-2</v>
      </c>
      <c r="J289" s="150">
        <v>0.95833333333333337</v>
      </c>
      <c r="K289" s="150">
        <v>0.41666666666666669</v>
      </c>
      <c r="L289" s="150">
        <v>0.33333333333333331</v>
      </c>
      <c r="M289" s="150">
        <v>0.875</v>
      </c>
      <c r="N289" s="150">
        <v>0.66666666666666663</v>
      </c>
      <c r="O289" s="100" t="s">
        <v>78</v>
      </c>
      <c r="P289" s="100"/>
      <c r="Q289" s="155" t="e">
        <v>#REF!</v>
      </c>
      <c r="R289" s="152" t="e">
        <v>#REF!</v>
      </c>
      <c r="S289" s="155"/>
      <c r="V289" s="154">
        <f>VLOOKUP(Table2[[#This Row],[Course]],Data!$A$1:$E$56,4,FALSE)</f>
        <v>30</v>
      </c>
      <c r="W289" s="154">
        <f>VLOOKUP(Table2[[#This Row],[Course]],Data!$A$1:$E$56,5,FALSE)</f>
        <v>1</v>
      </c>
      <c r="X289" s="154">
        <v>0</v>
      </c>
      <c r="Y289" s="275">
        <v>30</v>
      </c>
      <c r="Z289" s="275">
        <v>3</v>
      </c>
      <c r="AA289" s="275">
        <v>22</v>
      </c>
      <c r="AB289" s="276">
        <v>0</v>
      </c>
      <c r="AC289" s="275">
        <v>9</v>
      </c>
      <c r="AD289" s="275">
        <v>1</v>
      </c>
      <c r="AE289" s="276">
        <v>9</v>
      </c>
      <c r="AF289" s="271" t="s">
        <v>191</v>
      </c>
      <c r="AG289" s="277">
        <f ca="1">Table2[[#This Row],[End Date]]+2-TODAY()</f>
        <v>-69</v>
      </c>
      <c r="AH289" s="275">
        <f>IF(ISBLANK(Table2[[#This Row],[Roster Received By]]),1,0)</f>
        <v>0</v>
      </c>
      <c r="AI289" s="275">
        <f ca="1">IF(Table2[[#This Row],[Start Date]]&gt;TODAY(),1,)</f>
        <v>0</v>
      </c>
    </row>
    <row r="290" spans="1:35" s="146" customFormat="1" x14ac:dyDescent="0.25">
      <c r="A290" s="146" t="s">
        <v>517</v>
      </c>
      <c r="B290" s="229" t="s">
        <v>334</v>
      </c>
      <c r="C290" s="147" t="str">
        <f>VLOOKUP(Table2[[#This Row],[Course]],Data!$A$1:$E$56,2,FALSE)</f>
        <v>Holiday</v>
      </c>
      <c r="D290" s="147" t="str">
        <f>VLOOKUP(Table2[[#This Row],[Course]],Data!$A$1:$E$56,3,FALSE)</f>
        <v>Holiday</v>
      </c>
      <c r="E290" s="100"/>
      <c r="F290" s="149">
        <v>45462</v>
      </c>
      <c r="G290" s="149">
        <v>45462</v>
      </c>
      <c r="H290" s="151">
        <v>0</v>
      </c>
      <c r="I290" s="151">
        <v>0</v>
      </c>
      <c r="J290" s="151">
        <v>0</v>
      </c>
      <c r="K290" s="151">
        <v>0</v>
      </c>
      <c r="L290" s="151">
        <v>0</v>
      </c>
      <c r="M290" s="151">
        <v>0</v>
      </c>
      <c r="N290" s="151">
        <v>0</v>
      </c>
      <c r="O290" s="100"/>
      <c r="P290" s="100"/>
      <c r="Q290" s="152" t="e">
        <v>#REF!</v>
      </c>
      <c r="R290" s="152" t="e">
        <v>#REF!</v>
      </c>
      <c r="S290" s="153">
        <v>0</v>
      </c>
      <c r="T290" s="146">
        <v>0</v>
      </c>
      <c r="U290" s="146">
        <v>0</v>
      </c>
      <c r="V290" s="154">
        <f>VLOOKUP(Table2[[#This Row],[Course]],Data!$A$1:$E$56,4,FALSE)</f>
        <v>0</v>
      </c>
      <c r="W290" s="154">
        <f>VLOOKUP(Table2[[#This Row],[Course]],Data!$A$1:$E$56,5,FALSE)</f>
        <v>0</v>
      </c>
      <c r="X290" s="154">
        <v>0</v>
      </c>
      <c r="Y290" s="275">
        <v>0</v>
      </c>
      <c r="Z290" s="275">
        <v>0</v>
      </c>
      <c r="AA290" s="275">
        <v>0</v>
      </c>
      <c r="AB290" s="276">
        <v>0</v>
      </c>
      <c r="AC290" s="275">
        <v>0</v>
      </c>
      <c r="AD290" s="275">
        <v>0</v>
      </c>
      <c r="AE290" s="275">
        <v>0</v>
      </c>
      <c r="AF290" s="271" t="s">
        <v>194</v>
      </c>
      <c r="AG290" s="277">
        <f ca="1">Table2[[#This Row],[End Date]]+2-TODAY()</f>
        <v>-68</v>
      </c>
      <c r="AH290" s="275">
        <f>IF(ISBLANK(Table2[[#This Row],[Roster Received By]]),1,0)</f>
        <v>0</v>
      </c>
      <c r="AI290" s="275">
        <f ca="1">IF(Table2[[#This Row],[Start Date]]&gt;TODAY(),1,)</f>
        <v>0</v>
      </c>
    </row>
    <row r="291" spans="1:35" s="146" customFormat="1" x14ac:dyDescent="0.25">
      <c r="B291" s="228" t="s">
        <v>184</v>
      </c>
      <c r="C291" s="147" t="str">
        <f>VLOOKUP(Table2[[#This Row],[Course]],Data!$A$1:$E$56,2,FALSE)</f>
        <v>A-4J-0022</v>
      </c>
      <c r="D291" s="147" t="str">
        <f>VLOOKUP(Table2[[#This Row],[Course]],Data!$A$1:$E$56,3,FALSE)</f>
        <v>09ER</v>
      </c>
      <c r="E291" s="100" t="s">
        <v>116</v>
      </c>
      <c r="F291" s="148">
        <v>45467</v>
      </c>
      <c r="G291" s="149">
        <v>45471</v>
      </c>
      <c r="H291" s="149"/>
      <c r="I291" s="150">
        <v>0.54166666666666663</v>
      </c>
      <c r="J291" s="150">
        <v>0.41666666666666669</v>
      </c>
      <c r="K291" s="150">
        <v>0.83333333333333337</v>
      </c>
      <c r="L291" s="150">
        <v>0.75</v>
      </c>
      <c r="M291" s="150">
        <v>0.29166666666666669</v>
      </c>
      <c r="N291" s="150">
        <v>8.3333333333333329E-2</v>
      </c>
      <c r="O291" s="146" t="s">
        <v>187</v>
      </c>
      <c r="Q291" s="170" t="e">
        <v>#REF!</v>
      </c>
      <c r="R291" s="171" t="e">
        <v>#REF!</v>
      </c>
      <c r="S291" s="170"/>
      <c r="T291" s="101"/>
      <c r="U291" s="101"/>
      <c r="V291" s="154">
        <f>VLOOKUP(Table2[[#This Row],[Course]],Data!$A$1:$E$56,4,FALSE)</f>
        <v>45</v>
      </c>
      <c r="W291" s="154">
        <f>VLOOKUP(Table2[[#This Row],[Course]],Data!$A$1:$E$56,5,FALSE)</f>
        <v>5</v>
      </c>
      <c r="X291" s="154">
        <v>282</v>
      </c>
      <c r="Y291" s="275">
        <v>17</v>
      </c>
      <c r="Z291" s="275">
        <v>0</v>
      </c>
      <c r="AA291" s="275">
        <v>15</v>
      </c>
      <c r="AB291" s="276">
        <v>0</v>
      </c>
      <c r="AC291" s="275">
        <v>2</v>
      </c>
      <c r="AD291" s="275">
        <v>0</v>
      </c>
      <c r="AE291" s="275">
        <v>0</v>
      </c>
      <c r="AF291" s="271" t="s">
        <v>213</v>
      </c>
      <c r="AG291" s="277">
        <f ca="1">Table2[[#This Row],[End Date]]+2-TODAY()</f>
        <v>-59</v>
      </c>
      <c r="AH291" s="275">
        <f>IF(ISBLANK(Table2[[#This Row],[Roster Received By]]),1,0)</f>
        <v>0</v>
      </c>
      <c r="AI291" s="275">
        <f ca="1">IF(Table2[[#This Row],[Start Date]]&gt;TODAY(),1,)</f>
        <v>0</v>
      </c>
    </row>
    <row r="292" spans="1:35" s="146" customFormat="1" x14ac:dyDescent="0.25">
      <c r="B292" s="228" t="s">
        <v>236</v>
      </c>
      <c r="C292" s="147" t="str">
        <f>VLOOKUP(Table2[[#This Row],[Course]],Data!$A$1:$E$56,2,FALSE)</f>
        <v>A-493-0103</v>
      </c>
      <c r="D292" s="147" t="str">
        <f>VLOOKUP(Table2[[#This Row],[Course]],Data!$A$1:$E$56,3,FALSE)</f>
        <v>12JY</v>
      </c>
      <c r="E292" s="100" t="s">
        <v>109</v>
      </c>
      <c r="F292" s="149">
        <v>45467</v>
      </c>
      <c r="G292" s="149">
        <v>45471</v>
      </c>
      <c r="H292" s="151">
        <v>0.33333333333333331</v>
      </c>
      <c r="I292" s="151"/>
      <c r="J292" s="149"/>
      <c r="K292" s="149"/>
      <c r="L292" s="149"/>
      <c r="M292" s="149"/>
      <c r="N292" s="149"/>
      <c r="O292" s="100" t="s">
        <v>94</v>
      </c>
      <c r="P292" s="100"/>
      <c r="Q292" s="152" t="e">
        <v>#REF!</v>
      </c>
      <c r="R292" s="152" t="e">
        <v>#REF!</v>
      </c>
      <c r="S292" s="153"/>
      <c r="V292" s="154">
        <f>VLOOKUP(Table2[[#This Row],[Course]],Data!$A$1:$E$56,4,FALSE)</f>
        <v>25</v>
      </c>
      <c r="W292" s="154">
        <f>VLOOKUP(Table2[[#This Row],[Course]],Data!$A$1:$E$56,5,FALSE)</f>
        <v>5</v>
      </c>
      <c r="X292" s="154">
        <v>152</v>
      </c>
      <c r="Y292" s="275">
        <v>28</v>
      </c>
      <c r="Z292" s="275">
        <v>0</v>
      </c>
      <c r="AA292" s="275">
        <v>24</v>
      </c>
      <c r="AB292" s="276">
        <v>0</v>
      </c>
      <c r="AC292" s="275">
        <v>4</v>
      </c>
      <c r="AD292" s="275">
        <v>2</v>
      </c>
      <c r="AE292" s="275">
        <v>0</v>
      </c>
      <c r="AF292" s="271" t="s">
        <v>189</v>
      </c>
      <c r="AG292" s="277">
        <f ca="1">Table2[[#This Row],[End Date]]+2-TODAY()</f>
        <v>-59</v>
      </c>
      <c r="AH292" s="275">
        <f>IF(ISBLANK(Table2[[#This Row],[Roster Received By]]),1,0)</f>
        <v>0</v>
      </c>
      <c r="AI292" s="275">
        <f ca="1">IF(Table2[[#This Row],[Start Date]]&gt;TODAY(),1,)</f>
        <v>0</v>
      </c>
    </row>
    <row r="293" spans="1:35" s="146" customFormat="1" x14ac:dyDescent="0.25">
      <c r="A293" s="205"/>
      <c r="B293" s="229" t="s">
        <v>236</v>
      </c>
      <c r="C293" s="147" t="str">
        <f>VLOOKUP(Table2[[#This Row],[Course]],Data!$A$1:$E$56,2,FALSE)</f>
        <v>A-493-0103</v>
      </c>
      <c r="D293" s="147" t="str">
        <f>VLOOKUP(Table2[[#This Row],[Course]],Data!$A$1:$E$56,3,FALSE)</f>
        <v>12JY</v>
      </c>
      <c r="E293" s="118" t="s">
        <v>140</v>
      </c>
      <c r="F293" s="149">
        <v>45467</v>
      </c>
      <c r="G293" s="149">
        <v>45471</v>
      </c>
      <c r="H293" s="151">
        <v>0.33333333333333331</v>
      </c>
      <c r="I293" s="151"/>
      <c r="J293" s="149"/>
      <c r="K293" s="149"/>
      <c r="L293" s="149"/>
      <c r="M293" s="149"/>
      <c r="N293" s="149"/>
      <c r="O293" s="100" t="s">
        <v>94</v>
      </c>
      <c r="P293" s="100"/>
      <c r="Q293" s="171" t="e">
        <v>#REF!</v>
      </c>
      <c r="R293" s="171" t="e">
        <v>#REF!</v>
      </c>
      <c r="S293" s="189"/>
      <c r="T293" s="101"/>
      <c r="U293" s="166"/>
      <c r="V293" s="154">
        <f>VLOOKUP(Table2[[#This Row],[Course]],Data!$A$1:$E$56,4,FALSE)</f>
        <v>25</v>
      </c>
      <c r="W293" s="154">
        <f>VLOOKUP(Table2[[#This Row],[Course]],Data!$A$1:$E$56,5,FALSE)</f>
        <v>5</v>
      </c>
      <c r="X293" s="154">
        <v>388</v>
      </c>
      <c r="Y293" s="275">
        <v>28</v>
      </c>
      <c r="Z293" s="275">
        <v>0</v>
      </c>
      <c r="AA293" s="275">
        <v>17</v>
      </c>
      <c r="AB293" s="276">
        <v>0</v>
      </c>
      <c r="AC293" s="275">
        <v>10</v>
      </c>
      <c r="AD293" s="275">
        <v>4</v>
      </c>
      <c r="AE293" s="275">
        <v>0</v>
      </c>
      <c r="AF293" s="271" t="s">
        <v>189</v>
      </c>
      <c r="AG293" s="277">
        <f ca="1">Table2[[#This Row],[End Date]]+2-TODAY()</f>
        <v>-59</v>
      </c>
      <c r="AH293" s="275">
        <f>IF(ISBLANK(Table2[[#This Row],[Roster Received By]]),1,0)</f>
        <v>0</v>
      </c>
      <c r="AI293" s="275">
        <f ca="1">IF(Table2[[#This Row],[Start Date]]&gt;TODAY(),1,)</f>
        <v>0</v>
      </c>
    </row>
    <row r="294" spans="1:35" s="146" customFormat="1" x14ac:dyDescent="0.25">
      <c r="B294" s="229" t="s">
        <v>17</v>
      </c>
      <c r="C294" s="147" t="str">
        <f>VLOOKUP(Table2[[#This Row],[Course]],Data!$A$1:$E$56,2,FALSE)</f>
        <v>A-493-0012</v>
      </c>
      <c r="D294" s="147">
        <f>VLOOKUP(Table2[[#This Row],[Course]],Data!$A$1:$E$56,3,FALSE)</f>
        <v>3682</v>
      </c>
      <c r="E294" s="100" t="s">
        <v>345</v>
      </c>
      <c r="F294" s="149">
        <v>45467</v>
      </c>
      <c r="G294" s="149">
        <v>45471</v>
      </c>
      <c r="H294" s="151">
        <v>0.33333333333333331</v>
      </c>
      <c r="I294" s="151"/>
      <c r="J294" s="151"/>
      <c r="K294" s="151"/>
      <c r="L294" s="151"/>
      <c r="M294" s="151"/>
      <c r="N294" s="149"/>
      <c r="O294" s="146" t="s">
        <v>78</v>
      </c>
      <c r="Q294" s="152" t="e">
        <v>#REF!</v>
      </c>
      <c r="R294" s="152" t="e">
        <v>#REF!</v>
      </c>
      <c r="S294" s="153"/>
      <c r="V294" s="154">
        <f>VLOOKUP(Table2[[#This Row],[Course]],Data!$A$1:$E$56,4,FALSE)</f>
        <v>40</v>
      </c>
      <c r="W294" s="154">
        <f>VLOOKUP(Table2[[#This Row],[Course]],Data!$A$1:$E$56,5,FALSE)</f>
        <v>5</v>
      </c>
      <c r="X294" s="154">
        <v>0</v>
      </c>
      <c r="Y294" s="275">
        <v>5</v>
      </c>
      <c r="Z294" s="275">
        <v>0</v>
      </c>
      <c r="AA294" s="275">
        <v>21</v>
      </c>
      <c r="AB294" s="276">
        <v>5</v>
      </c>
      <c r="AC294" s="275">
        <v>6</v>
      </c>
      <c r="AD294" s="275">
        <v>16</v>
      </c>
      <c r="AE294" s="275">
        <v>0</v>
      </c>
      <c r="AF294" s="271" t="s">
        <v>191</v>
      </c>
      <c r="AG294" s="277">
        <f ca="1">Table2[[#This Row],[End Date]]+2-TODAY()</f>
        <v>-59</v>
      </c>
      <c r="AH294" s="275">
        <f>IF(ISBLANK(Table2[[#This Row],[Roster Received By]]),1,0)</f>
        <v>0</v>
      </c>
      <c r="AI294" s="275">
        <f ca="1">IF(Table2[[#This Row],[Start Date]]&gt;TODAY(),1,)</f>
        <v>0</v>
      </c>
    </row>
    <row r="295" spans="1:35" s="146" customFormat="1" x14ac:dyDescent="0.25">
      <c r="B295" s="228" t="s">
        <v>17</v>
      </c>
      <c r="C295" s="147" t="str">
        <f>VLOOKUP(Table2[[#This Row],[Course]],Data!$A$1:$E$56,2,FALSE)</f>
        <v>A-493-0012</v>
      </c>
      <c r="D295" s="147">
        <f>VLOOKUP(Table2[[#This Row],[Course]],Data!$A$1:$E$56,3,FALSE)</f>
        <v>3682</v>
      </c>
      <c r="E295" s="100" t="s">
        <v>103</v>
      </c>
      <c r="F295" s="149">
        <v>45467</v>
      </c>
      <c r="G295" s="149">
        <v>45471</v>
      </c>
      <c r="H295" s="151">
        <v>0.33333333333333331</v>
      </c>
      <c r="I295" s="151"/>
      <c r="J295" s="151"/>
      <c r="K295" s="151"/>
      <c r="L295" s="151"/>
      <c r="M295" s="151"/>
      <c r="N295" s="149"/>
      <c r="O295" s="146" t="s">
        <v>78</v>
      </c>
      <c r="Q295" s="171" t="e">
        <v>#REF!</v>
      </c>
      <c r="R295" s="171" t="e">
        <v>#REF!</v>
      </c>
      <c r="S295" s="173"/>
      <c r="T295" s="101"/>
      <c r="U295" s="101"/>
      <c r="V295" s="154">
        <f>VLOOKUP(Table2[[#This Row],[Course]],Data!$A$1:$E$56,4,FALSE)</f>
        <v>40</v>
      </c>
      <c r="W295" s="154">
        <f>VLOOKUP(Table2[[#This Row],[Course]],Data!$A$1:$E$56,5,FALSE)</f>
        <v>5</v>
      </c>
      <c r="X295" s="154">
        <v>56</v>
      </c>
      <c r="Y295" s="275">
        <v>33</v>
      </c>
      <c r="Z295" s="275">
        <v>0</v>
      </c>
      <c r="AA295" s="275">
        <v>40</v>
      </c>
      <c r="AB295" s="276">
        <v>0</v>
      </c>
      <c r="AC295" s="275">
        <v>0</v>
      </c>
      <c r="AD295" s="275">
        <v>7</v>
      </c>
      <c r="AE295" s="272">
        <v>0</v>
      </c>
      <c r="AF295" s="271" t="s">
        <v>191</v>
      </c>
      <c r="AG295" s="277">
        <f ca="1">Table2[[#This Row],[End Date]]+2-TODAY()</f>
        <v>-59</v>
      </c>
      <c r="AH295" s="275">
        <f>IF(ISBLANK(Table2[[#This Row],[Roster Received By]]),1,0)</f>
        <v>0</v>
      </c>
      <c r="AI295" s="275">
        <f ca="1">IF(Table2[[#This Row],[Start Date]]&gt;TODAY(),1,)</f>
        <v>0</v>
      </c>
    </row>
    <row r="296" spans="1:35" s="146" customFormat="1" x14ac:dyDescent="0.25">
      <c r="B296" s="228" t="s">
        <v>249</v>
      </c>
      <c r="C296" s="147" t="str">
        <f>VLOOKUP(Table2[[#This Row],[Course]],Data!$A$1:$E$56,2,FALSE)</f>
        <v>A-322-2604</v>
      </c>
      <c r="D296" s="147" t="str">
        <f>VLOOKUP(Table2[[#This Row],[Course]],Data!$A$1:$E$56,3,FALSE)</f>
        <v>10ZZ</v>
      </c>
      <c r="E296" s="100" t="s">
        <v>116</v>
      </c>
      <c r="F296" s="149">
        <v>45467</v>
      </c>
      <c r="G296" s="149">
        <v>45471</v>
      </c>
      <c r="H296" s="149"/>
      <c r="I296" s="150">
        <v>0.54166666666666663</v>
      </c>
      <c r="J296" s="150">
        <v>0.41666666666666669</v>
      </c>
      <c r="K296" s="150">
        <v>0.83333333333333337</v>
      </c>
      <c r="L296" s="150">
        <v>0.75</v>
      </c>
      <c r="M296" s="150">
        <v>0.29166666666666669</v>
      </c>
      <c r="N296" s="150">
        <v>8.3333333333333329E-2</v>
      </c>
      <c r="O296" s="100" t="s">
        <v>266</v>
      </c>
      <c r="P296" s="100"/>
      <c r="Q296" s="170" t="e">
        <v>#REF!</v>
      </c>
      <c r="R296" s="171" t="e">
        <v>#REF!</v>
      </c>
      <c r="S296" s="170"/>
      <c r="T296" s="101"/>
      <c r="U296" s="101"/>
      <c r="V296" s="154">
        <f>VLOOKUP(Table2[[#This Row],[Course]],Data!$A$1:$E$56,4,FALSE)</f>
        <v>45</v>
      </c>
      <c r="W296" s="154">
        <f>VLOOKUP(Table2[[#This Row],[Course]],Data!$A$1:$E$56,5,FALSE)</f>
        <v>5</v>
      </c>
      <c r="X296" s="154">
        <v>653</v>
      </c>
      <c r="Y296" s="275">
        <v>45</v>
      </c>
      <c r="Z296" s="275">
        <v>1</v>
      </c>
      <c r="AA296" s="275">
        <v>38</v>
      </c>
      <c r="AB296" s="276">
        <v>0</v>
      </c>
      <c r="AC296" s="275">
        <v>8</v>
      </c>
      <c r="AD296" s="275">
        <v>1</v>
      </c>
      <c r="AE296" s="275">
        <v>0</v>
      </c>
      <c r="AF296" s="271" t="s">
        <v>200</v>
      </c>
      <c r="AG296" s="277">
        <f ca="1">Table2[[#This Row],[End Date]]+2-TODAY()</f>
        <v>-59</v>
      </c>
      <c r="AH296" s="275">
        <f>IF(ISBLANK(Table2[[#This Row],[Roster Received By]]),1,0)</f>
        <v>0</v>
      </c>
      <c r="AI296" s="275">
        <f ca="1">IF(Table2[[#This Row],[Start Date]]&gt;TODAY(),1,)</f>
        <v>0</v>
      </c>
    </row>
    <row r="297" spans="1:35" s="146" customFormat="1" x14ac:dyDescent="0.25">
      <c r="B297" s="228" t="s">
        <v>274</v>
      </c>
      <c r="C297" s="147" t="str">
        <f>VLOOKUP(Table2[[#This Row],[Course]],Data!$A$1:$E$56,2,FALSE)</f>
        <v>A-493-0335</v>
      </c>
      <c r="D297" s="147" t="str">
        <f>VLOOKUP(Table2[[#This Row],[Course]],Data!$A$1:$E$56,3,FALSE)</f>
        <v>09ND</v>
      </c>
      <c r="E297" s="100" t="s">
        <v>116</v>
      </c>
      <c r="F297" s="149">
        <v>45467</v>
      </c>
      <c r="G297" s="149">
        <v>45470</v>
      </c>
      <c r="H297" s="149"/>
      <c r="I297" s="150">
        <v>0.5</v>
      </c>
      <c r="J297" s="150">
        <v>0.375</v>
      </c>
      <c r="K297" s="150">
        <v>0.79166666666666663</v>
      </c>
      <c r="L297" s="150">
        <v>0.70833333333333337</v>
      </c>
      <c r="M297" s="150">
        <v>0.25</v>
      </c>
      <c r="N297" s="150">
        <v>4.1666666666666664E-2</v>
      </c>
      <c r="O297" s="100" t="s">
        <v>81</v>
      </c>
      <c r="P297" s="100"/>
      <c r="Q297" s="152" t="e">
        <v>#REF!</v>
      </c>
      <c r="R297" s="152" t="e">
        <v>#REF!</v>
      </c>
      <c r="S297" s="152"/>
      <c r="V297" s="154">
        <f>VLOOKUP(Table2[[#This Row],[Course]],Data!$A$1:$E$56,4,FALSE)</f>
        <v>30</v>
      </c>
      <c r="W297" s="154">
        <f>VLOOKUP(Table2[[#This Row],[Course]],Data!$A$1:$E$56,5,FALSE)</f>
        <v>4</v>
      </c>
      <c r="X297" s="154">
        <v>499</v>
      </c>
      <c r="Y297" s="275">
        <v>26</v>
      </c>
      <c r="Z297" s="275">
        <v>0</v>
      </c>
      <c r="AA297" s="275">
        <v>23</v>
      </c>
      <c r="AB297" s="276">
        <v>0</v>
      </c>
      <c r="AC297" s="275">
        <v>3</v>
      </c>
      <c r="AD297" s="275">
        <v>0</v>
      </c>
      <c r="AE297" s="275">
        <v>0</v>
      </c>
      <c r="AF297" s="271" t="s">
        <v>208</v>
      </c>
      <c r="AG297" s="277">
        <f ca="1">Table2[[#This Row],[End Date]]+2-TODAY()</f>
        <v>-60</v>
      </c>
      <c r="AH297" s="275">
        <f>IF(ISBLANK(Table2[[#This Row],[Roster Received By]]),1,0)</f>
        <v>0</v>
      </c>
      <c r="AI297" s="275">
        <f ca="1">IF(Table2[[#This Row],[Start Date]]&gt;TODAY(),1,)</f>
        <v>0</v>
      </c>
    </row>
    <row r="298" spans="1:35" s="146" customFormat="1" x14ac:dyDescent="0.25">
      <c r="B298" s="228" t="s">
        <v>281</v>
      </c>
      <c r="C298" s="147" t="str">
        <f>VLOOKUP(Table2[[#This Row],[Course]],Data!$A$1:$E$56,2,FALSE)</f>
        <v>A-493-0550</v>
      </c>
      <c r="D298" s="147" t="str">
        <f>VLOOKUP(Table2[[#This Row],[Course]],Data!$A$1:$E$56,3,FALSE)</f>
        <v>09K5</v>
      </c>
      <c r="E298" s="285" t="s">
        <v>116</v>
      </c>
      <c r="F298" s="292">
        <v>45467</v>
      </c>
      <c r="G298" s="292">
        <v>45471</v>
      </c>
      <c r="H298" s="149"/>
      <c r="I298" s="150">
        <v>0.41666666666666669</v>
      </c>
      <c r="J298" s="150">
        <v>0.29166666666666669</v>
      </c>
      <c r="K298" s="150">
        <v>0.70833333333333337</v>
      </c>
      <c r="L298" s="150">
        <v>0.625</v>
      </c>
      <c r="M298" s="150">
        <v>0.16666666666666666</v>
      </c>
      <c r="N298" s="150">
        <v>0.95833333333333337</v>
      </c>
      <c r="O298" s="100" t="s">
        <v>88</v>
      </c>
      <c r="P298" s="100"/>
      <c r="Q298" s="171" t="e">
        <v>#REF!</v>
      </c>
      <c r="R298" s="171" t="e">
        <v>#REF!</v>
      </c>
      <c r="S298" s="173"/>
      <c r="T298" s="101"/>
      <c r="U298" s="101"/>
      <c r="V298" s="154">
        <f>VLOOKUP(Table2[[#This Row],[Course]],Data!$A$1:$E$56,4,FALSE)</f>
        <v>45</v>
      </c>
      <c r="W298" s="154">
        <f>VLOOKUP(Table2[[#This Row],[Course]],Data!$A$1:$E$56,5,FALSE)</f>
        <v>4</v>
      </c>
      <c r="X298" s="154">
        <v>429</v>
      </c>
      <c r="Y298" s="275">
        <v>45</v>
      </c>
      <c r="Z298" s="275">
        <v>0</v>
      </c>
      <c r="AA298" s="275">
        <v>29</v>
      </c>
      <c r="AB298" s="276">
        <v>0</v>
      </c>
      <c r="AC298" s="275">
        <v>16</v>
      </c>
      <c r="AD298" s="275">
        <v>0</v>
      </c>
      <c r="AE298" s="275">
        <v>0</v>
      </c>
      <c r="AF298" s="271" t="s">
        <v>189</v>
      </c>
      <c r="AG298" s="277">
        <f ca="1">Table2[[#This Row],[End Date]]+2-TODAY()</f>
        <v>-59</v>
      </c>
      <c r="AH298" s="275">
        <f>IF(ISBLANK(Table2[[#This Row],[Roster Received By]]),1,0)</f>
        <v>0</v>
      </c>
      <c r="AI298" s="275">
        <f ca="1">IF(Table2[[#This Row],[Start Date]]&gt;TODAY(),1,)</f>
        <v>0</v>
      </c>
    </row>
    <row r="299" spans="1:35" s="146" customFormat="1" x14ac:dyDescent="0.25">
      <c r="B299" s="228" t="s">
        <v>292</v>
      </c>
      <c r="C299" s="147" t="str">
        <f>VLOOKUP(Table2[[#This Row],[Course]],Data!$A$1:$E$56,2,FALSE)</f>
        <v>A-493-0078</v>
      </c>
      <c r="D299" s="147">
        <f>VLOOKUP(Table2[[#This Row],[Course]],Data!$A$1:$E$56,3,FALSE)</f>
        <v>1228</v>
      </c>
      <c r="E299" s="285" t="s">
        <v>116</v>
      </c>
      <c r="F299" s="292">
        <v>45467</v>
      </c>
      <c r="G299" s="292">
        <v>45471</v>
      </c>
      <c r="H299" s="149"/>
      <c r="I299" s="150">
        <v>0.33333333333333331</v>
      </c>
      <c r="J299" s="150">
        <v>0.20833333333333334</v>
      </c>
      <c r="K299" s="150">
        <v>0.625</v>
      </c>
      <c r="L299" s="150">
        <v>0.54166666666666663</v>
      </c>
      <c r="M299" s="150">
        <v>8.3333333333333329E-2</v>
      </c>
      <c r="N299" s="150">
        <v>0.875</v>
      </c>
      <c r="O299" s="100" t="s">
        <v>80</v>
      </c>
      <c r="P299" s="100"/>
      <c r="Q299" s="171" t="e">
        <v>#REF!</v>
      </c>
      <c r="R299" s="171" t="e">
        <v>#REF!</v>
      </c>
      <c r="S299" s="173"/>
      <c r="T299" s="101"/>
      <c r="U299" s="101"/>
      <c r="V299" s="154">
        <f>VLOOKUP(Table2[[#This Row],[Course]],Data!$A$1:$E$56,4,FALSE)</f>
        <v>45</v>
      </c>
      <c r="W299" s="154">
        <f>VLOOKUP(Table2[[#This Row],[Course]],Data!$A$1:$E$56,5,FALSE)</f>
        <v>5</v>
      </c>
      <c r="X299" s="154">
        <v>600</v>
      </c>
      <c r="Y299" s="275">
        <v>28</v>
      </c>
      <c r="Z299" s="275">
        <v>0</v>
      </c>
      <c r="AA299" s="275">
        <v>23</v>
      </c>
      <c r="AB299" s="276">
        <v>1</v>
      </c>
      <c r="AC299" s="275">
        <v>4</v>
      </c>
      <c r="AD299" s="275">
        <v>0</v>
      </c>
      <c r="AE299" s="275">
        <v>0</v>
      </c>
      <c r="AF299" s="271" t="s">
        <v>189</v>
      </c>
      <c r="AG299" s="277">
        <f ca="1">Table2[[#This Row],[End Date]]+2-TODAY()</f>
        <v>-59</v>
      </c>
      <c r="AH299" s="275">
        <f>IF(ISBLANK(Table2[[#This Row],[Roster Received By]]),1,0)</f>
        <v>0</v>
      </c>
      <c r="AI299" s="275">
        <f ca="1">IF(Table2[[#This Row],[Start Date]]&gt;TODAY(),1,)</f>
        <v>0</v>
      </c>
    </row>
    <row r="300" spans="1:35" s="146" customFormat="1" x14ac:dyDescent="0.25">
      <c r="B300" s="228" t="s">
        <v>303</v>
      </c>
      <c r="C300" s="147" t="str">
        <f>VLOOKUP(Table2[[#This Row],[Course]],Data!$A$1:$E$56,2,FALSE)</f>
        <v>A-570-0100</v>
      </c>
      <c r="D300" s="147" t="str">
        <f>VLOOKUP(Table2[[#This Row],[Course]],Data!$A$1:$E$56,3,FALSE)</f>
        <v>18B7</v>
      </c>
      <c r="E300" s="100" t="s">
        <v>116</v>
      </c>
      <c r="F300" s="149">
        <v>45467</v>
      </c>
      <c r="G300" s="149">
        <v>45470</v>
      </c>
      <c r="H300" s="149"/>
      <c r="I300" s="150">
        <v>0.54166666666666663</v>
      </c>
      <c r="J300" s="150">
        <v>0.41666666666666669</v>
      </c>
      <c r="K300" s="150">
        <v>0.83333333333333337</v>
      </c>
      <c r="L300" s="150">
        <v>0.75</v>
      </c>
      <c r="M300" s="150">
        <v>0.29166666666666669</v>
      </c>
      <c r="N300" s="150">
        <v>8.3333333333333329E-2</v>
      </c>
      <c r="O300" s="100" t="s">
        <v>89</v>
      </c>
      <c r="P300" s="100"/>
      <c r="Q300" s="170" t="e">
        <v>#REF!</v>
      </c>
      <c r="R300" s="171" t="e">
        <v>#REF!</v>
      </c>
      <c r="S300" s="170"/>
      <c r="T300" s="101"/>
      <c r="U300" s="101"/>
      <c r="V300" s="154">
        <f>VLOOKUP(Table2[[#This Row],[Course]],Data!$A$1:$E$56,4,FALSE)</f>
        <v>30</v>
      </c>
      <c r="W300" s="154">
        <f>VLOOKUP(Table2[[#This Row],[Course]],Data!$A$1:$E$56,5,FALSE)</f>
        <v>4</v>
      </c>
      <c r="X300" s="154">
        <v>459</v>
      </c>
      <c r="Y300" s="275">
        <v>25</v>
      </c>
      <c r="Z300" s="275">
        <v>0</v>
      </c>
      <c r="AA300" s="275">
        <v>18</v>
      </c>
      <c r="AB300" s="276">
        <v>2</v>
      </c>
      <c r="AC300" s="275">
        <v>5</v>
      </c>
      <c r="AD300" s="275">
        <v>0</v>
      </c>
      <c r="AE300" s="275">
        <v>0</v>
      </c>
      <c r="AF300" s="271" t="s">
        <v>200</v>
      </c>
      <c r="AG300" s="277">
        <f ca="1">Table2[[#This Row],[End Date]]+2-TODAY()</f>
        <v>-60</v>
      </c>
      <c r="AH300" s="275">
        <f>IF(ISBLANK(Table2[[#This Row],[Roster Received By]]),1,0)</f>
        <v>0</v>
      </c>
      <c r="AI300" s="275">
        <f ca="1">IF(Table2[[#This Row],[Start Date]]&gt;TODAY(),1,)</f>
        <v>0</v>
      </c>
    </row>
    <row r="301" spans="1:35" s="146" customFormat="1" x14ac:dyDescent="0.25">
      <c r="B301" s="229" t="s">
        <v>38</v>
      </c>
      <c r="C301" s="147" t="str">
        <f>VLOOKUP(Table2[[#This Row],[Course]],Data!$A$1:$E$56,2,FALSE)</f>
        <v>A-493-0072</v>
      </c>
      <c r="D301" s="147" t="str">
        <f>VLOOKUP(Table2[[#This Row],[Course]],Data!$A$1:$E$56,3,FALSE)</f>
        <v>713U</v>
      </c>
      <c r="E301" s="100" t="s">
        <v>148</v>
      </c>
      <c r="F301" s="149">
        <v>45467</v>
      </c>
      <c r="G301" s="149">
        <v>45470</v>
      </c>
      <c r="H301" s="162">
        <v>0.33333333333333331</v>
      </c>
      <c r="I301" s="162"/>
      <c r="J301" s="149"/>
      <c r="K301" s="149"/>
      <c r="L301" s="149"/>
      <c r="M301" s="149"/>
      <c r="N301" s="149"/>
      <c r="O301" s="100" t="s">
        <v>198</v>
      </c>
      <c r="P301" s="100" t="s">
        <v>90</v>
      </c>
      <c r="Q301" s="152" t="e">
        <v>#REF!</v>
      </c>
      <c r="R301" s="152" t="e">
        <v>#REF!</v>
      </c>
      <c r="S301" s="153"/>
      <c r="V301" s="154">
        <f>VLOOKUP(Table2[[#This Row],[Course]],Data!$A$1:$E$56,4,FALSE)</f>
        <v>30</v>
      </c>
      <c r="W301" s="154">
        <f>VLOOKUP(Table2[[#This Row],[Course]],Data!$A$1:$E$56,5,FALSE)</f>
        <v>4</v>
      </c>
      <c r="X301" s="154">
        <v>3</v>
      </c>
      <c r="Y301" s="275">
        <v>24</v>
      </c>
      <c r="Z301" s="275">
        <v>1</v>
      </c>
      <c r="AA301" s="275">
        <v>25</v>
      </c>
      <c r="AB301" s="276">
        <v>0</v>
      </c>
      <c r="AC301" s="275">
        <v>5</v>
      </c>
      <c r="AD301" s="275">
        <v>7</v>
      </c>
      <c r="AE301" s="275">
        <v>0</v>
      </c>
      <c r="AF301" s="271" t="s">
        <v>208</v>
      </c>
      <c r="AG301" s="277">
        <f ca="1">Table2[[#This Row],[End Date]]+2-TODAY()</f>
        <v>-60</v>
      </c>
      <c r="AH301" s="275">
        <f>IF(ISBLANK(Table2[[#This Row],[Roster Received By]]),1,0)</f>
        <v>0</v>
      </c>
      <c r="AI301" s="275">
        <f ca="1">IF(Table2[[#This Row],[Start Date]]&gt;TODAY(),1,)</f>
        <v>0</v>
      </c>
    </row>
    <row r="302" spans="1:35" s="146" customFormat="1" x14ac:dyDescent="0.25">
      <c r="B302" s="229" t="s">
        <v>288</v>
      </c>
      <c r="C302" s="147" t="str">
        <f>VLOOKUP(Table2[[#This Row],[Course]],Data!$A$1:$E$56,2,FALSE)</f>
        <v>A-493-0073</v>
      </c>
      <c r="D302" s="147" t="str">
        <f>VLOOKUP(Table2[[#This Row],[Course]],Data!$A$1:$E$56,3,FALSE)</f>
        <v>714S</v>
      </c>
      <c r="E302" s="285" t="s">
        <v>116</v>
      </c>
      <c r="F302" s="292">
        <v>45468</v>
      </c>
      <c r="G302" s="292">
        <v>45471</v>
      </c>
      <c r="H302" s="149"/>
      <c r="I302" s="150">
        <v>0.79166666666666663</v>
      </c>
      <c r="J302" s="150">
        <v>0.66666666666666663</v>
      </c>
      <c r="K302" s="150">
        <v>8.3333333333333329E-2</v>
      </c>
      <c r="L302" s="150">
        <v>0</v>
      </c>
      <c r="M302" s="150">
        <v>0.54166666666666663</v>
      </c>
      <c r="N302" s="150">
        <v>0.33333333333333331</v>
      </c>
      <c r="O302" s="100" t="s">
        <v>94</v>
      </c>
      <c r="P302" s="100"/>
      <c r="Q302" s="152" t="e">
        <v>#REF!</v>
      </c>
      <c r="R302" s="152" t="e">
        <v>#REF!</v>
      </c>
      <c r="S302" s="153"/>
      <c r="V302" s="154">
        <f>VLOOKUP(Table2[[#This Row],[Course]],Data!$A$1:$E$56,4,FALSE)</f>
        <v>30</v>
      </c>
      <c r="W302" s="154">
        <f>VLOOKUP(Table2[[#This Row],[Course]],Data!$A$1:$E$56,5,FALSE)</f>
        <v>4</v>
      </c>
      <c r="X302" s="154">
        <v>71</v>
      </c>
      <c r="Y302" s="275">
        <v>18</v>
      </c>
      <c r="Z302" s="275">
        <v>0</v>
      </c>
      <c r="AA302" s="275">
        <v>11</v>
      </c>
      <c r="AB302" s="276">
        <v>0</v>
      </c>
      <c r="AC302" s="275">
        <v>7</v>
      </c>
      <c r="AD302" s="275">
        <v>0</v>
      </c>
      <c r="AE302" s="276">
        <v>0</v>
      </c>
      <c r="AF302" s="271" t="s">
        <v>189</v>
      </c>
      <c r="AG302" s="277">
        <f ca="1">Table2[[#This Row],[End Date]]+2-TODAY()</f>
        <v>-59</v>
      </c>
      <c r="AH302" s="275">
        <f>IF(ISBLANK(Table2[[#This Row],[Roster Received By]]),1,0)</f>
        <v>0</v>
      </c>
      <c r="AI302" s="275">
        <f ca="1">IF(Table2[[#This Row],[Start Date]]&gt;TODAY(),1,)</f>
        <v>0</v>
      </c>
    </row>
    <row r="303" spans="1:35" s="146" customFormat="1" x14ac:dyDescent="0.25">
      <c r="A303" s="158"/>
      <c r="B303" s="229" t="s">
        <v>35</v>
      </c>
      <c r="C303" s="160" t="str">
        <f>VLOOKUP(Table2[[#This Row],[Course]],Data!$A$1:$E$56,2,FALSE)</f>
        <v>A-493-2501</v>
      </c>
      <c r="D303" s="160" t="str">
        <f>VLOOKUP(Table2[[#This Row],[Course]],Data!$A$1:$E$56,3,FALSE)</f>
        <v>05ZE</v>
      </c>
      <c r="E303" s="159" t="s">
        <v>362</v>
      </c>
      <c r="F303" s="395">
        <v>45475</v>
      </c>
      <c r="G303" s="395">
        <v>45475</v>
      </c>
      <c r="H303" s="151">
        <v>0.33333333333333331</v>
      </c>
      <c r="I303" s="163"/>
      <c r="J303" s="161"/>
      <c r="K303" s="161"/>
      <c r="L303" s="161"/>
      <c r="M303" s="161"/>
      <c r="N303" s="161"/>
      <c r="O303" s="159" t="s">
        <v>78</v>
      </c>
      <c r="P303" s="159"/>
      <c r="Q303" s="179"/>
      <c r="R303" s="180"/>
      <c r="S303" s="179"/>
      <c r="T303" s="174"/>
      <c r="U303" s="174"/>
      <c r="V303" s="164">
        <v>30</v>
      </c>
      <c r="W303" s="165">
        <v>1</v>
      </c>
      <c r="X303" s="165">
        <v>0</v>
      </c>
      <c r="Y303" s="353">
        <v>16</v>
      </c>
      <c r="Z303" s="353">
        <v>0</v>
      </c>
      <c r="AA303" s="338">
        <v>16</v>
      </c>
      <c r="AB303" s="338">
        <v>0</v>
      </c>
      <c r="AC303" s="339">
        <v>1</v>
      </c>
      <c r="AD303" s="339">
        <v>13</v>
      </c>
      <c r="AE303" s="348">
        <v>0</v>
      </c>
      <c r="AF303" s="382" t="s">
        <v>191</v>
      </c>
      <c r="AG303" s="374">
        <f ca="1">Table2[[#This Row],[End Date]]+2-TODAY()</f>
        <v>-55</v>
      </c>
      <c r="AH303" s="339">
        <f>IF(ISBLANK(Table2[[#This Row],[Roster Received By]]),1,0)</f>
        <v>0</v>
      </c>
      <c r="AI303" s="348">
        <f ca="1">IF(Table2[[#This Row],[Start Date]]&gt;TODAY(),1,)</f>
        <v>0</v>
      </c>
    </row>
    <row r="304" spans="1:35" s="101" customFormat="1" x14ac:dyDescent="0.25">
      <c r="A304" s="146" t="s">
        <v>518</v>
      </c>
      <c r="B304" s="229" t="s">
        <v>339</v>
      </c>
      <c r="C304" s="147" t="str">
        <f>VLOOKUP(Table2[[#This Row],[Course]],Data!$A$1:$E$56,2,FALSE)</f>
        <v>NA</v>
      </c>
      <c r="D304" s="147" t="str">
        <f>VLOOKUP(Table2[[#This Row],[Course]],Data!$A$1:$E$56,3,FALSE)</f>
        <v>NA</v>
      </c>
      <c r="E304" s="100"/>
      <c r="F304" s="292">
        <v>45476</v>
      </c>
      <c r="G304" s="292">
        <v>45476</v>
      </c>
      <c r="H304" s="151">
        <v>0.54166666666666663</v>
      </c>
      <c r="I304" s="151"/>
      <c r="J304" s="149"/>
      <c r="K304" s="149"/>
      <c r="L304" s="149"/>
      <c r="M304" s="149"/>
      <c r="N304" s="149"/>
      <c r="O304" s="100"/>
      <c r="P304" s="100"/>
      <c r="Q304" s="152" t="e">
        <v>#REF!</v>
      </c>
      <c r="R304" s="152" t="e">
        <v>#REF!</v>
      </c>
      <c r="S304" s="153">
        <v>0</v>
      </c>
      <c r="T304" s="146">
        <v>0</v>
      </c>
      <c r="U304" s="146">
        <v>0</v>
      </c>
      <c r="V304" s="154">
        <f>VLOOKUP(Table2[[#This Row],[Course]],Data!$A$1:$E$56,4,FALSE)</f>
        <v>0</v>
      </c>
      <c r="W304" s="154">
        <f>VLOOKUP(Table2[[#This Row],[Course]],Data!$A$1:$E$56,5,FALSE)</f>
        <v>0</v>
      </c>
      <c r="X304" s="154">
        <v>0</v>
      </c>
      <c r="Y304" s="275">
        <v>0</v>
      </c>
      <c r="Z304" s="275">
        <v>0</v>
      </c>
      <c r="AA304" s="275">
        <v>0</v>
      </c>
      <c r="AB304" s="276">
        <v>0</v>
      </c>
      <c r="AC304" s="275">
        <v>0</v>
      </c>
      <c r="AD304" s="275">
        <v>0</v>
      </c>
      <c r="AE304" s="275">
        <v>0</v>
      </c>
      <c r="AF304" s="271" t="s">
        <v>194</v>
      </c>
      <c r="AG304" s="277">
        <f ca="1">Table2[[#This Row],[End Date]]+2-TODAY()</f>
        <v>-54</v>
      </c>
      <c r="AH304" s="275">
        <f>IF(ISBLANK(Table2[[#This Row],[Roster Received By]]),1,0)</f>
        <v>0</v>
      </c>
      <c r="AI304" s="275">
        <f ca="1">IF(Table2[[#This Row],[Start Date]]&gt;TODAY(),1,)</f>
        <v>0</v>
      </c>
    </row>
    <row r="305" spans="1:35" s="146" customFormat="1" x14ac:dyDescent="0.25">
      <c r="A305" s="146" t="s">
        <v>519</v>
      </c>
      <c r="B305" s="229" t="s">
        <v>334</v>
      </c>
      <c r="C305" s="147" t="str">
        <f>VLOOKUP(Table2[[#This Row],[Course]],Data!$A$1:$E$56,2,FALSE)</f>
        <v>Holiday</v>
      </c>
      <c r="D305" s="147" t="str">
        <f>VLOOKUP(Table2[[#This Row],[Course]],Data!$A$1:$E$56,3,FALSE)</f>
        <v>Holiday</v>
      </c>
      <c r="E305" s="100"/>
      <c r="F305" s="292">
        <v>45477</v>
      </c>
      <c r="G305" s="292">
        <v>45477</v>
      </c>
      <c r="H305" s="151">
        <v>0</v>
      </c>
      <c r="I305" s="151">
        <v>0</v>
      </c>
      <c r="J305" s="151">
        <v>0</v>
      </c>
      <c r="K305" s="151">
        <v>0</v>
      </c>
      <c r="L305" s="151">
        <v>0</v>
      </c>
      <c r="M305" s="151">
        <v>0</v>
      </c>
      <c r="N305" s="151">
        <v>0</v>
      </c>
      <c r="O305" s="100"/>
      <c r="P305" s="100"/>
      <c r="Q305" s="152" t="e">
        <v>#REF!</v>
      </c>
      <c r="R305" s="152" t="e">
        <v>#REF!</v>
      </c>
      <c r="S305" s="153">
        <v>0</v>
      </c>
      <c r="T305" s="146">
        <v>0</v>
      </c>
      <c r="U305" s="146">
        <v>0</v>
      </c>
      <c r="V305" s="154">
        <f>VLOOKUP(Table2[[#This Row],[Course]],Data!$A$1:$E$56,4,FALSE)</f>
        <v>0</v>
      </c>
      <c r="W305" s="154">
        <f>VLOOKUP(Table2[[#This Row],[Course]],Data!$A$1:$E$56,5,FALSE)</f>
        <v>0</v>
      </c>
      <c r="X305" s="154">
        <v>0</v>
      </c>
      <c r="Y305" s="275">
        <v>0</v>
      </c>
      <c r="Z305" s="275">
        <v>0</v>
      </c>
      <c r="AA305" s="275">
        <v>0</v>
      </c>
      <c r="AB305" s="276">
        <v>0</v>
      </c>
      <c r="AC305" s="275">
        <v>0</v>
      </c>
      <c r="AD305" s="275">
        <v>0</v>
      </c>
      <c r="AE305" s="275">
        <v>0</v>
      </c>
      <c r="AF305" s="271" t="s">
        <v>194</v>
      </c>
      <c r="AG305" s="277">
        <f ca="1">Table2[[#This Row],[End Date]]+2-TODAY()</f>
        <v>-53</v>
      </c>
      <c r="AH305" s="275">
        <f>IF(ISBLANK(Table2[[#This Row],[Roster Received By]]),1,0)</f>
        <v>0</v>
      </c>
      <c r="AI305" s="275">
        <f ca="1">IF(Table2[[#This Row],[Start Date]]&gt;TODAY(),1,)</f>
        <v>0</v>
      </c>
    </row>
    <row r="306" spans="1:35" s="146" customFormat="1" x14ac:dyDescent="0.25">
      <c r="B306" s="229" t="s">
        <v>184</v>
      </c>
      <c r="C306" s="147" t="str">
        <f>VLOOKUP(Table2[[#This Row],[Course]],Data!$A$1:$E$56,2,FALSE)</f>
        <v>A-4J-0022</v>
      </c>
      <c r="D306" s="147" t="str">
        <f>VLOOKUP(Table2[[#This Row],[Course]],Data!$A$1:$E$56,3,FALSE)</f>
        <v>09ER</v>
      </c>
      <c r="E306" s="100" t="s">
        <v>116</v>
      </c>
      <c r="F306" s="293">
        <v>45481</v>
      </c>
      <c r="G306" s="292">
        <v>45485</v>
      </c>
      <c r="H306" s="149"/>
      <c r="I306" s="150">
        <v>0.54166666666666663</v>
      </c>
      <c r="J306" s="150">
        <v>0.41666666666666669</v>
      </c>
      <c r="K306" s="150">
        <v>0.83333333333333337</v>
      </c>
      <c r="L306" s="150">
        <v>0.75</v>
      </c>
      <c r="M306" s="150">
        <v>0.29166666666666669</v>
      </c>
      <c r="N306" s="150">
        <v>8.3333333333333329E-2</v>
      </c>
      <c r="O306" s="146" t="s">
        <v>89</v>
      </c>
      <c r="Q306" s="170" t="e">
        <v>#REF!</v>
      </c>
      <c r="R306" s="171" t="e">
        <v>#REF!</v>
      </c>
      <c r="S306" s="170"/>
      <c r="T306" s="101"/>
      <c r="U306" s="101"/>
      <c r="V306" s="154">
        <f>VLOOKUP(Table2[[#This Row],[Course]],Data!$A$1:$E$56,4,FALSE)</f>
        <v>45</v>
      </c>
      <c r="W306" s="154">
        <f>VLOOKUP(Table2[[#This Row],[Course]],Data!$A$1:$E$56,5,FALSE)</f>
        <v>5</v>
      </c>
      <c r="X306" s="154">
        <v>282</v>
      </c>
      <c r="Y306" s="275">
        <v>5</v>
      </c>
      <c r="Z306" s="275">
        <v>0</v>
      </c>
      <c r="AA306" s="275">
        <v>3</v>
      </c>
      <c r="AB306" s="276">
        <v>0</v>
      </c>
      <c r="AC306" s="275">
        <v>2</v>
      </c>
      <c r="AD306" s="275">
        <v>1</v>
      </c>
      <c r="AE306" s="275">
        <v>0</v>
      </c>
      <c r="AF306" s="271" t="s">
        <v>213</v>
      </c>
      <c r="AG306" s="277">
        <f ca="1">Table2[[#This Row],[End Date]]+2-TODAY()</f>
        <v>-45</v>
      </c>
      <c r="AH306" s="275">
        <f>IF(ISBLANK(Table2[[#This Row],[Roster Received By]]),1,0)</f>
        <v>0</v>
      </c>
      <c r="AI306" s="275">
        <f ca="1">IF(Table2[[#This Row],[Start Date]]&gt;TODAY(),1,)</f>
        <v>0</v>
      </c>
    </row>
    <row r="307" spans="1:35" s="146" customFormat="1" x14ac:dyDescent="0.25">
      <c r="A307" s="158"/>
      <c r="B307" s="262" t="s">
        <v>20</v>
      </c>
      <c r="C307" s="160" t="str">
        <f>VLOOKUP(Table2[[#This Row],[Course]],Data!$A$1:$E$56,2,FALSE)</f>
        <v xml:space="preserve">A-493-0075 </v>
      </c>
      <c r="D307" s="160" t="str">
        <f>VLOOKUP(Table2[[#This Row],[Course]],Data!$A$1:$E$56,3,FALSE)</f>
        <v>714U</v>
      </c>
      <c r="E307" s="118" t="s">
        <v>520</v>
      </c>
      <c r="F307" s="395">
        <v>45481</v>
      </c>
      <c r="G307" s="395">
        <v>45484</v>
      </c>
      <c r="H307" s="163">
        <v>0.33333333333333331</v>
      </c>
      <c r="I307" s="163"/>
      <c r="J307" s="161"/>
      <c r="K307" s="161"/>
      <c r="L307" s="161"/>
      <c r="M307" s="161"/>
      <c r="N307" s="161"/>
      <c r="O307" s="159"/>
      <c r="P307" s="159"/>
      <c r="Q307" s="164"/>
      <c r="R307" s="165"/>
      <c r="S307" s="164"/>
      <c r="T307" s="158"/>
      <c r="U307" s="158"/>
      <c r="V307" s="164"/>
      <c r="W307" s="165"/>
      <c r="X307" s="165">
        <v>20</v>
      </c>
      <c r="Y307" s="353">
        <v>25</v>
      </c>
      <c r="Z307" s="353">
        <v>0</v>
      </c>
      <c r="AA307" s="338">
        <v>8</v>
      </c>
      <c r="AB307" s="338">
        <v>0</v>
      </c>
      <c r="AC307" s="339">
        <v>15</v>
      </c>
      <c r="AD307" s="339">
        <v>2</v>
      </c>
      <c r="AE307" s="339">
        <v>0</v>
      </c>
      <c r="AF307" s="340" t="s">
        <v>189</v>
      </c>
      <c r="AG307" s="341">
        <f ca="1">Table2[[#This Row],[End Date]]+2-TODAY()</f>
        <v>-46</v>
      </c>
      <c r="AH307" s="339">
        <f>IF(ISBLANK(Table2[[#This Row],[Roster Received By]]),1,0)</f>
        <v>0</v>
      </c>
      <c r="AI307" s="339">
        <f ca="1">IF(Table2[[#This Row],[Start Date]]&gt;TODAY(),1,)</f>
        <v>0</v>
      </c>
    </row>
    <row r="308" spans="1:35" s="146" customFormat="1" x14ac:dyDescent="0.25">
      <c r="B308" s="229" t="s">
        <v>243</v>
      </c>
      <c r="C308" s="147" t="str">
        <f>VLOOKUP(Table2[[#This Row],[Course]],Data!$A$1:$E$56,2,FALSE)</f>
        <v>A-493-0061</v>
      </c>
      <c r="D308" s="147" t="str">
        <f>VLOOKUP(Table2[[#This Row],[Course]],Data!$A$1:$E$56,3,FALSE)</f>
        <v>288E</v>
      </c>
      <c r="E308" s="100" t="s">
        <v>116</v>
      </c>
      <c r="F308" s="292">
        <v>45481</v>
      </c>
      <c r="G308" s="292">
        <v>45485</v>
      </c>
      <c r="H308" s="149"/>
      <c r="I308" s="150">
        <v>0.79166666666666663</v>
      </c>
      <c r="J308" s="150">
        <v>0.66666666666666663</v>
      </c>
      <c r="K308" s="150">
        <v>8.3333333333333329E-2</v>
      </c>
      <c r="L308" s="150">
        <v>0</v>
      </c>
      <c r="M308" s="150">
        <v>0.54166666666666663</v>
      </c>
      <c r="N308" s="150">
        <v>0.33333333333333331</v>
      </c>
      <c r="O308" s="100" t="s">
        <v>92</v>
      </c>
      <c r="P308" s="100"/>
      <c r="Q308" s="152" t="e">
        <v>#REF!</v>
      </c>
      <c r="R308" s="152" t="e">
        <v>#REF!</v>
      </c>
      <c r="S308" s="153"/>
      <c r="V308" s="154">
        <f>VLOOKUP(Table2[[#This Row],[Course]],Data!$A$1:$E$56,4,FALSE)</f>
        <v>45</v>
      </c>
      <c r="W308" s="154">
        <f>VLOOKUP(Table2[[#This Row],[Course]],Data!$A$1:$E$56,5,FALSE)</f>
        <v>5</v>
      </c>
      <c r="X308" s="154">
        <v>231</v>
      </c>
      <c r="Y308" s="275">
        <v>36</v>
      </c>
      <c r="Z308" s="275">
        <v>0</v>
      </c>
      <c r="AA308" s="275">
        <v>27</v>
      </c>
      <c r="AB308" s="276">
        <v>0</v>
      </c>
      <c r="AC308" s="275">
        <v>9</v>
      </c>
      <c r="AD308" s="275">
        <v>0</v>
      </c>
      <c r="AE308" s="275">
        <v>0</v>
      </c>
      <c r="AF308" s="271" t="s">
        <v>189</v>
      </c>
      <c r="AG308" s="277">
        <f ca="1">Table2[[#This Row],[End Date]]+2-TODAY()</f>
        <v>-45</v>
      </c>
      <c r="AH308" s="275">
        <f>IF(ISBLANK(Table2[[#This Row],[Roster Received By]]),1,0)</f>
        <v>0</v>
      </c>
      <c r="AI308" s="275">
        <f ca="1">IF(Table2[[#This Row],[Start Date]]&gt;TODAY(),1,)</f>
        <v>0</v>
      </c>
    </row>
    <row r="309" spans="1:35" s="101" customFormat="1" x14ac:dyDescent="0.25">
      <c r="A309" s="146"/>
      <c r="B309" s="229" t="s">
        <v>281</v>
      </c>
      <c r="C309" s="147" t="str">
        <f>VLOOKUP(Table2[[#This Row],[Course]],Data!$A$1:$E$56,2,FALSE)</f>
        <v>A-493-0550</v>
      </c>
      <c r="D309" s="147" t="str">
        <f>VLOOKUP(Table2[[#This Row],[Course]],Data!$A$1:$E$56,3,FALSE)</f>
        <v>09K5</v>
      </c>
      <c r="E309" s="285" t="s">
        <v>116</v>
      </c>
      <c r="F309" s="222">
        <v>45481</v>
      </c>
      <c r="G309" s="222">
        <v>45485</v>
      </c>
      <c r="H309" s="169"/>
      <c r="I309" s="150">
        <v>0.54166666666666663</v>
      </c>
      <c r="J309" s="168">
        <v>0.41666666666666669</v>
      </c>
      <c r="K309" s="168">
        <v>0.83333333333333337</v>
      </c>
      <c r="L309" s="168">
        <v>0.75</v>
      </c>
      <c r="M309" s="168">
        <v>0.29166666666666669</v>
      </c>
      <c r="N309" s="168">
        <v>8.3333333333333329E-2</v>
      </c>
      <c r="O309" s="100" t="s">
        <v>88</v>
      </c>
      <c r="P309" s="100"/>
      <c r="Q309" s="171" t="e">
        <v>#REF!</v>
      </c>
      <c r="R309" s="171" t="e">
        <v>#REF!</v>
      </c>
      <c r="S309" s="173"/>
      <c r="V309" s="26">
        <f>VLOOKUP(Table2[[#This Row],[Course]],Data!$A$1:$E$56,4,FALSE)</f>
        <v>45</v>
      </c>
      <c r="W309" s="26">
        <f>VLOOKUP(Table2[[#This Row],[Course]],Data!$A$1:$E$56,5,FALSE)</f>
        <v>4</v>
      </c>
      <c r="X309" s="154">
        <v>746</v>
      </c>
      <c r="Y309" s="275">
        <v>45</v>
      </c>
      <c r="Z309" s="275">
        <v>0</v>
      </c>
      <c r="AA309" s="275">
        <v>33</v>
      </c>
      <c r="AB309" s="276">
        <v>0</v>
      </c>
      <c r="AC309" s="275">
        <v>11</v>
      </c>
      <c r="AD309" s="275">
        <v>0</v>
      </c>
      <c r="AE309" s="275">
        <v>0</v>
      </c>
      <c r="AF309" s="271" t="s">
        <v>189</v>
      </c>
      <c r="AG309" s="277">
        <f ca="1">Table2[[#This Row],[End Date]]+2-TODAY()</f>
        <v>-45</v>
      </c>
      <c r="AH309" s="275">
        <f>IF(ISBLANK(Table2[[#This Row],[Roster Received By]]),1,0)</f>
        <v>0</v>
      </c>
      <c r="AI309" s="275">
        <f ca="1">IF(Table2[[#This Row],[Start Date]]&gt;TODAY(),1,)</f>
        <v>0</v>
      </c>
    </row>
    <row r="310" spans="1:35" s="269" customFormat="1" x14ac:dyDescent="0.25">
      <c r="A310" s="146"/>
      <c r="B310" s="229" t="s">
        <v>292</v>
      </c>
      <c r="C310" s="147" t="str">
        <f>VLOOKUP(Table2[[#This Row],[Course]],Data!$A$1:$E$56,2,FALSE)</f>
        <v>A-493-0078</v>
      </c>
      <c r="D310" s="147">
        <f>VLOOKUP(Table2[[#This Row],[Course]],Data!$A$1:$E$56,3,FALSE)</f>
        <v>1228</v>
      </c>
      <c r="E310" s="285" t="s">
        <v>116</v>
      </c>
      <c r="F310" s="222">
        <v>45481</v>
      </c>
      <c r="G310" s="222">
        <v>45485</v>
      </c>
      <c r="H310" s="149"/>
      <c r="I310" s="150">
        <v>0.33333333333333331</v>
      </c>
      <c r="J310" s="150">
        <v>0.20833333333333334</v>
      </c>
      <c r="K310" s="150">
        <v>0.66666666666666663</v>
      </c>
      <c r="L310" s="150">
        <v>0.58333333333333337</v>
      </c>
      <c r="M310" s="150">
        <v>0.125</v>
      </c>
      <c r="N310" s="150">
        <v>0.91666666666666663</v>
      </c>
      <c r="O310" s="100" t="s">
        <v>80</v>
      </c>
      <c r="P310" s="100"/>
      <c r="Q310" s="152" t="e">
        <v>#REF!</v>
      </c>
      <c r="R310" s="152" t="e">
        <v>#REF!</v>
      </c>
      <c r="S310" s="153"/>
      <c r="T310" s="146"/>
      <c r="U310" s="146"/>
      <c r="V310" s="154">
        <f>VLOOKUP(Table2[[#This Row],[Course]],Data!$A$1:$E$56,4,FALSE)</f>
        <v>45</v>
      </c>
      <c r="W310" s="154">
        <f>VLOOKUP(Table2[[#This Row],[Course]],Data!$A$1:$E$56,5,FALSE)</f>
        <v>5</v>
      </c>
      <c r="X310" s="154">
        <v>600</v>
      </c>
      <c r="Y310" s="275">
        <v>18</v>
      </c>
      <c r="Z310" s="275">
        <v>0</v>
      </c>
      <c r="AA310" s="275">
        <v>16</v>
      </c>
      <c r="AB310" s="276">
        <v>1</v>
      </c>
      <c r="AC310" s="275">
        <v>1</v>
      </c>
      <c r="AD310" s="275">
        <v>0</v>
      </c>
      <c r="AE310" s="275">
        <v>0</v>
      </c>
      <c r="AF310" s="271" t="s">
        <v>189</v>
      </c>
      <c r="AG310" s="277">
        <f ca="1">Table2[[#This Row],[End Date]]+2-TODAY()</f>
        <v>-45</v>
      </c>
      <c r="AH310" s="275">
        <f>IF(ISBLANK(Table2[[#This Row],[Roster Received By]]),1,0)</f>
        <v>0</v>
      </c>
      <c r="AI310" s="275">
        <f ca="1">IF(Table2[[#This Row],[Start Date]]&gt;TODAY(),1,)</f>
        <v>0</v>
      </c>
    </row>
    <row r="311" spans="1:35" s="146" customFormat="1" x14ac:dyDescent="0.25">
      <c r="B311" s="229" t="s">
        <v>34</v>
      </c>
      <c r="C311" s="147" t="str">
        <f>VLOOKUP(Table2[[#This Row],[Course]],Data!$A$1:$E$56,2,FALSE)</f>
        <v>A-493-0085</v>
      </c>
      <c r="D311" s="147">
        <f>VLOOKUP(Table2[[#This Row],[Course]],Data!$A$1:$E$56,3,FALSE)</f>
        <v>3555</v>
      </c>
      <c r="E311" s="285" t="s">
        <v>116</v>
      </c>
      <c r="F311" s="222">
        <v>45481</v>
      </c>
      <c r="G311" s="222">
        <v>45484</v>
      </c>
      <c r="H311" s="149"/>
      <c r="I311" s="150">
        <v>0.5</v>
      </c>
      <c r="J311" s="150">
        <v>0.375</v>
      </c>
      <c r="K311" s="150">
        <v>0.79166666666666663</v>
      </c>
      <c r="L311" s="150">
        <v>0.70833333333333337</v>
      </c>
      <c r="M311" s="150">
        <v>0.25</v>
      </c>
      <c r="N311" s="150">
        <v>4.1666666666666664E-2</v>
      </c>
      <c r="O311" s="100" t="s">
        <v>81</v>
      </c>
      <c r="P311" s="100" t="s">
        <v>223</v>
      </c>
      <c r="Q311" s="171" t="e">
        <v>#REF!</v>
      </c>
      <c r="R311" s="171" t="e">
        <v>#REF!</v>
      </c>
      <c r="S311" s="173"/>
      <c r="T311" s="101"/>
      <c r="U311" s="101"/>
      <c r="V311" s="154">
        <f>VLOOKUP(Table2[[#This Row],[Course]],Data!$A$1:$E$56,4,FALSE)</f>
        <v>30</v>
      </c>
      <c r="W311" s="154">
        <f>VLOOKUP(Table2[[#This Row],[Course]],Data!$A$1:$E$56,5,FALSE)</f>
        <v>4</v>
      </c>
      <c r="X311" s="154">
        <v>464</v>
      </c>
      <c r="Y311" s="275">
        <v>30</v>
      </c>
      <c r="Z311" s="275">
        <v>5</v>
      </c>
      <c r="AA311" s="275">
        <v>24</v>
      </c>
      <c r="AB311" s="276">
        <v>3</v>
      </c>
      <c r="AC311" s="275">
        <v>4</v>
      </c>
      <c r="AD311" s="275">
        <v>0</v>
      </c>
      <c r="AE311" s="275"/>
      <c r="AF311" s="271" t="s">
        <v>208</v>
      </c>
      <c r="AG311" s="277">
        <f ca="1">Table2[[#This Row],[End Date]]+2-TODAY()</f>
        <v>-46</v>
      </c>
      <c r="AH311" s="275">
        <f>IF(ISBLANK(Table2[[#This Row],[Roster Received By]]),1,0)</f>
        <v>0</v>
      </c>
      <c r="AI311" s="275">
        <f ca="1">IF(Table2[[#This Row],[Start Date]]&gt;TODAY(),1,)</f>
        <v>0</v>
      </c>
    </row>
    <row r="312" spans="1:35" s="101" customFormat="1" x14ac:dyDescent="0.25">
      <c r="A312" s="146"/>
      <c r="B312" s="229" t="s">
        <v>38</v>
      </c>
      <c r="C312" s="147" t="str">
        <f>VLOOKUP(Table2[[#This Row],[Course]],Data!$A$1:$E$56,2,FALSE)</f>
        <v>A-493-0072</v>
      </c>
      <c r="D312" s="147" t="str">
        <f>VLOOKUP(Table2[[#This Row],[Course]],Data!$A$1:$E$56,3,FALSE)</f>
        <v>713U</v>
      </c>
      <c r="E312" s="100" t="s">
        <v>121</v>
      </c>
      <c r="F312" s="222">
        <v>45481</v>
      </c>
      <c r="G312" s="222">
        <v>45484</v>
      </c>
      <c r="H312" s="162">
        <v>0.33333333333333331</v>
      </c>
      <c r="I312" s="162"/>
      <c r="J312" s="149"/>
      <c r="K312" s="149"/>
      <c r="L312" s="149"/>
      <c r="M312" s="149"/>
      <c r="N312" s="149"/>
      <c r="O312" s="100" t="s">
        <v>90</v>
      </c>
      <c r="P312" s="100" t="s">
        <v>84</v>
      </c>
      <c r="Q312" s="152" t="e">
        <v>#REF!</v>
      </c>
      <c r="R312" s="152" t="e">
        <v>#REF!</v>
      </c>
      <c r="S312" s="153"/>
      <c r="T312" s="146"/>
      <c r="U312" s="146"/>
      <c r="V312" s="154">
        <f>VLOOKUP(Table2[[#This Row],[Course]],Data!$A$1:$E$56,4,FALSE)</f>
        <v>30</v>
      </c>
      <c r="W312" s="154">
        <f>VLOOKUP(Table2[[#This Row],[Course]],Data!$A$1:$E$56,5,FALSE)</f>
        <v>4</v>
      </c>
      <c r="X312" s="154">
        <v>0</v>
      </c>
      <c r="Y312" s="275">
        <v>25</v>
      </c>
      <c r="Z312" s="275">
        <v>0</v>
      </c>
      <c r="AA312" s="275">
        <v>18</v>
      </c>
      <c r="AB312" s="276">
        <v>0</v>
      </c>
      <c r="AC312" s="275">
        <v>7</v>
      </c>
      <c r="AD312" s="275">
        <v>0</v>
      </c>
      <c r="AE312" s="275">
        <v>0</v>
      </c>
      <c r="AF312" s="271" t="s">
        <v>208</v>
      </c>
      <c r="AG312" s="277">
        <f ca="1">Table2[[#This Row],[End Date]]+2-TODAY()</f>
        <v>-46</v>
      </c>
      <c r="AH312" s="275">
        <f>IF(ISBLANK(Table2[[#This Row],[Roster Received By]]),1,0)</f>
        <v>0</v>
      </c>
      <c r="AI312" s="275">
        <f ca="1">IF(Table2[[#This Row],[Start Date]]&gt;TODAY(),1,)</f>
        <v>0</v>
      </c>
    </row>
    <row r="313" spans="1:35" s="146" customFormat="1" x14ac:dyDescent="0.25">
      <c r="B313" s="229" t="s">
        <v>18</v>
      </c>
      <c r="C313" s="147" t="str">
        <f>VLOOKUP(Table2[[#This Row],[Course]],Data!$A$1:$E$56,2,FALSE)</f>
        <v>A-493-0013</v>
      </c>
      <c r="D313" s="147">
        <f>VLOOKUP(Table2[[#This Row],[Course]],Data!$A$1:$E$56,3,FALSE)</f>
        <v>3683</v>
      </c>
      <c r="E313" s="100" t="s">
        <v>101</v>
      </c>
      <c r="F313" s="222">
        <v>45482</v>
      </c>
      <c r="G313" s="222">
        <v>45484</v>
      </c>
      <c r="H313" s="151">
        <v>0.33333333333333331</v>
      </c>
      <c r="I313" s="151"/>
      <c r="J313" s="151"/>
      <c r="K313" s="151"/>
      <c r="L313" s="151"/>
      <c r="M313" s="151"/>
      <c r="N313" s="149"/>
      <c r="O313" s="146" t="s">
        <v>78</v>
      </c>
      <c r="Q313" s="152" t="e">
        <v>#REF!</v>
      </c>
      <c r="R313" s="152" t="e">
        <v>#REF!</v>
      </c>
      <c r="S313" s="153"/>
      <c r="V313" s="154">
        <f>VLOOKUP(Table2[[#This Row],[Course]],Data!$A$1:$E$56,4,FALSE)</f>
        <v>40</v>
      </c>
      <c r="W313" s="154">
        <v>3</v>
      </c>
      <c r="X313" s="154">
        <v>1</v>
      </c>
      <c r="Y313" s="275">
        <v>8</v>
      </c>
      <c r="Z313" s="275">
        <v>0</v>
      </c>
      <c r="AA313" s="275">
        <v>0</v>
      </c>
      <c r="AB313" s="276">
        <v>8</v>
      </c>
      <c r="AC313" s="275">
        <v>0</v>
      </c>
      <c r="AD313" s="275">
        <v>0</v>
      </c>
      <c r="AE313" s="272">
        <v>0</v>
      </c>
      <c r="AF313" s="271" t="s">
        <v>191</v>
      </c>
      <c r="AG313" s="277">
        <f ca="1">Table2[[#This Row],[End Date]]+2-TODAY()</f>
        <v>-46</v>
      </c>
      <c r="AH313" s="275">
        <f>IF(ISBLANK(Table2[[#This Row],[Roster Received By]]),1,0)</f>
        <v>0</v>
      </c>
      <c r="AI313" s="275">
        <f ca="1">IF(Table2[[#This Row],[Start Date]]&gt;TODAY(),1,)</f>
        <v>0</v>
      </c>
    </row>
    <row r="314" spans="1:35" s="146" customFormat="1" x14ac:dyDescent="0.25">
      <c r="B314" s="229" t="s">
        <v>26</v>
      </c>
      <c r="C314" s="147" t="str">
        <f>VLOOKUP(Table2[[#This Row],[Course]],Data!$A$1:$E$56,2,FALSE)</f>
        <v>A-493-2301</v>
      </c>
      <c r="D314" s="147" t="str">
        <f>VLOOKUP(Table2[[#This Row],[Course]],Data!$A$1:$E$56,3,FALSE)</f>
        <v>05ZD</v>
      </c>
      <c r="E314" s="290" t="s">
        <v>140</v>
      </c>
      <c r="F314" s="222">
        <v>45482</v>
      </c>
      <c r="G314" s="222">
        <v>45482</v>
      </c>
      <c r="H314" s="151">
        <v>0.33333333333333331</v>
      </c>
      <c r="I314" s="151"/>
      <c r="J314" s="149"/>
      <c r="K314" s="149"/>
      <c r="L314" s="149"/>
      <c r="M314" s="149"/>
      <c r="N314" s="149"/>
      <c r="O314" s="100" t="s">
        <v>78</v>
      </c>
      <c r="P314" s="100"/>
      <c r="Q314" s="170" t="e">
        <v>#REF!</v>
      </c>
      <c r="R314" s="171" t="e">
        <v>#REF!</v>
      </c>
      <c r="S314" s="170"/>
      <c r="T314" s="101"/>
      <c r="U314" s="101"/>
      <c r="V314" s="154">
        <f>VLOOKUP(Table2[[#This Row],[Course]],Data!$A$1:$E$56,4,FALSE)</f>
        <v>30</v>
      </c>
      <c r="W314" s="154">
        <f>VLOOKUP(Table2[[#This Row],[Course]],Data!$A$1:$E$56,5,FALSE)</f>
        <v>1</v>
      </c>
      <c r="X314" s="154">
        <v>60</v>
      </c>
      <c r="Y314" s="275">
        <v>19</v>
      </c>
      <c r="Z314" s="275">
        <v>0</v>
      </c>
      <c r="AA314" s="275">
        <v>15</v>
      </c>
      <c r="AB314" s="276">
        <v>0</v>
      </c>
      <c r="AC314" s="275">
        <v>1</v>
      </c>
      <c r="AD314" s="275">
        <v>9</v>
      </c>
      <c r="AE314" s="275">
        <v>0</v>
      </c>
      <c r="AF314" s="271" t="s">
        <v>191</v>
      </c>
      <c r="AG314" s="277">
        <f ca="1">Table2[[#This Row],[End Date]]+2-TODAY()</f>
        <v>-48</v>
      </c>
      <c r="AH314" s="275">
        <f>IF(ISBLANK(Table2[[#This Row],[Roster Received By]]),1,0)</f>
        <v>0</v>
      </c>
      <c r="AI314" s="275">
        <f ca="1">IF(Table2[[#This Row],[Start Date]]&gt;TODAY(),1,)</f>
        <v>0</v>
      </c>
    </row>
    <row r="315" spans="1:35" s="146" customFormat="1" x14ac:dyDescent="0.25">
      <c r="B315" s="229" t="s">
        <v>35</v>
      </c>
      <c r="C315" s="147" t="str">
        <f>VLOOKUP(Table2[[#This Row],[Course]],Data!$A$1:$E$56,2,FALSE)</f>
        <v>A-493-2501</v>
      </c>
      <c r="D315" s="147" t="str">
        <f>VLOOKUP(Table2[[#This Row],[Course]],Data!$A$1:$E$56,3,FALSE)</f>
        <v>05ZE</v>
      </c>
      <c r="E315" s="290" t="s">
        <v>140</v>
      </c>
      <c r="F315" s="222">
        <v>45483</v>
      </c>
      <c r="G315" s="222">
        <v>45483</v>
      </c>
      <c r="H315" s="151">
        <v>0.33333333333333331</v>
      </c>
      <c r="I315" s="151"/>
      <c r="J315" s="149"/>
      <c r="K315" s="149"/>
      <c r="L315" s="149"/>
      <c r="M315" s="149"/>
      <c r="N315" s="149"/>
      <c r="O315" s="100" t="s">
        <v>78</v>
      </c>
      <c r="P315" s="100"/>
      <c r="Q315" s="170" t="e">
        <v>#REF!</v>
      </c>
      <c r="R315" s="171" t="e">
        <v>#REF!</v>
      </c>
      <c r="S315" s="170"/>
      <c r="T315" s="101"/>
      <c r="U315" s="101"/>
      <c r="V315" s="154">
        <f>VLOOKUP(Table2[[#This Row],[Course]],Data!$A$1:$E$56,4,FALSE)</f>
        <v>30</v>
      </c>
      <c r="W315" s="154">
        <f>VLOOKUP(Table2[[#This Row],[Course]],Data!$A$1:$E$56,5,FALSE)</f>
        <v>1</v>
      </c>
      <c r="X315" s="154">
        <v>100</v>
      </c>
      <c r="Y315" s="275">
        <v>16</v>
      </c>
      <c r="Z315" s="275">
        <v>0</v>
      </c>
      <c r="AA315" s="275">
        <v>20</v>
      </c>
      <c r="AB315" s="276">
        <v>0</v>
      </c>
      <c r="AC315" s="275">
        <v>4</v>
      </c>
      <c r="AD315" s="275">
        <v>8</v>
      </c>
      <c r="AE315" s="275">
        <v>0</v>
      </c>
      <c r="AF315" s="271" t="s">
        <v>191</v>
      </c>
      <c r="AG315" s="277">
        <f ca="1">Table2[[#This Row],[End Date]]+2-TODAY()</f>
        <v>-47</v>
      </c>
      <c r="AH315" s="275">
        <f>IF(ISBLANK(Table2[[#This Row],[Roster Received By]]),1,0)</f>
        <v>0</v>
      </c>
      <c r="AI315" s="275">
        <f ca="1">IF(Table2[[#This Row],[Start Date]]&gt;TODAY(),1,)</f>
        <v>0</v>
      </c>
    </row>
    <row r="316" spans="1:35" s="146" customFormat="1" x14ac:dyDescent="0.25">
      <c r="A316" s="158"/>
      <c r="B316" s="262" t="s">
        <v>35</v>
      </c>
      <c r="C316" s="160" t="str">
        <f>VLOOKUP(Table2[[#This Row],[Course]],Data!$A$1:$E$56,2,FALSE)</f>
        <v>A-493-2501</v>
      </c>
      <c r="D316" s="160" t="str">
        <f>VLOOKUP(Table2[[#This Row],[Course]],Data!$A$1:$E$56,3,FALSE)</f>
        <v>05ZE</v>
      </c>
      <c r="E316" s="286" t="s">
        <v>342</v>
      </c>
      <c r="F316" s="206">
        <v>45484</v>
      </c>
      <c r="G316" s="206">
        <v>45484</v>
      </c>
      <c r="H316" s="207">
        <v>800</v>
      </c>
      <c r="I316" s="207"/>
      <c r="J316" s="161"/>
      <c r="K316" s="161"/>
      <c r="L316" s="161"/>
      <c r="M316" s="161"/>
      <c r="N316" s="161"/>
      <c r="O316" s="159" t="s">
        <v>78</v>
      </c>
      <c r="P316" s="159"/>
      <c r="Q316" s="164"/>
      <c r="R316" s="165"/>
      <c r="S316" s="164"/>
      <c r="T316" s="158"/>
      <c r="U316" s="158"/>
      <c r="V316" s="164">
        <v>30</v>
      </c>
      <c r="W316" s="165">
        <v>1</v>
      </c>
      <c r="X316" s="165">
        <v>2</v>
      </c>
      <c r="Y316" s="353">
        <v>10</v>
      </c>
      <c r="Z316" s="353">
        <v>0</v>
      </c>
      <c r="AA316" s="338">
        <v>20</v>
      </c>
      <c r="AB316" s="338">
        <v>0</v>
      </c>
      <c r="AC316" s="339">
        <v>2</v>
      </c>
      <c r="AD316" s="339">
        <v>12</v>
      </c>
      <c r="AE316" s="339">
        <v>0</v>
      </c>
      <c r="AF316" s="340" t="s">
        <v>191</v>
      </c>
      <c r="AG316" s="341">
        <f ca="1">Table2[[#This Row],[End Date]]+2-TODAY()</f>
        <v>-46</v>
      </c>
      <c r="AH316" s="339">
        <f>IF(ISBLANK(Table2[[#This Row],[Roster Received By]]),1,0)</f>
        <v>0</v>
      </c>
      <c r="AI316" s="339">
        <f ca="1">IF(Table2[[#This Row],[Start Date]]&gt;TODAY(),1,)</f>
        <v>0</v>
      </c>
    </row>
    <row r="317" spans="1:35" s="146" customFormat="1" x14ac:dyDescent="0.25">
      <c r="A317" s="158"/>
      <c r="B317" s="229" t="s">
        <v>35</v>
      </c>
      <c r="C317" s="160" t="str">
        <f>VLOOKUP(Table2[[#This Row],[Course]],Data!$A$1:$E$56,2,FALSE)</f>
        <v>A-493-2501</v>
      </c>
      <c r="D317" s="160" t="str">
        <f>VLOOKUP(Table2[[#This Row],[Course]],Data!$A$1:$E$56,3,FALSE)</f>
        <v>05ZE</v>
      </c>
      <c r="E317" s="286" t="s">
        <v>297</v>
      </c>
      <c r="F317" s="206">
        <v>45485</v>
      </c>
      <c r="G317" s="206">
        <v>45485</v>
      </c>
      <c r="H317" s="151">
        <v>0.33333333333333331</v>
      </c>
      <c r="I317" s="163"/>
      <c r="J317" s="161"/>
      <c r="K317" s="161"/>
      <c r="L317" s="161"/>
      <c r="M317" s="161"/>
      <c r="N317" s="161"/>
      <c r="O317" s="159" t="s">
        <v>78</v>
      </c>
      <c r="P317" s="159"/>
      <c r="Q317" s="179"/>
      <c r="R317" s="180"/>
      <c r="S317" s="179"/>
      <c r="T317" s="174"/>
      <c r="U317" s="174"/>
      <c r="V317" s="164">
        <v>30</v>
      </c>
      <c r="W317" s="165">
        <v>1</v>
      </c>
      <c r="X317" s="165">
        <v>5</v>
      </c>
      <c r="Y317" s="353">
        <v>7</v>
      </c>
      <c r="Z317" s="353">
        <v>0</v>
      </c>
      <c r="AA317" s="338">
        <v>22</v>
      </c>
      <c r="AB317" s="338">
        <v>0</v>
      </c>
      <c r="AC317" s="339">
        <v>5</v>
      </c>
      <c r="AD317" s="339">
        <v>8</v>
      </c>
      <c r="AE317" s="348">
        <v>0</v>
      </c>
      <c r="AF317" s="382" t="s">
        <v>191</v>
      </c>
      <c r="AG317" s="374">
        <f ca="1">Table2[[#This Row],[End Date]]+2-TODAY()</f>
        <v>-45</v>
      </c>
      <c r="AH317" s="339">
        <f>IF(ISBLANK(Table2[[#This Row],[Roster Received By]]),1,0)</f>
        <v>0</v>
      </c>
      <c r="AI317" s="348">
        <f ca="1">IF(Table2[[#This Row],[Start Date]]&gt;TODAY(),1,)</f>
        <v>0</v>
      </c>
    </row>
    <row r="318" spans="1:35" s="146" customFormat="1" x14ac:dyDescent="0.25">
      <c r="B318" s="285" t="s">
        <v>214</v>
      </c>
      <c r="C318" s="147" t="str">
        <f>VLOOKUP(Table2[[#This Row],[Course]],Data!$A$1:$E$56,2,FALSE)</f>
        <v>A-493-0665</v>
      </c>
      <c r="D318" s="147" t="str">
        <f>VLOOKUP(Table2[[#This Row],[Course]],Data!$A$1:$E$56,3,FALSE)</f>
        <v>10KW</v>
      </c>
      <c r="E318" s="285" t="s">
        <v>116</v>
      </c>
      <c r="F318" s="222">
        <v>45488</v>
      </c>
      <c r="G318" s="222">
        <v>45492</v>
      </c>
      <c r="H318" s="149"/>
      <c r="I318" s="150">
        <v>0.54166666666666663</v>
      </c>
      <c r="J318" s="150">
        <v>0.41666666666666669</v>
      </c>
      <c r="K318" s="150">
        <v>0.83333333333333337</v>
      </c>
      <c r="L318" s="150">
        <v>0.75</v>
      </c>
      <c r="M318" s="150">
        <v>0.29166666666666669</v>
      </c>
      <c r="N318" s="150">
        <v>8.3333333333333329E-2</v>
      </c>
      <c r="O318" s="100" t="s">
        <v>266</v>
      </c>
      <c r="P318" s="100"/>
      <c r="Q318" s="155" t="e">
        <v>#REF!</v>
      </c>
      <c r="R318" s="152" t="e">
        <v>#REF!</v>
      </c>
      <c r="S318" s="155"/>
      <c r="V318" s="154">
        <f>VLOOKUP(Table2[[#This Row],[Course]],Data!$A$1:$E$56,4,FALSE)</f>
        <v>45</v>
      </c>
      <c r="W318" s="154">
        <f>VLOOKUP(Table2[[#This Row],[Course]],Data!$A$1:$E$56,5,FALSE)</f>
        <v>5</v>
      </c>
      <c r="X318" s="154">
        <v>343</v>
      </c>
      <c r="Y318" s="275">
        <v>31</v>
      </c>
      <c r="Z318" s="275">
        <v>0</v>
      </c>
      <c r="AA318" s="275">
        <v>24</v>
      </c>
      <c r="AB318" s="276">
        <v>1</v>
      </c>
      <c r="AC318" s="275">
        <v>6</v>
      </c>
      <c r="AD318" s="275">
        <v>1</v>
      </c>
      <c r="AE318" s="275">
        <v>0</v>
      </c>
      <c r="AF318" s="271"/>
      <c r="AG318" s="277">
        <f ca="1">Table2[[#This Row],[End Date]]+2-TODAY()</f>
        <v>-38</v>
      </c>
      <c r="AH318" s="275">
        <f>IF(ISBLANK(Table2[[#This Row],[Roster Received By]]),1,0)</f>
        <v>1</v>
      </c>
      <c r="AI318" s="275">
        <f ca="1">IF(Table2[[#This Row],[Start Date]]&gt;TODAY(),1,)</f>
        <v>0</v>
      </c>
    </row>
    <row r="319" spans="1:35" s="146" customFormat="1" x14ac:dyDescent="0.25">
      <c r="A319" s="146" t="s">
        <v>429</v>
      </c>
      <c r="B319" s="241" t="s">
        <v>236</v>
      </c>
      <c r="C319" s="147" t="str">
        <f>VLOOKUP(Table2[[#This Row],[Course]],Data!$A$1:$E$56,2,FALSE)</f>
        <v>A-493-0103</v>
      </c>
      <c r="D319" s="147" t="str">
        <f>VLOOKUP(Table2[[#This Row],[Course]],Data!$A$1:$E$56,3,FALSE)</f>
        <v>12JY</v>
      </c>
      <c r="E319" s="285" t="s">
        <v>309</v>
      </c>
      <c r="F319" s="222">
        <v>45488</v>
      </c>
      <c r="G319" s="222">
        <v>45492</v>
      </c>
      <c r="H319" s="151">
        <v>0.33333333333333331</v>
      </c>
      <c r="I319" s="151"/>
      <c r="J319" s="149"/>
      <c r="K319" s="149"/>
      <c r="L319" s="149"/>
      <c r="M319" s="149"/>
      <c r="N319" s="149"/>
      <c r="O319" s="100" t="s">
        <v>94</v>
      </c>
      <c r="P319" s="100"/>
      <c r="Q319" s="152" t="e">
        <v>#REF!</v>
      </c>
      <c r="R319" s="152" t="e">
        <v>#REF!</v>
      </c>
      <c r="S319" s="152"/>
      <c r="V319" s="154">
        <f>VLOOKUP(Table2[[#This Row],[Course]],Data!$A$1:$E$56,4,FALSE)</f>
        <v>25</v>
      </c>
      <c r="W319" s="154">
        <f>VLOOKUP(Table2[[#This Row],[Course]],Data!$A$1:$E$56,5,FALSE)</f>
        <v>5</v>
      </c>
      <c r="X319" s="154">
        <v>60</v>
      </c>
      <c r="Y319" s="275"/>
      <c r="Z319" s="275"/>
      <c r="AA319" s="275">
        <v>20</v>
      </c>
      <c r="AB319" s="276">
        <v>0</v>
      </c>
      <c r="AC319" s="275">
        <v>2</v>
      </c>
      <c r="AD319" s="275">
        <v>0</v>
      </c>
      <c r="AE319" s="275">
        <v>0</v>
      </c>
      <c r="AF319" s="271" t="s">
        <v>189</v>
      </c>
      <c r="AG319" s="277">
        <f ca="1">Table2[[#This Row],[End Date]]+2-TODAY()</f>
        <v>-38</v>
      </c>
      <c r="AH319" s="275">
        <f>IF(ISBLANK(Table2[[#This Row],[Roster Received By]]),1,0)</f>
        <v>0</v>
      </c>
      <c r="AI319" s="275">
        <f ca="1">IF(Table2[[#This Row],[Start Date]]&gt;TODAY(),1,)</f>
        <v>0</v>
      </c>
    </row>
    <row r="320" spans="1:35" s="146" customFormat="1" x14ac:dyDescent="0.25">
      <c r="B320" s="417" t="s">
        <v>10</v>
      </c>
      <c r="C320" s="147" t="str">
        <f>VLOOKUP(Table2[[#This Row],[Course]],Data!$A$1:$E$56,2,FALSE)</f>
        <v>A-493-0069</v>
      </c>
      <c r="D320" s="147" t="str">
        <f>VLOOKUP(Table2[[#This Row],[Course]],Data!$A$1:$E$56,3,FALSE)</f>
        <v>450U</v>
      </c>
      <c r="E320" s="285" t="s">
        <v>147</v>
      </c>
      <c r="F320" s="222">
        <v>45488</v>
      </c>
      <c r="G320" s="222">
        <v>45492</v>
      </c>
      <c r="H320" s="162">
        <v>0.33333333333333331</v>
      </c>
      <c r="I320" s="162"/>
      <c r="J320" s="149"/>
      <c r="K320" s="149"/>
      <c r="L320" s="149"/>
      <c r="M320" s="149"/>
      <c r="N320" s="149"/>
      <c r="O320" s="100" t="s">
        <v>81</v>
      </c>
      <c r="P320" s="100" t="s">
        <v>88</v>
      </c>
      <c r="Q320" s="171" t="e">
        <v>#REF!</v>
      </c>
      <c r="R320" s="171" t="e">
        <v>#REF!</v>
      </c>
      <c r="S320" s="173"/>
      <c r="T320" s="101"/>
      <c r="U320" s="101"/>
      <c r="V320" s="154">
        <f>VLOOKUP(Table2[[#This Row],[Course]],Data!$A$1:$E$56,4,FALSE)</f>
        <v>25</v>
      </c>
      <c r="W320" s="154">
        <f>VLOOKUP(Table2[[#This Row],[Course]],Data!$A$1:$E$56,5,FALSE)</f>
        <v>5</v>
      </c>
      <c r="X320" s="154">
        <v>27</v>
      </c>
      <c r="Y320" s="275">
        <v>13</v>
      </c>
      <c r="Z320" s="275">
        <v>0</v>
      </c>
      <c r="AA320" s="275">
        <v>12</v>
      </c>
      <c r="AB320" s="276">
        <v>0</v>
      </c>
      <c r="AC320" s="275">
        <v>1</v>
      </c>
      <c r="AD320" s="275">
        <v>0</v>
      </c>
      <c r="AE320" s="275">
        <v>0</v>
      </c>
      <c r="AF320" s="271" t="s">
        <v>208</v>
      </c>
      <c r="AG320" s="277">
        <f ca="1">Table2[[#This Row],[End Date]]+2-TODAY()</f>
        <v>-38</v>
      </c>
      <c r="AH320" s="275">
        <f>IF(ISBLANK(Table2[[#This Row],[Roster Received By]]),1,0)</f>
        <v>0</v>
      </c>
      <c r="AI320" s="275">
        <f ca="1">IF(Table2[[#This Row],[Start Date]]&gt;TODAY(),1,)</f>
        <v>0</v>
      </c>
    </row>
    <row r="321" spans="1:41" s="101" customFormat="1" x14ac:dyDescent="0.25">
      <c r="A321" s="146"/>
      <c r="B321" s="241" t="s">
        <v>236</v>
      </c>
      <c r="C321" s="147" t="str">
        <f>VLOOKUP(Table2[[#This Row],[Course]],Data!$A$1:$E$56,2,FALSE)</f>
        <v>A-493-0103</v>
      </c>
      <c r="D321" s="147" t="str">
        <f>VLOOKUP(Table2[[#This Row],[Course]],Data!$A$1:$E$56,3,FALSE)</f>
        <v>12JY</v>
      </c>
      <c r="E321" s="285" t="s">
        <v>109</v>
      </c>
      <c r="F321" s="222">
        <v>45488</v>
      </c>
      <c r="G321" s="222">
        <v>45492</v>
      </c>
      <c r="H321" s="151">
        <v>0.33333333333333331</v>
      </c>
      <c r="I321" s="151"/>
      <c r="J321" s="149"/>
      <c r="K321" s="149"/>
      <c r="L321" s="149"/>
      <c r="M321" s="149"/>
      <c r="N321" s="149"/>
      <c r="O321" s="100" t="s">
        <v>94</v>
      </c>
      <c r="P321" s="100"/>
      <c r="Q321" s="152" t="e">
        <v>#REF!</v>
      </c>
      <c r="R321" s="152" t="e">
        <v>#REF!</v>
      </c>
      <c r="S321" s="153"/>
      <c r="T321" s="146"/>
      <c r="U321" s="146"/>
      <c r="V321" s="154">
        <f>VLOOKUP(Table2[[#This Row],[Course]],Data!$A$1:$E$56,4,FALSE)</f>
        <v>25</v>
      </c>
      <c r="W321" s="154">
        <f>VLOOKUP(Table2[[#This Row],[Course]],Data!$A$1:$E$56,5,FALSE)</f>
        <v>5</v>
      </c>
      <c r="X321" s="154">
        <v>152</v>
      </c>
      <c r="Y321" s="275">
        <v>25</v>
      </c>
      <c r="Z321" s="275">
        <v>0</v>
      </c>
      <c r="AA321" s="275">
        <v>20</v>
      </c>
      <c r="AB321" s="276">
        <v>0</v>
      </c>
      <c r="AC321" s="275">
        <v>6</v>
      </c>
      <c r="AD321" s="275">
        <v>2</v>
      </c>
      <c r="AE321" s="275">
        <v>0</v>
      </c>
      <c r="AF321" s="271" t="s">
        <v>189</v>
      </c>
      <c r="AG321" s="277">
        <f ca="1">Table2[[#This Row],[End Date]]+2-TODAY()</f>
        <v>-38</v>
      </c>
      <c r="AH321" s="275">
        <f>IF(ISBLANK(Table2[[#This Row],[Roster Received By]]),1,0)</f>
        <v>0</v>
      </c>
      <c r="AI321" s="275">
        <f ca="1">IF(Table2[[#This Row],[Start Date]]&gt;TODAY(),1,)</f>
        <v>0</v>
      </c>
    </row>
    <row r="322" spans="1:41" s="146" customFormat="1" x14ac:dyDescent="0.25">
      <c r="A322" s="240" t="s">
        <v>521</v>
      </c>
      <c r="B322" s="287" t="s">
        <v>18</v>
      </c>
      <c r="C322" s="160" t="str">
        <f>VLOOKUP(Table2[[#This Row],[Course]],Data!$A$1:$E$56,2,FALSE)</f>
        <v>A-493-0013</v>
      </c>
      <c r="D322" s="160">
        <f>VLOOKUP(Table2[[#This Row],[Course]],Data!$A$1:$E$56,3,FALSE)</f>
        <v>3683</v>
      </c>
      <c r="E322" s="286" t="s">
        <v>351</v>
      </c>
      <c r="F322" s="206">
        <v>45488</v>
      </c>
      <c r="G322" s="206">
        <v>45489</v>
      </c>
      <c r="H322" s="151">
        <v>0.33333333333333331</v>
      </c>
      <c r="I322" s="163"/>
      <c r="J322" s="161"/>
      <c r="K322" s="161"/>
      <c r="L322" s="161"/>
      <c r="M322" s="161"/>
      <c r="N322" s="161"/>
      <c r="O322" s="159" t="s">
        <v>78</v>
      </c>
      <c r="P322" s="159"/>
      <c r="Q322" s="179"/>
      <c r="R322" s="180"/>
      <c r="S322" s="179"/>
      <c r="T322" s="174"/>
      <c r="U322" s="174"/>
      <c r="V322" s="164">
        <v>40</v>
      </c>
      <c r="W322" s="165">
        <v>2</v>
      </c>
      <c r="X322" s="165">
        <v>0</v>
      </c>
      <c r="Y322" s="353">
        <v>13</v>
      </c>
      <c r="Z322" s="353">
        <v>0</v>
      </c>
      <c r="AA322" s="338">
        <v>14</v>
      </c>
      <c r="AB322" s="338">
        <v>0</v>
      </c>
      <c r="AC322" s="339">
        <v>0</v>
      </c>
      <c r="AD322" s="339">
        <v>1</v>
      </c>
      <c r="AE322" s="339">
        <v>0</v>
      </c>
      <c r="AF322" s="340" t="s">
        <v>191</v>
      </c>
      <c r="AG322" s="341">
        <f ca="1">Table2[[#This Row],[End Date]]+2-TODAY()</f>
        <v>-41</v>
      </c>
      <c r="AH322" s="339">
        <f>IF(ISBLANK(Table2[[#This Row],[Roster Received By]]),1,0)</f>
        <v>0</v>
      </c>
      <c r="AI322" s="339">
        <f ca="1">IF(Table2[[#This Row],[Start Date]]&gt;TODAY(),1,)</f>
        <v>0</v>
      </c>
    </row>
    <row r="323" spans="1:41" s="146" customFormat="1" x14ac:dyDescent="0.25">
      <c r="A323" s="100" t="s">
        <v>522</v>
      </c>
      <c r="B323" s="241" t="s">
        <v>270</v>
      </c>
      <c r="C323" s="147" t="str">
        <f>VLOOKUP(Table2[[#This Row],[Course]],Data!$A$1:$E$56,2,FALSE)</f>
        <v>A-493-0331</v>
      </c>
      <c r="D323" s="147" t="str">
        <f>VLOOKUP(Table2[[#This Row],[Course]],Data!$A$1:$E$56,3,FALSE)</f>
        <v>10UG</v>
      </c>
      <c r="E323" s="285" t="s">
        <v>116</v>
      </c>
      <c r="F323" s="394">
        <v>45488</v>
      </c>
      <c r="G323" s="394">
        <v>45490</v>
      </c>
      <c r="H323" s="148"/>
      <c r="I323" s="150">
        <v>0.79166666666666663</v>
      </c>
      <c r="J323" s="150">
        <v>0.66666666666666663</v>
      </c>
      <c r="K323" s="150">
        <v>8.3333333333333329E-2</v>
      </c>
      <c r="L323" s="150">
        <v>0</v>
      </c>
      <c r="M323" s="150">
        <v>0.54166666666666663</v>
      </c>
      <c r="N323" s="150">
        <v>0.33333333333333331</v>
      </c>
      <c r="O323" s="100" t="s">
        <v>84</v>
      </c>
      <c r="P323" s="100"/>
      <c r="Q323" s="171" t="e">
        <v>#REF!</v>
      </c>
      <c r="R323" s="171" t="e">
        <v>#REF!</v>
      </c>
      <c r="S323" s="173"/>
      <c r="T323" s="101"/>
      <c r="U323" s="101"/>
      <c r="V323" s="154">
        <f>VLOOKUP(Table2[[#This Row],[Course]],Data!$A$1:$E$56,4,FALSE)</f>
        <v>40</v>
      </c>
      <c r="W323" s="154">
        <f>VLOOKUP(Table2[[#This Row],[Course]],Data!$A$1:$E$56,5,FALSE)</f>
        <v>3</v>
      </c>
      <c r="X323" s="154">
        <v>116</v>
      </c>
      <c r="Y323" s="275">
        <v>40</v>
      </c>
      <c r="Z323" s="275">
        <v>5</v>
      </c>
      <c r="AA323" s="275">
        <v>31</v>
      </c>
      <c r="AB323" s="276">
        <v>4</v>
      </c>
      <c r="AC323" s="275">
        <v>9</v>
      </c>
      <c r="AD323" s="275">
        <v>0</v>
      </c>
      <c r="AE323" s="275">
        <v>0</v>
      </c>
      <c r="AF323" s="271" t="s">
        <v>208</v>
      </c>
      <c r="AG323" s="277">
        <f ca="1">Table2[[#This Row],[End Date]]+2-TODAY()</f>
        <v>-40</v>
      </c>
      <c r="AH323" s="275">
        <f>IF(ISBLANK(Table2[[#This Row],[Roster Received By]]),1,0)</f>
        <v>0</v>
      </c>
      <c r="AI323" s="275">
        <f ca="1">IF(Table2[[#This Row],[Start Date]]&gt;TODAY(),1,)</f>
        <v>0</v>
      </c>
    </row>
    <row r="324" spans="1:41" s="101" customFormat="1" x14ac:dyDescent="0.25">
      <c r="A324" s="146"/>
      <c r="B324" s="241" t="s">
        <v>317</v>
      </c>
      <c r="C324" s="147" t="str">
        <f>VLOOKUP(Table2[[#This Row],[Course]],Data!$A$1:$E$56,2,FALSE)</f>
        <v>A-493-2098</v>
      </c>
      <c r="D324" s="147" t="str">
        <f>VLOOKUP(Table2[[#This Row],[Course]],Data!$A$1:$E$56,3,FALSE)</f>
        <v>09WW</v>
      </c>
      <c r="E324" s="241" t="s">
        <v>116</v>
      </c>
      <c r="F324" s="242">
        <v>45488</v>
      </c>
      <c r="G324" s="242">
        <v>45492</v>
      </c>
      <c r="H324" s="149"/>
      <c r="I324" s="150">
        <v>0.54166666666666663</v>
      </c>
      <c r="J324" s="150">
        <v>0.41666666666666669</v>
      </c>
      <c r="K324" s="150">
        <v>0.83333333333333337</v>
      </c>
      <c r="L324" s="150">
        <v>0.75</v>
      </c>
      <c r="M324" s="150">
        <v>0.29166666666666669</v>
      </c>
      <c r="N324" s="150">
        <v>8.3333333333333329E-2</v>
      </c>
      <c r="O324" s="100" t="s">
        <v>89</v>
      </c>
      <c r="P324" s="100"/>
      <c r="Q324" s="170" t="e">
        <v>#REF!</v>
      </c>
      <c r="R324" s="171" t="e">
        <v>#REF!</v>
      </c>
      <c r="S324" s="170"/>
      <c r="V324" s="154">
        <f>VLOOKUP(Table2[[#This Row],[Course]],Data!$A$1:$E$56,4,FALSE)</f>
        <v>100</v>
      </c>
      <c r="W324" s="154">
        <f>VLOOKUP(Table2[[#This Row],[Course]],Data!$A$1:$E$56,5,FALSE)</f>
        <v>5</v>
      </c>
      <c r="X324" s="154">
        <v>1257</v>
      </c>
      <c r="Y324" s="275">
        <v>97</v>
      </c>
      <c r="Z324" s="275">
        <v>0</v>
      </c>
      <c r="AA324" s="275">
        <v>76</v>
      </c>
      <c r="AB324" s="276">
        <v>1</v>
      </c>
      <c r="AC324" s="275">
        <v>24</v>
      </c>
      <c r="AD324" s="275">
        <v>1</v>
      </c>
      <c r="AE324" s="275">
        <v>0</v>
      </c>
      <c r="AF324" s="271" t="s">
        <v>208</v>
      </c>
      <c r="AG324" s="277">
        <f ca="1">Table2[[#This Row],[End Date]]+2-TODAY()</f>
        <v>-38</v>
      </c>
      <c r="AH324" s="275">
        <f>IF(ISBLANK(Table2[[#This Row],[Roster Received By]]),1,0)</f>
        <v>0</v>
      </c>
      <c r="AI324" s="275">
        <f ca="1">IF(Table2[[#This Row],[Start Date]]&gt;TODAY(),1,)</f>
        <v>0</v>
      </c>
      <c r="AJ324" s="301"/>
      <c r="AK324" s="301"/>
      <c r="AL324" s="301"/>
      <c r="AM324" s="301"/>
      <c r="AN324" s="301"/>
      <c r="AO324" s="301"/>
    </row>
    <row r="325" spans="1:41" s="146" customFormat="1" x14ac:dyDescent="0.25">
      <c r="B325" s="241" t="s">
        <v>18</v>
      </c>
      <c r="C325" s="147" t="str">
        <f>VLOOKUP(Table2[[#This Row],[Course]],Data!$A$1:$E$56,2,FALSE)</f>
        <v>A-493-0013</v>
      </c>
      <c r="D325" s="147">
        <f>VLOOKUP(Table2[[#This Row],[Course]],Data!$A$1:$E$56,3,FALSE)</f>
        <v>3683</v>
      </c>
      <c r="E325" s="241" t="s">
        <v>155</v>
      </c>
      <c r="F325" s="242">
        <v>45489</v>
      </c>
      <c r="G325" s="242">
        <v>45491</v>
      </c>
      <c r="H325" s="151">
        <v>0.33333333333333331</v>
      </c>
      <c r="I325" s="151"/>
      <c r="J325" s="151"/>
      <c r="K325" s="151"/>
      <c r="L325" s="151"/>
      <c r="M325" s="151"/>
      <c r="N325" s="149"/>
      <c r="O325" s="146" t="s">
        <v>78</v>
      </c>
      <c r="Q325" s="171" t="e">
        <v>#REF!</v>
      </c>
      <c r="R325" s="171" t="e">
        <v>#REF!</v>
      </c>
      <c r="S325" s="173"/>
      <c r="T325" s="101"/>
      <c r="U325" s="101"/>
      <c r="V325" s="154">
        <f>VLOOKUP(Table2[[#This Row],[Course]],Data!$A$1:$E$56,4,FALSE)</f>
        <v>40</v>
      </c>
      <c r="W325" s="154">
        <v>3</v>
      </c>
      <c r="X325" s="154">
        <v>7</v>
      </c>
      <c r="Y325" s="275">
        <v>33</v>
      </c>
      <c r="Z325" s="275">
        <v>0</v>
      </c>
      <c r="AA325" s="275">
        <v>23</v>
      </c>
      <c r="AB325" s="276">
        <v>4</v>
      </c>
      <c r="AC325" s="275">
        <v>7</v>
      </c>
      <c r="AD325" s="275">
        <v>1</v>
      </c>
      <c r="AE325" s="275">
        <v>0</v>
      </c>
      <c r="AF325" s="271" t="s">
        <v>191</v>
      </c>
      <c r="AG325" s="277">
        <f ca="1">Table2[[#This Row],[End Date]]+2-TODAY()</f>
        <v>-39</v>
      </c>
      <c r="AH325" s="275">
        <f>IF(ISBLANK(Table2[[#This Row],[Roster Received By]]),1,0)</f>
        <v>0</v>
      </c>
      <c r="AI325" s="275">
        <f ca="1">IF(Table2[[#This Row],[Start Date]]&gt;TODAY(),1,)</f>
        <v>0</v>
      </c>
    </row>
    <row r="326" spans="1:41" s="269" customFormat="1" x14ac:dyDescent="0.25">
      <c r="A326" s="146"/>
      <c r="B326" s="418" t="s">
        <v>6</v>
      </c>
      <c r="C326" s="147" t="str">
        <f>VLOOKUP(Table2[[#This Row],[Course]],Data!$A$1:$E$56,2,FALSE)</f>
        <v>A-493-0014</v>
      </c>
      <c r="D326" s="147">
        <f>VLOOKUP(Table2[[#This Row],[Course]],Data!$A$1:$E$56,3,FALSE)</f>
        <v>3878</v>
      </c>
      <c r="E326" s="228" t="s">
        <v>147</v>
      </c>
      <c r="F326" s="222">
        <v>45495</v>
      </c>
      <c r="G326" s="222">
        <v>45497</v>
      </c>
      <c r="H326" s="162">
        <v>0.33333333333333331</v>
      </c>
      <c r="I326" s="162"/>
      <c r="J326" s="149"/>
      <c r="K326" s="149"/>
      <c r="L326" s="149"/>
      <c r="M326" s="149"/>
      <c r="N326" s="149"/>
      <c r="O326" s="100" t="s">
        <v>81</v>
      </c>
      <c r="P326" s="100" t="s">
        <v>88</v>
      </c>
      <c r="Q326" s="152" t="e">
        <v>#REF!</v>
      </c>
      <c r="R326" s="152" t="e">
        <v>#REF!</v>
      </c>
      <c r="S326" s="152"/>
      <c r="T326" s="146"/>
      <c r="U326" s="146"/>
      <c r="V326" s="154">
        <f>VLOOKUP(Table2[[#This Row],[Course]],Data!$A$1:$E$56,4,FALSE)</f>
        <v>25</v>
      </c>
      <c r="W326" s="154">
        <f>VLOOKUP(Table2[[#This Row],[Course]],Data!$A$1:$E$56,5,FALSE)</f>
        <v>3</v>
      </c>
      <c r="X326" s="154">
        <v>36</v>
      </c>
      <c r="Y326" s="275">
        <v>14</v>
      </c>
      <c r="Z326" s="275">
        <v>0</v>
      </c>
      <c r="AA326" s="275">
        <v>14</v>
      </c>
      <c r="AB326" s="276">
        <v>1</v>
      </c>
      <c r="AC326" s="275">
        <v>0</v>
      </c>
      <c r="AD326" s="275">
        <v>1</v>
      </c>
      <c r="AE326" s="275"/>
      <c r="AF326" s="271" t="s">
        <v>208</v>
      </c>
      <c r="AG326" s="277">
        <f ca="1">Table2[[#This Row],[End Date]]+2-TODAY()</f>
        <v>-33</v>
      </c>
      <c r="AH326" s="275">
        <f>IF(ISBLANK(Table2[[#This Row],[Roster Received By]]),1,0)</f>
        <v>0</v>
      </c>
      <c r="AI326" s="275">
        <f ca="1">IF(Table2[[#This Row],[Start Date]]&gt;TODAY(),1,)</f>
        <v>0</v>
      </c>
    </row>
    <row r="327" spans="1:41" s="146" customFormat="1" x14ac:dyDescent="0.25">
      <c r="B327" s="241" t="s">
        <v>214</v>
      </c>
      <c r="C327" s="147" t="str">
        <f>VLOOKUP(Table2[[#This Row],[Course]],Data!$A$1:$E$56,2,FALSE)</f>
        <v>A-493-0665</v>
      </c>
      <c r="D327" s="147" t="str">
        <f>VLOOKUP(Table2[[#This Row],[Course]],Data!$A$1:$E$56,3,FALSE)</f>
        <v>10KW</v>
      </c>
      <c r="E327" s="228" t="s">
        <v>116</v>
      </c>
      <c r="F327" s="222">
        <v>45495</v>
      </c>
      <c r="G327" s="222">
        <v>45499</v>
      </c>
      <c r="H327" s="149"/>
      <c r="I327" s="150">
        <v>0.54166666666666663</v>
      </c>
      <c r="J327" s="150">
        <v>0.41666666666666669</v>
      </c>
      <c r="K327" s="150">
        <v>0.83333333333333337</v>
      </c>
      <c r="L327" s="150">
        <v>0.75</v>
      </c>
      <c r="M327" s="150">
        <v>0.29166666666666669</v>
      </c>
      <c r="N327" s="150">
        <v>8.3333333333333329E-2</v>
      </c>
      <c r="O327" s="100" t="s">
        <v>231</v>
      </c>
      <c r="P327" s="100"/>
      <c r="Q327" s="155" t="e">
        <v>#REF!</v>
      </c>
      <c r="R327" s="152" t="e">
        <v>#REF!</v>
      </c>
      <c r="S327" s="155"/>
      <c r="V327" s="154">
        <f>VLOOKUP(Table2[[#This Row],[Course]],Data!$A$1:$E$56,4,FALSE)</f>
        <v>45</v>
      </c>
      <c r="W327" s="154">
        <f>VLOOKUP(Table2[[#This Row],[Course]],Data!$A$1:$E$56,5,FALSE)</f>
        <v>5</v>
      </c>
      <c r="X327" s="154">
        <v>343</v>
      </c>
      <c r="Y327" s="275">
        <v>14</v>
      </c>
      <c r="Z327" s="275">
        <v>0</v>
      </c>
      <c r="AA327" s="275">
        <v>12</v>
      </c>
      <c r="AB327" s="276">
        <v>0</v>
      </c>
      <c r="AC327" s="275">
        <v>2</v>
      </c>
      <c r="AD327" s="275">
        <v>0</v>
      </c>
      <c r="AE327" s="275">
        <v>0</v>
      </c>
      <c r="AF327" s="271" t="s">
        <v>189</v>
      </c>
      <c r="AG327" s="277">
        <f ca="1">Table2[[#This Row],[End Date]]+2-TODAY()</f>
        <v>-31</v>
      </c>
      <c r="AH327" s="275">
        <f>IF(ISBLANK(Table2[[#This Row],[Roster Received By]]),1,0)</f>
        <v>0</v>
      </c>
      <c r="AI327" s="275">
        <f ca="1">IF(Table2[[#This Row],[Start Date]]&gt;TODAY(),1,)</f>
        <v>0</v>
      </c>
    </row>
    <row r="328" spans="1:41" s="146" customFormat="1" x14ac:dyDescent="0.25">
      <c r="B328" s="241" t="s">
        <v>15</v>
      </c>
      <c r="C328" s="147" t="str">
        <f>VLOOKUP(Table2[[#This Row],[Course]],Data!$A$1:$E$56,2,FALSE)</f>
        <v>A-493-0021</v>
      </c>
      <c r="D328" s="147" t="str">
        <f>VLOOKUP(Table2[[#This Row],[Course]],Data!$A$1:$E$56,3,FALSE)</f>
        <v>18BN</v>
      </c>
      <c r="E328" s="228" t="s">
        <v>147</v>
      </c>
      <c r="F328" s="222">
        <v>45495</v>
      </c>
      <c r="G328" s="222">
        <v>45499</v>
      </c>
      <c r="H328" s="151">
        <v>0.33333333333333331</v>
      </c>
      <c r="I328" s="151"/>
      <c r="J328" s="149"/>
      <c r="K328" s="149"/>
      <c r="L328" s="149"/>
      <c r="M328" s="149"/>
      <c r="N328" s="149"/>
      <c r="O328" s="100" t="s">
        <v>94</v>
      </c>
      <c r="P328" s="100"/>
      <c r="Q328" s="152" t="e">
        <v>#REF!</v>
      </c>
      <c r="R328" s="152" t="e">
        <v>#REF!</v>
      </c>
      <c r="S328" s="153"/>
      <c r="V328" s="154">
        <f>VLOOKUP(Table2[[#This Row],[Course]],Data!$A$1:$E$56,4,FALSE)</f>
        <v>35</v>
      </c>
      <c r="W328" s="154">
        <f>VLOOKUP(Table2[[#This Row],[Course]],Data!$A$1:$E$56,5,FALSE)</f>
        <v>5</v>
      </c>
      <c r="X328" s="154">
        <v>16</v>
      </c>
      <c r="Y328" s="275">
        <v>21</v>
      </c>
      <c r="Z328" s="275">
        <v>0</v>
      </c>
      <c r="AA328" s="275">
        <v>16</v>
      </c>
      <c r="AB328" s="276">
        <v>1</v>
      </c>
      <c r="AC328" s="275">
        <v>4</v>
      </c>
      <c r="AD328" s="275">
        <v>0</v>
      </c>
      <c r="AE328" s="275">
        <v>0</v>
      </c>
      <c r="AF328" s="271" t="s">
        <v>189</v>
      </c>
      <c r="AG328" s="277">
        <f ca="1">Table2[[#This Row],[End Date]]+2-TODAY()</f>
        <v>-31</v>
      </c>
      <c r="AH328" s="275">
        <f>IF(ISBLANK(Table2[[#This Row],[Roster Received By]]),1,0)</f>
        <v>0</v>
      </c>
      <c r="AI328" s="275">
        <f ca="1">IF(Table2[[#This Row],[Start Date]]&gt;TODAY(),1,)</f>
        <v>0</v>
      </c>
    </row>
    <row r="329" spans="1:41" s="146" customFormat="1" x14ac:dyDescent="0.25">
      <c r="B329" s="241" t="s">
        <v>243</v>
      </c>
      <c r="C329" s="147" t="str">
        <f>VLOOKUP(Table2[[#This Row],[Course]],Data!$A$1:$E$56,2,FALSE)</f>
        <v>A-493-0061</v>
      </c>
      <c r="D329" s="147" t="str">
        <f>VLOOKUP(Table2[[#This Row],[Course]],Data!$A$1:$E$56,3,FALSE)</f>
        <v>288E</v>
      </c>
      <c r="E329" s="228" t="s">
        <v>116</v>
      </c>
      <c r="F329" s="222">
        <v>45495</v>
      </c>
      <c r="G329" s="222">
        <v>45499</v>
      </c>
      <c r="H329" s="149"/>
      <c r="I329" s="150">
        <v>0.33333333333333331</v>
      </c>
      <c r="J329" s="150">
        <v>0.20833333333333334</v>
      </c>
      <c r="K329" s="150">
        <v>0.625</v>
      </c>
      <c r="L329" s="150">
        <v>0.54166666666666663</v>
      </c>
      <c r="M329" s="150">
        <v>8.3333333333333329E-2</v>
      </c>
      <c r="N329" s="150">
        <v>0.875</v>
      </c>
      <c r="O329" s="100" t="s">
        <v>92</v>
      </c>
      <c r="P329" s="100"/>
      <c r="Q329" s="152" t="e">
        <v>#REF!</v>
      </c>
      <c r="R329" s="152" t="e">
        <v>#REF!</v>
      </c>
      <c r="S329" s="152"/>
      <c r="V329" s="154">
        <f>VLOOKUP(Table2[[#This Row],[Course]],Data!$A$1:$E$56,4,FALSE)</f>
        <v>45</v>
      </c>
      <c r="W329" s="154">
        <f>VLOOKUP(Table2[[#This Row],[Course]],Data!$A$1:$E$56,5,FALSE)</f>
        <v>5</v>
      </c>
      <c r="X329" s="154">
        <v>480</v>
      </c>
      <c r="Y329" s="275">
        <v>19</v>
      </c>
      <c r="Z329" s="275">
        <v>0</v>
      </c>
      <c r="AA329" s="275">
        <v>17</v>
      </c>
      <c r="AB329" s="276">
        <v>0</v>
      </c>
      <c r="AC329" s="275">
        <v>2</v>
      </c>
      <c r="AD329" s="275">
        <v>0</v>
      </c>
      <c r="AE329" s="272">
        <v>0</v>
      </c>
      <c r="AF329" s="271" t="s">
        <v>189</v>
      </c>
      <c r="AG329" s="277">
        <f ca="1">Table2[[#This Row],[End Date]]+2-TODAY()</f>
        <v>-31</v>
      </c>
      <c r="AH329" s="275">
        <f>IF(ISBLANK(Table2[[#This Row],[Roster Received By]]),1,0)</f>
        <v>0</v>
      </c>
      <c r="AI329" s="275">
        <f ca="1">IF(Table2[[#This Row],[Start Date]]&gt;TODAY(),1,)</f>
        <v>0</v>
      </c>
    </row>
    <row r="330" spans="1:41" s="146" customFormat="1" x14ac:dyDescent="0.25">
      <c r="B330" s="241" t="s">
        <v>249</v>
      </c>
      <c r="C330" s="147" t="str">
        <f>VLOOKUP(Table2[[#This Row],[Course]],Data!$A$1:$E$56,2,FALSE)</f>
        <v>A-322-2604</v>
      </c>
      <c r="D330" s="147" t="str">
        <f>VLOOKUP(Table2[[#This Row],[Course]],Data!$A$1:$E$56,3,FALSE)</f>
        <v>10ZZ</v>
      </c>
      <c r="E330" s="228" t="s">
        <v>116</v>
      </c>
      <c r="F330" s="222">
        <v>45495</v>
      </c>
      <c r="G330" s="222">
        <v>45499</v>
      </c>
      <c r="H330" s="149"/>
      <c r="I330" s="150">
        <v>0.54166666666666663</v>
      </c>
      <c r="J330" s="150">
        <v>0.41666666666666669</v>
      </c>
      <c r="K330" s="150">
        <v>0.83333333333333337</v>
      </c>
      <c r="L330" s="150">
        <v>0.75</v>
      </c>
      <c r="M330" s="150">
        <v>0.29166666666666669</v>
      </c>
      <c r="N330" s="150">
        <v>8.3333333333333329E-2</v>
      </c>
      <c r="O330" s="100" t="s">
        <v>231</v>
      </c>
      <c r="P330" s="100"/>
      <c r="Q330" s="170" t="e">
        <v>#REF!</v>
      </c>
      <c r="R330" s="171" t="e">
        <v>#REF!</v>
      </c>
      <c r="S330" s="170"/>
      <c r="T330" s="101"/>
      <c r="U330" s="101"/>
      <c r="V330" s="154">
        <f>VLOOKUP(Table2[[#This Row],[Course]],Data!$A$1:$E$56,4,FALSE)</f>
        <v>45</v>
      </c>
      <c r="W330" s="154">
        <f>VLOOKUP(Table2[[#This Row],[Course]],Data!$A$1:$E$56,5,FALSE)</f>
        <v>5</v>
      </c>
      <c r="X330" s="154">
        <v>653</v>
      </c>
      <c r="Y330" s="275">
        <v>45</v>
      </c>
      <c r="Z330" s="275">
        <v>3</v>
      </c>
      <c r="AA330" s="275">
        <v>43</v>
      </c>
      <c r="AB330" s="276">
        <v>1</v>
      </c>
      <c r="AC330" s="275">
        <v>4</v>
      </c>
      <c r="AD330" s="275">
        <v>3</v>
      </c>
      <c r="AE330" s="275">
        <v>0</v>
      </c>
      <c r="AF330" s="271" t="s">
        <v>191</v>
      </c>
      <c r="AG330" s="277">
        <f ca="1">Table2[[#This Row],[End Date]]+2-TODAY()</f>
        <v>-31</v>
      </c>
      <c r="AH330" s="275">
        <f>IF(ISBLANK(Table2[[#This Row],[Roster Received By]]),1,0)</f>
        <v>0</v>
      </c>
      <c r="AI330" s="275">
        <f ca="1">IF(Table2[[#This Row],[Start Date]]&gt;TODAY(),1,)</f>
        <v>0</v>
      </c>
    </row>
    <row r="331" spans="1:41" s="146" customFormat="1" x14ac:dyDescent="0.25">
      <c r="B331" s="241" t="s">
        <v>24</v>
      </c>
      <c r="C331" s="147" t="str">
        <f>VLOOKUP(Table2[[#This Row],[Course]],Data!$A$1:$E$56,2,FALSE)</f>
        <v>A-493-0083</v>
      </c>
      <c r="D331" s="147" t="str">
        <f>VLOOKUP(Table2[[#This Row],[Course]],Data!$A$1:$E$56,3,FALSE)</f>
        <v>339E</v>
      </c>
      <c r="E331" s="285" t="s">
        <v>116</v>
      </c>
      <c r="F331" s="218">
        <v>45495</v>
      </c>
      <c r="G331" s="218">
        <v>45495</v>
      </c>
      <c r="H331" s="148"/>
      <c r="I331" s="150">
        <v>0.79166666666666663</v>
      </c>
      <c r="J331" s="150">
        <v>0.66666666666666663</v>
      </c>
      <c r="K331" s="150">
        <v>8.3333333333333329E-2</v>
      </c>
      <c r="L331" s="150">
        <v>0</v>
      </c>
      <c r="M331" s="150">
        <v>0.54166666666666663</v>
      </c>
      <c r="N331" s="150">
        <v>0.33333333333333331</v>
      </c>
      <c r="O331" s="100" t="s">
        <v>78</v>
      </c>
      <c r="P331" s="100"/>
      <c r="Q331" s="155" t="e">
        <v>#REF!</v>
      </c>
      <c r="R331" s="152" t="e">
        <v>#REF!</v>
      </c>
      <c r="S331" s="155"/>
      <c r="V331" s="154">
        <f>VLOOKUP(Table2[[#This Row],[Course]],Data!$A$1:$E$56,4,FALSE)</f>
        <v>30</v>
      </c>
      <c r="W331" s="154">
        <f>VLOOKUP(Table2[[#This Row],[Course]],Data!$A$1:$E$56,5,FALSE)</f>
        <v>1</v>
      </c>
      <c r="X331" s="154">
        <v>0</v>
      </c>
      <c r="Y331" s="275">
        <v>30</v>
      </c>
      <c r="Z331" s="275">
        <v>0</v>
      </c>
      <c r="AA331" s="275">
        <v>19</v>
      </c>
      <c r="AB331" s="276">
        <v>0</v>
      </c>
      <c r="AC331" s="275">
        <v>11</v>
      </c>
      <c r="AD331" s="275">
        <v>1</v>
      </c>
      <c r="AE331" s="275">
        <v>0</v>
      </c>
      <c r="AF331" s="271" t="s">
        <v>191</v>
      </c>
      <c r="AG331" s="277">
        <f ca="1">Table2[[#This Row],[End Date]]+2-TODAY()</f>
        <v>-35</v>
      </c>
      <c r="AH331" s="275">
        <f>IF(ISBLANK(Table2[[#This Row],[Roster Received By]]),1,0)</f>
        <v>0</v>
      </c>
      <c r="AI331" s="275">
        <f ca="1">IF(Table2[[#This Row],[Start Date]]&gt;TODAY(),1,)</f>
        <v>0</v>
      </c>
    </row>
    <row r="332" spans="1:41" s="146" customFormat="1" x14ac:dyDescent="0.25">
      <c r="A332" s="100"/>
      <c r="B332" s="261" t="s">
        <v>274</v>
      </c>
      <c r="C332" s="147" t="str">
        <f>VLOOKUP(Table2[[#This Row],[Course]],Data!$A$1:$E$56,2,FALSE)</f>
        <v>A-493-0335</v>
      </c>
      <c r="D332" s="147" t="str">
        <f>VLOOKUP(Table2[[#This Row],[Course]],Data!$A$1:$E$56,3,FALSE)</f>
        <v>09ND</v>
      </c>
      <c r="E332" s="228" t="s">
        <v>116</v>
      </c>
      <c r="F332" s="222">
        <v>45495</v>
      </c>
      <c r="G332" s="222">
        <v>45498</v>
      </c>
      <c r="H332" s="149"/>
      <c r="I332" s="150">
        <v>0.5</v>
      </c>
      <c r="J332" s="150">
        <v>0.375</v>
      </c>
      <c r="K332" s="150">
        <v>0.79166666666666663</v>
      </c>
      <c r="L332" s="150">
        <v>0.70833333333333337</v>
      </c>
      <c r="M332" s="150">
        <v>0.25</v>
      </c>
      <c r="N332" s="150">
        <v>4.1666666666666664E-2</v>
      </c>
      <c r="O332" s="100" t="s">
        <v>84</v>
      </c>
      <c r="P332" s="100"/>
      <c r="Q332" s="171" t="e">
        <v>#REF!</v>
      </c>
      <c r="R332" s="171" t="e">
        <v>#REF!</v>
      </c>
      <c r="S332" s="173"/>
      <c r="T332" s="101"/>
      <c r="U332" s="101"/>
      <c r="V332" s="154">
        <f>VLOOKUP(Table2[[#This Row],[Course]],Data!$A$1:$E$56,4,FALSE)</f>
        <v>30</v>
      </c>
      <c r="W332" s="154">
        <f>VLOOKUP(Table2[[#This Row],[Course]],Data!$A$1:$E$56,5,FALSE)</f>
        <v>4</v>
      </c>
      <c r="X332" s="154">
        <v>499</v>
      </c>
      <c r="Y332" s="275">
        <v>23</v>
      </c>
      <c r="Z332" s="275">
        <v>0</v>
      </c>
      <c r="AA332" s="275">
        <v>15</v>
      </c>
      <c r="AB332" s="276">
        <v>3</v>
      </c>
      <c r="AC332" s="275">
        <v>4</v>
      </c>
      <c r="AD332" s="275">
        <v>0</v>
      </c>
      <c r="AE332" s="275">
        <v>0</v>
      </c>
      <c r="AF332" s="271" t="s">
        <v>208</v>
      </c>
      <c r="AG332" s="277">
        <f ca="1">Table2[[#This Row],[End Date]]+2-TODAY()</f>
        <v>-32</v>
      </c>
      <c r="AH332" s="275">
        <f>IF(ISBLANK(Table2[[#This Row],[Roster Received By]]),1,0)</f>
        <v>0</v>
      </c>
      <c r="AI332" s="275">
        <f ca="1">IF(Table2[[#This Row],[Start Date]]&gt;TODAY(),1,)</f>
        <v>0</v>
      </c>
    </row>
    <row r="333" spans="1:41" s="270" customFormat="1" x14ac:dyDescent="0.25">
      <c r="B333" s="329" t="s">
        <v>281</v>
      </c>
      <c r="C333" s="272" t="str">
        <f>VLOOKUP(Table2[[#This Row],[Course]],Data!$A$1:$E$56,2,FALSE)</f>
        <v>A-493-0550</v>
      </c>
      <c r="D333" s="272" t="str">
        <f>VLOOKUP(Table2[[#This Row],[Course]],Data!$A$1:$E$56,3,FALSE)</f>
        <v>09K5</v>
      </c>
      <c r="E333" s="392" t="s">
        <v>116</v>
      </c>
      <c r="F333" s="330">
        <v>45495</v>
      </c>
      <c r="G333" s="330">
        <v>45499</v>
      </c>
      <c r="H333" s="327"/>
      <c r="I333" s="274">
        <v>0.79166666666666663</v>
      </c>
      <c r="J333" s="274">
        <v>0.66666666666666663</v>
      </c>
      <c r="K333" s="274">
        <v>8.3333333333333329E-2</v>
      </c>
      <c r="L333" s="274">
        <v>0</v>
      </c>
      <c r="M333" s="274">
        <v>0.54166666666666663</v>
      </c>
      <c r="N333" s="274">
        <v>0.33333333333333331</v>
      </c>
      <c r="O333" s="271" t="s">
        <v>92</v>
      </c>
      <c r="P333" s="271"/>
      <c r="Q333" s="331" t="e">
        <v>#REF!</v>
      </c>
      <c r="R333" s="331" t="e">
        <v>#REF!</v>
      </c>
      <c r="S333" s="332"/>
      <c r="V333" s="275">
        <f>VLOOKUP(Table2[[#This Row],[Course]],Data!$A$1:$E$56,4,FALSE)</f>
        <v>45</v>
      </c>
      <c r="W333" s="275">
        <f>VLOOKUP(Table2[[#This Row],[Course]],Data!$A$1:$E$56,5,FALSE)</f>
        <v>4</v>
      </c>
      <c r="X333" s="275">
        <v>167</v>
      </c>
      <c r="Y333" s="275">
        <v>45</v>
      </c>
      <c r="Z333" s="275">
        <v>0</v>
      </c>
      <c r="AA333" s="275">
        <v>37</v>
      </c>
      <c r="AB333" s="276">
        <v>0</v>
      </c>
      <c r="AC333" s="275">
        <v>8</v>
      </c>
      <c r="AD333" s="275">
        <v>0</v>
      </c>
      <c r="AE333" s="275">
        <v>0</v>
      </c>
      <c r="AF333" s="271" t="s">
        <v>189</v>
      </c>
      <c r="AG333" s="277">
        <f ca="1">Table2[[#This Row],[End Date]]+2-TODAY()</f>
        <v>-31</v>
      </c>
      <c r="AH333" s="275">
        <f>IF(ISBLANK(Table2[[#This Row],[Roster Received By]]),1,0)</f>
        <v>0</v>
      </c>
      <c r="AI333" s="275">
        <f ca="1">IF(Table2[[#This Row],[Start Date]]&gt;TODAY(),1,)</f>
        <v>0</v>
      </c>
    </row>
    <row r="334" spans="1:41" s="146" customFormat="1" x14ac:dyDescent="0.25">
      <c r="B334" s="241" t="s">
        <v>292</v>
      </c>
      <c r="C334" s="147" t="str">
        <f>VLOOKUP(Table2[[#This Row],[Course]],Data!$A$1:$E$56,2,FALSE)</f>
        <v>A-493-0078</v>
      </c>
      <c r="D334" s="147">
        <f>VLOOKUP(Table2[[#This Row],[Course]],Data!$A$1:$E$56,3,FALSE)</f>
        <v>1228</v>
      </c>
      <c r="E334" s="241" t="s">
        <v>116</v>
      </c>
      <c r="F334" s="222">
        <v>45495</v>
      </c>
      <c r="G334" s="222">
        <v>45499</v>
      </c>
      <c r="H334" s="149"/>
      <c r="I334" s="150">
        <v>0.79166666666666663</v>
      </c>
      <c r="J334" s="150">
        <v>0.66666666666666663</v>
      </c>
      <c r="K334" s="150">
        <v>8.3333333333333329E-2</v>
      </c>
      <c r="L334" s="150">
        <v>0</v>
      </c>
      <c r="M334" s="150">
        <v>0.54166666666666663</v>
      </c>
      <c r="N334" s="150">
        <v>0.33333333333333331</v>
      </c>
      <c r="O334" s="100" t="s">
        <v>80</v>
      </c>
      <c r="P334" s="100"/>
      <c r="Q334" s="152" t="e">
        <v>#REF!</v>
      </c>
      <c r="R334" s="152" t="e">
        <v>#REF!</v>
      </c>
      <c r="S334" s="153"/>
      <c r="V334" s="154">
        <f>VLOOKUP(Table2[[#This Row],[Course]],Data!$A$1:$E$56,4,FALSE)</f>
        <v>45</v>
      </c>
      <c r="W334" s="154">
        <f>VLOOKUP(Table2[[#This Row],[Course]],Data!$A$1:$E$56,5,FALSE)</f>
        <v>5</v>
      </c>
      <c r="X334" s="154">
        <v>114</v>
      </c>
      <c r="Y334" s="275">
        <v>19</v>
      </c>
      <c r="Z334" s="275">
        <v>0</v>
      </c>
      <c r="AA334" s="275">
        <v>15</v>
      </c>
      <c r="AB334" s="276">
        <v>0</v>
      </c>
      <c r="AC334" s="275">
        <v>4</v>
      </c>
      <c r="AD334" s="275">
        <v>0</v>
      </c>
      <c r="AE334" s="275">
        <v>0</v>
      </c>
      <c r="AF334" s="271" t="s">
        <v>189</v>
      </c>
      <c r="AG334" s="277">
        <f ca="1">Table2[[#This Row],[End Date]]+2-TODAY()</f>
        <v>-31</v>
      </c>
      <c r="AH334" s="275">
        <f>IF(ISBLANK(Table2[[#This Row],[Roster Received By]]),1,0)</f>
        <v>0</v>
      </c>
      <c r="AI334" s="275">
        <f ca="1">IF(Table2[[#This Row],[Start Date]]&gt;TODAY(),1,)</f>
        <v>0</v>
      </c>
    </row>
    <row r="335" spans="1:41" s="146" customFormat="1" x14ac:dyDescent="0.25">
      <c r="B335" s="241" t="s">
        <v>303</v>
      </c>
      <c r="C335" s="147" t="str">
        <f>VLOOKUP(Table2[[#This Row],[Course]],Data!$A$1:$E$56,2,FALSE)</f>
        <v>A-570-0100</v>
      </c>
      <c r="D335" s="147" t="str">
        <f>VLOOKUP(Table2[[#This Row],[Course]],Data!$A$1:$E$56,3,FALSE)</f>
        <v>18B7</v>
      </c>
      <c r="E335" s="241" t="s">
        <v>116</v>
      </c>
      <c r="F335" s="222">
        <v>45495</v>
      </c>
      <c r="G335" s="222">
        <v>45498</v>
      </c>
      <c r="H335" s="149"/>
      <c r="I335" s="150">
        <v>0.54166666666666663</v>
      </c>
      <c r="J335" s="150">
        <v>0.41666666666666669</v>
      </c>
      <c r="K335" s="150">
        <v>0.83333333333333337</v>
      </c>
      <c r="L335" s="150">
        <v>0.75</v>
      </c>
      <c r="M335" s="150">
        <v>0.29166666666666669</v>
      </c>
      <c r="N335" s="150">
        <v>8.3333333333333329E-2</v>
      </c>
      <c r="O335" s="100" t="s">
        <v>89</v>
      </c>
      <c r="P335" s="100"/>
      <c r="Q335" s="155" t="e">
        <v>#REF!</v>
      </c>
      <c r="R335" s="152" t="e">
        <v>#REF!</v>
      </c>
      <c r="S335" s="155"/>
      <c r="V335" s="154">
        <f>VLOOKUP(Table2[[#This Row],[Course]],Data!$A$1:$E$56,4,FALSE)</f>
        <v>30</v>
      </c>
      <c r="W335" s="154">
        <f>VLOOKUP(Table2[[#This Row],[Course]],Data!$A$1:$E$56,5,FALSE)</f>
        <v>4</v>
      </c>
      <c r="X335" s="154">
        <v>459</v>
      </c>
      <c r="Y335" s="275">
        <v>22</v>
      </c>
      <c r="Z335" s="275">
        <v>0</v>
      </c>
      <c r="AA335" s="275">
        <v>17</v>
      </c>
      <c r="AB335" s="276">
        <v>2</v>
      </c>
      <c r="AC335" s="275">
        <v>3</v>
      </c>
      <c r="AD335" s="275">
        <v>1</v>
      </c>
      <c r="AE335" s="275">
        <v>0</v>
      </c>
      <c r="AF335" s="271" t="s">
        <v>189</v>
      </c>
      <c r="AG335" s="277">
        <f ca="1">Table2[[#This Row],[End Date]]+2-TODAY()</f>
        <v>-32</v>
      </c>
      <c r="AH335" s="275">
        <f>IF(ISBLANK(Table2[[#This Row],[Roster Received By]]),1,0)</f>
        <v>0</v>
      </c>
      <c r="AI335" s="275">
        <f ca="1">IF(Table2[[#This Row],[Start Date]]&gt;TODAY(),1,)</f>
        <v>0</v>
      </c>
    </row>
    <row r="336" spans="1:41" s="146" customFormat="1" x14ac:dyDescent="0.25">
      <c r="B336" s="241" t="s">
        <v>18</v>
      </c>
      <c r="C336" s="147" t="str">
        <f>VLOOKUP(Table2[[#This Row],[Course]],Data!$A$1:$E$56,2,FALSE)</f>
        <v>A-493-0013</v>
      </c>
      <c r="D336" s="147">
        <f>VLOOKUP(Table2[[#This Row],[Course]],Data!$A$1:$E$56,3,FALSE)</f>
        <v>3683</v>
      </c>
      <c r="E336" s="391" t="s">
        <v>338</v>
      </c>
      <c r="F336" s="222">
        <v>45496</v>
      </c>
      <c r="G336" s="222">
        <v>45498</v>
      </c>
      <c r="H336" s="151">
        <v>0.33333333333333331</v>
      </c>
      <c r="I336" s="151"/>
      <c r="J336" s="151"/>
      <c r="K336" s="151"/>
      <c r="L336" s="151"/>
      <c r="M336" s="151"/>
      <c r="N336" s="149"/>
      <c r="O336" s="146" t="s">
        <v>78</v>
      </c>
      <c r="Q336" s="152" t="e">
        <v>#REF!</v>
      </c>
      <c r="R336" s="152" t="e">
        <v>#REF!</v>
      </c>
      <c r="S336" s="153"/>
      <c r="V336" s="154">
        <f>VLOOKUP(Table2[[#This Row],[Course]],Data!$A$1:$E$56,4,FALSE)</f>
        <v>40</v>
      </c>
      <c r="W336" s="154">
        <v>3</v>
      </c>
      <c r="X336" s="154">
        <v>23</v>
      </c>
      <c r="Y336" s="275">
        <v>12</v>
      </c>
      <c r="Z336" s="275">
        <v>0</v>
      </c>
      <c r="AA336" s="275">
        <v>13</v>
      </c>
      <c r="AB336" s="276">
        <v>0</v>
      </c>
      <c r="AC336" s="275">
        <v>0</v>
      </c>
      <c r="AD336" s="275">
        <v>1</v>
      </c>
      <c r="AE336" s="275">
        <v>0</v>
      </c>
      <c r="AF336" s="271" t="s">
        <v>191</v>
      </c>
      <c r="AG336" s="277">
        <f ca="1">Table2[[#This Row],[End Date]]+2-TODAY()</f>
        <v>-32</v>
      </c>
      <c r="AH336" s="275">
        <f>IF(ISBLANK(Table2[[#This Row],[Roster Received By]]),1,0)</f>
        <v>0</v>
      </c>
      <c r="AI336" s="275">
        <f ca="1">IF(Table2[[#This Row],[Start Date]]&gt;TODAY(),1,)</f>
        <v>0</v>
      </c>
    </row>
    <row r="337" spans="1:41" s="157" customFormat="1" ht="15.75" customHeight="1" x14ac:dyDescent="0.25">
      <c r="A337" s="100"/>
      <c r="B337" s="241" t="s">
        <v>28</v>
      </c>
      <c r="C337" s="147" t="str">
        <f>VLOOKUP(Table2[[#This Row],[Course]],Data!$A$1:$E$56,2,FALSE)</f>
        <v>A-493-0092</v>
      </c>
      <c r="D337" s="147">
        <f>VLOOKUP(Table2[[#This Row],[Course]],Data!$A$1:$E$56,3,FALSE)</f>
        <v>5891</v>
      </c>
      <c r="E337" s="391" t="s">
        <v>338</v>
      </c>
      <c r="F337" s="222">
        <v>45496</v>
      </c>
      <c r="G337" s="222">
        <v>45498</v>
      </c>
      <c r="H337" s="151">
        <v>0.33333333333333331</v>
      </c>
      <c r="I337" s="151"/>
      <c r="J337" s="149"/>
      <c r="K337" s="149"/>
      <c r="L337" s="149"/>
      <c r="M337" s="149"/>
      <c r="N337" s="149"/>
      <c r="O337" s="100" t="s">
        <v>90</v>
      </c>
      <c r="P337" s="100" t="s">
        <v>198</v>
      </c>
      <c r="Q337" s="171" t="e">
        <v>#REF!</v>
      </c>
      <c r="R337" s="171" t="e">
        <v>#REF!</v>
      </c>
      <c r="S337" s="173"/>
      <c r="T337" s="101"/>
      <c r="U337" s="101"/>
      <c r="V337" s="154">
        <f>VLOOKUP(Table2[[#This Row],[Course]],Data!$A$1:$E$56,4,FALSE)</f>
        <v>25</v>
      </c>
      <c r="W337" s="154">
        <f>VLOOKUP(Table2[[#This Row],[Course]],Data!$A$1:$E$56,5,FALSE)</f>
        <v>3</v>
      </c>
      <c r="X337" s="154">
        <v>192</v>
      </c>
      <c r="Y337" s="275"/>
      <c r="Z337" s="275">
        <v>0</v>
      </c>
      <c r="AA337" s="275">
        <v>6</v>
      </c>
      <c r="AB337" s="276">
        <v>0</v>
      </c>
      <c r="AC337" s="275">
        <v>1</v>
      </c>
      <c r="AD337" s="275">
        <v>0</v>
      </c>
      <c r="AE337" s="275">
        <v>0</v>
      </c>
      <c r="AF337" s="271" t="s">
        <v>208</v>
      </c>
      <c r="AG337" s="277">
        <f ca="1">Table2[[#This Row],[End Date]]+2-TODAY()</f>
        <v>-32</v>
      </c>
      <c r="AH337" s="275">
        <f>IF(ISBLANK(Table2[[#This Row],[Roster Received By]]),1,0)</f>
        <v>0</v>
      </c>
      <c r="AI337" s="275">
        <f ca="1">IF(Table2[[#This Row],[Start Date]]&gt;TODAY(),1,)</f>
        <v>0</v>
      </c>
    </row>
    <row r="338" spans="1:41" s="185" customFormat="1" ht="15.75" customHeight="1" x14ac:dyDescent="0.25">
      <c r="A338" s="146"/>
      <c r="B338" s="241" t="s">
        <v>288</v>
      </c>
      <c r="C338" s="147" t="str">
        <f>VLOOKUP(Table2[[#This Row],[Course]],Data!$A$1:$E$56,2,FALSE)</f>
        <v>A-493-0073</v>
      </c>
      <c r="D338" s="147" t="str">
        <f>VLOOKUP(Table2[[#This Row],[Course]],Data!$A$1:$E$56,3,FALSE)</f>
        <v>714S</v>
      </c>
      <c r="E338" s="241" t="s">
        <v>116</v>
      </c>
      <c r="F338" s="222">
        <v>45496</v>
      </c>
      <c r="G338" s="222">
        <v>45499</v>
      </c>
      <c r="H338" s="149"/>
      <c r="I338" s="150">
        <v>0.33333333333333331</v>
      </c>
      <c r="J338" s="150">
        <v>0.20833333333333334</v>
      </c>
      <c r="K338" s="150">
        <v>0.625</v>
      </c>
      <c r="L338" s="150">
        <v>0.54166666666666663</v>
      </c>
      <c r="M338" s="150">
        <v>8.3333333333333329E-2</v>
      </c>
      <c r="N338" s="150">
        <v>0.875</v>
      </c>
      <c r="O338" s="100" t="s">
        <v>94</v>
      </c>
      <c r="P338" s="100"/>
      <c r="Q338" s="152" t="e">
        <v>#REF!</v>
      </c>
      <c r="R338" s="152" t="e">
        <v>#REF!</v>
      </c>
      <c r="S338" s="152"/>
      <c r="T338" s="146"/>
      <c r="U338" s="146"/>
      <c r="V338" s="154">
        <f>VLOOKUP(Table2[[#This Row],[Course]],Data!$A$1:$E$56,4,FALSE)</f>
        <v>30</v>
      </c>
      <c r="W338" s="154">
        <f>VLOOKUP(Table2[[#This Row],[Course]],Data!$A$1:$E$56,5,FALSE)</f>
        <v>4</v>
      </c>
      <c r="X338" s="154">
        <v>361</v>
      </c>
      <c r="Y338" s="154">
        <v>15</v>
      </c>
      <c r="Z338" s="154">
        <v>0</v>
      </c>
      <c r="AA338" s="154">
        <v>12</v>
      </c>
      <c r="AB338" s="155">
        <v>0</v>
      </c>
      <c r="AC338" s="154">
        <v>3</v>
      </c>
      <c r="AD338" s="154">
        <v>0</v>
      </c>
      <c r="AE338" s="197">
        <v>0</v>
      </c>
      <c r="AF338" s="183" t="s">
        <v>189</v>
      </c>
      <c r="AG338" s="156">
        <f ca="1">Table2[[#This Row],[End Date]]+2-TODAY()</f>
        <v>-31</v>
      </c>
      <c r="AH338" s="154">
        <f>IF(ISBLANK(Table2[[#This Row],[Roster Received By]]),1,0)</f>
        <v>0</v>
      </c>
      <c r="AI338" s="154">
        <f ca="1">IF(Table2[[#This Row],[Start Date]]&gt;TODAY(),1,)</f>
        <v>0</v>
      </c>
    </row>
    <row r="339" spans="1:41" s="157" customFormat="1" ht="15.75" customHeight="1" x14ac:dyDescent="0.25">
      <c r="A339" s="146"/>
      <c r="B339" s="241" t="s">
        <v>18</v>
      </c>
      <c r="C339" s="147" t="str">
        <f>VLOOKUP(Table2[[#This Row],[Course]],Data!$A$1:$E$56,2,FALSE)</f>
        <v>A-493-0013</v>
      </c>
      <c r="D339" s="147">
        <f>VLOOKUP(Table2[[#This Row],[Course]],Data!$A$1:$E$56,3,FALSE)</f>
        <v>3683</v>
      </c>
      <c r="E339" s="241" t="s">
        <v>135</v>
      </c>
      <c r="F339" s="222">
        <v>45497</v>
      </c>
      <c r="G339" s="222">
        <v>45499</v>
      </c>
      <c r="H339" s="151">
        <v>0.33333333333333331</v>
      </c>
      <c r="I339" s="151"/>
      <c r="J339" s="151"/>
      <c r="K339" s="151"/>
      <c r="L339" s="151"/>
      <c r="M339" s="151"/>
      <c r="N339" s="149"/>
      <c r="O339" s="146" t="s">
        <v>78</v>
      </c>
      <c r="P339" s="146"/>
      <c r="Q339" s="152" t="e">
        <v>#REF!</v>
      </c>
      <c r="R339" s="152" t="e">
        <v>#REF!</v>
      </c>
      <c r="S339" s="153"/>
      <c r="T339" s="146"/>
      <c r="U339" s="146"/>
      <c r="V339" s="154">
        <f>VLOOKUP(Table2[[#This Row],[Course]],Data!$A$1:$E$56,4,FALSE)</f>
        <v>40</v>
      </c>
      <c r="W339" s="154">
        <v>3</v>
      </c>
      <c r="X339" s="154">
        <v>0</v>
      </c>
      <c r="Y339" s="154">
        <v>6</v>
      </c>
      <c r="Z339" s="154">
        <v>0</v>
      </c>
      <c r="AA339" s="154">
        <v>9</v>
      </c>
      <c r="AB339" s="155">
        <v>0</v>
      </c>
      <c r="AC339" s="154">
        <v>0</v>
      </c>
      <c r="AD339" s="154">
        <v>3</v>
      </c>
      <c r="AE339" s="154">
        <v>0</v>
      </c>
      <c r="AF339" s="100" t="s">
        <v>191</v>
      </c>
      <c r="AG339" s="156">
        <f ca="1">Table2[[#This Row],[End Date]]+2-TODAY()</f>
        <v>-31</v>
      </c>
      <c r="AH339" s="154">
        <f>IF(ISBLANK(Table2[[#This Row],[Roster Received By]]),1,0)</f>
        <v>0</v>
      </c>
      <c r="AI339" s="154">
        <f ca="1">IF(Table2[[#This Row],[Start Date]]&gt;TODAY(),1,)</f>
        <v>0</v>
      </c>
    </row>
    <row r="340" spans="1:41" s="157" customFormat="1" ht="15.75" customHeight="1" x14ac:dyDescent="0.25">
      <c r="A340" s="146"/>
      <c r="B340" s="419" t="s">
        <v>8</v>
      </c>
      <c r="C340" s="147" t="str">
        <f>VLOOKUP(Table2[[#This Row],[Course]],Data!$A$1:$E$56,2,FALSE)</f>
        <v>A-493-0019</v>
      </c>
      <c r="D340" s="147">
        <f>VLOOKUP(Table2[[#This Row],[Course]],Data!$A$1:$E$56,3,FALSE)</f>
        <v>3882</v>
      </c>
      <c r="E340" s="241" t="s">
        <v>147</v>
      </c>
      <c r="F340" s="222">
        <v>45498</v>
      </c>
      <c r="G340" s="222">
        <v>45499</v>
      </c>
      <c r="H340" s="188">
        <v>0.54166666666666663</v>
      </c>
      <c r="I340" s="162"/>
      <c r="J340" s="169"/>
      <c r="K340" s="169"/>
      <c r="L340" s="169"/>
      <c r="M340" s="169"/>
      <c r="N340" s="169"/>
      <c r="O340" s="100" t="s">
        <v>81</v>
      </c>
      <c r="P340" s="100" t="s">
        <v>88</v>
      </c>
      <c r="Q340" s="171" t="e">
        <v>#REF!</v>
      </c>
      <c r="R340" s="171" t="e">
        <v>#REF!</v>
      </c>
      <c r="S340" s="173"/>
      <c r="T340" s="101"/>
      <c r="U340" s="101"/>
      <c r="V340" s="26">
        <f>VLOOKUP(Table2[[#This Row],[Course]],Data!$A$1:$E$56,4,FALSE)</f>
        <v>25</v>
      </c>
      <c r="W340" s="26">
        <f>VLOOKUP(Table2[[#This Row],[Course]],Data!$A$1:$E$56,5,FALSE)</f>
        <v>2</v>
      </c>
      <c r="X340" s="154">
        <v>27</v>
      </c>
      <c r="Y340" s="154">
        <v>13</v>
      </c>
      <c r="Z340" s="154">
        <v>0</v>
      </c>
      <c r="AA340" s="154">
        <v>13</v>
      </c>
      <c r="AB340" s="155">
        <v>0</v>
      </c>
      <c r="AC340" s="154">
        <v>1</v>
      </c>
      <c r="AD340" s="154">
        <v>1</v>
      </c>
      <c r="AE340" s="147">
        <v>0</v>
      </c>
      <c r="AF340" s="100" t="s">
        <v>208</v>
      </c>
      <c r="AG340" s="156">
        <f ca="1">Table2[[#This Row],[End Date]]+2-TODAY()</f>
        <v>-31</v>
      </c>
      <c r="AH340" s="154">
        <f>IF(ISBLANK(Table2[[#This Row],[Roster Received By]]),1,0)</f>
        <v>0</v>
      </c>
      <c r="AI340" s="154">
        <f ca="1">IF(Table2[[#This Row],[Start Date]]&gt;TODAY(),1,)</f>
        <v>0</v>
      </c>
    </row>
    <row r="341" spans="1:41" s="157" customFormat="1" ht="15.75" customHeight="1" x14ac:dyDescent="0.25">
      <c r="A341" s="101"/>
      <c r="B341" s="196" t="s">
        <v>236</v>
      </c>
      <c r="C341" s="167" t="str">
        <f>VLOOKUP(Table2[[#This Row],[Course]],Data!$A$1:$E$56,2,FALSE)</f>
        <v>A-493-0103</v>
      </c>
      <c r="D341" s="167" t="str">
        <f>VLOOKUP(Table2[[#This Row],[Course]],Data!$A$1:$E$56,3,FALSE)</f>
        <v>12JY</v>
      </c>
      <c r="E341" s="107" t="s">
        <v>158</v>
      </c>
      <c r="F341" s="191">
        <v>45502</v>
      </c>
      <c r="G341" s="191">
        <v>45506</v>
      </c>
      <c r="H341" s="172">
        <v>0.33333333333333331</v>
      </c>
      <c r="I341" s="172"/>
      <c r="J341" s="169"/>
      <c r="K341" s="169"/>
      <c r="L341" s="169"/>
      <c r="M341" s="169"/>
      <c r="N341" s="169"/>
      <c r="O341" s="166" t="s">
        <v>94</v>
      </c>
      <c r="P341" s="166"/>
      <c r="Q341" s="171" t="e">
        <v>#REF!</v>
      </c>
      <c r="R341" s="171" t="e">
        <v>#REF!</v>
      </c>
      <c r="S341" s="171"/>
      <c r="T341" s="101"/>
      <c r="U341" s="101"/>
      <c r="V341" s="26">
        <f>VLOOKUP(Table2[[#This Row],[Course]],Data!$A$1:$E$56,4,FALSE)</f>
        <v>25</v>
      </c>
      <c r="W341" s="26">
        <f>VLOOKUP(Table2[[#This Row],[Course]],Data!$A$1:$E$56,5,FALSE)</f>
        <v>5</v>
      </c>
      <c r="X341" s="26">
        <v>15</v>
      </c>
      <c r="Y341" s="26">
        <v>25</v>
      </c>
      <c r="Z341" s="26">
        <v>3</v>
      </c>
      <c r="AA341" s="26"/>
      <c r="AB341" s="298"/>
      <c r="AC341" s="296"/>
      <c r="AD341" s="296"/>
      <c r="AE341" s="296"/>
      <c r="AF341" s="299"/>
      <c r="AG341" s="300">
        <f ca="1">Table2[[#This Row],[End Date]]+2-TODAY()</f>
        <v>-24</v>
      </c>
      <c r="AH341" s="296">
        <f>IF(ISBLANK(Table2[[#This Row],[Roster Received By]]),1,0)</f>
        <v>1</v>
      </c>
      <c r="AI341" s="296">
        <f ca="1">IF(Table2[[#This Row],[Start Date]]&gt;TODAY(),1,)</f>
        <v>0</v>
      </c>
    </row>
    <row r="342" spans="1:41" s="397" customFormat="1" ht="15.75" customHeight="1" x14ac:dyDescent="0.25">
      <c r="A342" s="347" t="s">
        <v>502</v>
      </c>
      <c r="B342" s="398" t="s">
        <v>310</v>
      </c>
      <c r="C342" s="348" t="str">
        <f>VLOOKUP(Table2[[#This Row],[Course]],Data!$A$1:$E$56,2,FALSE)</f>
        <v>A-4J-0019</v>
      </c>
      <c r="D342" s="348" t="str">
        <f>VLOOKUP(Table2[[#This Row],[Course]],Data!$A$1:$E$56,3,FALSE)</f>
        <v>28SL/285M</v>
      </c>
      <c r="E342" s="361" t="s">
        <v>340</v>
      </c>
      <c r="F342" s="375">
        <v>45502</v>
      </c>
      <c r="G342" s="375">
        <v>45506</v>
      </c>
      <c r="H342" s="351">
        <v>0.33333333333333331</v>
      </c>
      <c r="I342" s="351"/>
      <c r="J342" s="352"/>
      <c r="K342" s="352"/>
      <c r="L342" s="352"/>
      <c r="M342" s="352"/>
      <c r="N342" s="352"/>
      <c r="O342" s="340" t="s">
        <v>259</v>
      </c>
      <c r="P342" s="340" t="s">
        <v>273</v>
      </c>
      <c r="Q342" s="179"/>
      <c r="R342" s="180"/>
      <c r="S342" s="179"/>
      <c r="T342" s="174"/>
      <c r="U342" s="174"/>
      <c r="V342" s="338">
        <v>20</v>
      </c>
      <c r="W342" s="353">
        <v>5</v>
      </c>
      <c r="X342" s="353">
        <v>0</v>
      </c>
      <c r="Y342" s="353">
        <v>17</v>
      </c>
      <c r="Z342" s="353">
        <v>0</v>
      </c>
      <c r="AA342" s="338">
        <v>17</v>
      </c>
      <c r="AB342" s="338">
        <v>0</v>
      </c>
      <c r="AC342" s="339">
        <v>0</v>
      </c>
      <c r="AD342" s="339">
        <v>0</v>
      </c>
      <c r="AE342" s="339">
        <v>0</v>
      </c>
      <c r="AF342" s="340" t="s">
        <v>191</v>
      </c>
      <c r="AG342" s="341">
        <f ca="1">Table2[[#This Row],[End Date]]+2-TODAY()</f>
        <v>-24</v>
      </c>
      <c r="AH342" s="339">
        <f>IF(ISBLANK(Table2[[#This Row],[Roster Received By]]),1,0)</f>
        <v>0</v>
      </c>
      <c r="AI342" s="339">
        <f ca="1">IF(Table2[[#This Row],[Start Date]]&gt;TODAY(),1,)</f>
        <v>0</v>
      </c>
    </row>
    <row r="343" spans="1:41" s="157" customFormat="1" ht="15.75" customHeight="1" x14ac:dyDescent="0.25">
      <c r="A343" s="146"/>
      <c r="B343" s="241" t="s">
        <v>317</v>
      </c>
      <c r="C343" s="147" t="str">
        <f>VLOOKUP(Table2[[#This Row],[Course]],Data!$A$1:$E$56,2,FALSE)</f>
        <v>A-493-2098</v>
      </c>
      <c r="D343" s="147" t="str">
        <f>VLOOKUP(Table2[[#This Row],[Course]],Data!$A$1:$E$56,3,FALSE)</f>
        <v>09WW</v>
      </c>
      <c r="E343" s="228" t="s">
        <v>116</v>
      </c>
      <c r="F343" s="222">
        <v>45502</v>
      </c>
      <c r="G343" s="222">
        <v>45506</v>
      </c>
      <c r="H343" s="149"/>
      <c r="I343" s="150">
        <v>0.54166666666666663</v>
      </c>
      <c r="J343" s="150">
        <v>0.41666666666666669</v>
      </c>
      <c r="K343" s="150">
        <v>0.83333333333333337</v>
      </c>
      <c r="L343" s="150">
        <v>0.75</v>
      </c>
      <c r="M343" s="150">
        <v>0.29166666666666669</v>
      </c>
      <c r="N343" s="150">
        <v>8.3333333333333329E-2</v>
      </c>
      <c r="O343" s="100" t="s">
        <v>231</v>
      </c>
      <c r="P343" s="100"/>
      <c r="Q343" s="170" t="e">
        <v>#REF!</v>
      </c>
      <c r="R343" s="171" t="e">
        <v>#REF!</v>
      </c>
      <c r="S343" s="170"/>
      <c r="T343" s="101"/>
      <c r="U343" s="101"/>
      <c r="V343" s="154">
        <f>VLOOKUP(Table2[[#This Row],[Course]],Data!$A$1:$E$56,4,FALSE)</f>
        <v>100</v>
      </c>
      <c r="W343" s="154">
        <f>VLOOKUP(Table2[[#This Row],[Course]],Data!$A$1:$E$56,5,FALSE)</f>
        <v>5</v>
      </c>
      <c r="X343" s="154">
        <v>1257</v>
      </c>
      <c r="Y343" s="154">
        <v>97</v>
      </c>
      <c r="Z343" s="154">
        <v>0</v>
      </c>
      <c r="AA343" s="154">
        <v>77</v>
      </c>
      <c r="AB343" s="276">
        <v>2</v>
      </c>
      <c r="AC343" s="275">
        <v>21</v>
      </c>
      <c r="AD343" s="275">
        <v>0</v>
      </c>
      <c r="AE343" s="275">
        <v>0</v>
      </c>
      <c r="AF343" s="271" t="s">
        <v>208</v>
      </c>
      <c r="AG343" s="277">
        <f ca="1">Table2[[#This Row],[End Date]]+2-TODAY()</f>
        <v>-24</v>
      </c>
      <c r="AH343" s="275">
        <f>IF(ISBLANK(Table2[[#This Row],[Roster Received By]]),1,0)</f>
        <v>0</v>
      </c>
      <c r="AI343" s="275">
        <f ca="1">IF(Table2[[#This Row],[Start Date]]&gt;TODAY(),1,)</f>
        <v>0</v>
      </c>
      <c r="AJ343" s="345"/>
      <c r="AK343" s="345"/>
      <c r="AL343" s="345"/>
      <c r="AM343" s="345"/>
      <c r="AN343" s="345"/>
      <c r="AO343" s="345"/>
    </row>
    <row r="344" spans="1:41" s="185" customFormat="1" ht="15" customHeight="1" x14ac:dyDescent="0.25">
      <c r="A344" s="146"/>
      <c r="B344" s="420" t="s">
        <v>11</v>
      </c>
      <c r="C344" s="147" t="str">
        <f>VLOOKUP(Table2[[#This Row],[Course]],Data!$A$1:$E$56,2,FALSE)</f>
        <v>A-493-0070</v>
      </c>
      <c r="D344" s="147" t="str">
        <f>VLOOKUP(Table2[[#This Row],[Course]],Data!$A$1:$E$56,3,FALSE)</f>
        <v>450V</v>
      </c>
      <c r="E344" s="228" t="s">
        <v>147</v>
      </c>
      <c r="F344" s="266">
        <v>45502</v>
      </c>
      <c r="G344" s="267">
        <v>45502</v>
      </c>
      <c r="H344" s="188">
        <v>0.33333333333333331</v>
      </c>
      <c r="I344" s="162"/>
      <c r="J344" s="169"/>
      <c r="K344" s="169"/>
      <c r="L344" s="169"/>
      <c r="M344" s="169"/>
      <c r="N344" s="169"/>
      <c r="O344" s="100" t="s">
        <v>81</v>
      </c>
      <c r="P344" s="100" t="s">
        <v>88</v>
      </c>
      <c r="Q344" s="171" t="e">
        <v>#REF!</v>
      </c>
      <c r="R344" s="171" t="e">
        <v>#REF!</v>
      </c>
      <c r="S344" s="171"/>
      <c r="T344" s="101"/>
      <c r="U344" s="101"/>
      <c r="V344" s="26">
        <f>VLOOKUP(Table2[[#This Row],[Course]],Data!$A$1:$E$56,4,FALSE)</f>
        <v>30</v>
      </c>
      <c r="W344" s="26">
        <f>VLOOKUP(Table2[[#This Row],[Course]],Data!$A$1:$E$56,5,FALSE)</f>
        <v>1</v>
      </c>
      <c r="X344" s="154">
        <v>27</v>
      </c>
      <c r="Y344" s="154">
        <v>4</v>
      </c>
      <c r="Z344" s="154">
        <v>0</v>
      </c>
      <c r="AA344" s="154">
        <v>4</v>
      </c>
      <c r="AB344" s="155">
        <v>0</v>
      </c>
      <c r="AC344" s="154">
        <v>0</v>
      </c>
      <c r="AD344" s="154">
        <v>0</v>
      </c>
      <c r="AE344" s="154">
        <v>0</v>
      </c>
      <c r="AF344" s="100" t="s">
        <v>208</v>
      </c>
      <c r="AG344" s="156">
        <f ca="1">Table2[[#This Row],[End Date]]+2-TODAY()</f>
        <v>-28</v>
      </c>
      <c r="AH344" s="154">
        <f>IF(ISBLANK(Table2[[#This Row],[Roster Received By]]),1,0)</f>
        <v>0</v>
      </c>
      <c r="AI344" s="154">
        <f ca="1">IF(Table2[[#This Row],[Start Date]]&gt;TODAY(),1,)</f>
        <v>0</v>
      </c>
      <c r="AJ344" s="302"/>
      <c r="AK344" s="302"/>
      <c r="AL344" s="302"/>
      <c r="AM344" s="302"/>
      <c r="AN344" s="302"/>
      <c r="AO344" s="302"/>
    </row>
    <row r="345" spans="1:41" s="157" customFormat="1" ht="15.75" customHeight="1" x14ac:dyDescent="0.25">
      <c r="A345" s="100"/>
      <c r="B345" s="228" t="s">
        <v>270</v>
      </c>
      <c r="C345" s="147" t="str">
        <f>VLOOKUP(Table2[[#This Row],[Course]],Data!$A$1:$E$56,2,FALSE)</f>
        <v>A-493-0331</v>
      </c>
      <c r="D345" s="147" t="str">
        <f>VLOOKUP(Table2[[#This Row],[Course]],Data!$A$1:$E$56,3,FALSE)</f>
        <v>10UG</v>
      </c>
      <c r="E345" s="228" t="s">
        <v>116</v>
      </c>
      <c r="F345" s="266">
        <v>45503</v>
      </c>
      <c r="G345" s="267">
        <v>45505</v>
      </c>
      <c r="H345" s="149"/>
      <c r="I345" s="150">
        <v>0.54166666666666663</v>
      </c>
      <c r="J345" s="150">
        <v>0.41666666666666669</v>
      </c>
      <c r="K345" s="150">
        <v>0.83333333333333337</v>
      </c>
      <c r="L345" s="150">
        <v>0.75</v>
      </c>
      <c r="M345" s="150">
        <v>0.29166666666666669</v>
      </c>
      <c r="N345" s="150">
        <v>8.3333333333333329E-2</v>
      </c>
      <c r="O345" s="100" t="s">
        <v>84</v>
      </c>
      <c r="P345" s="100"/>
      <c r="Q345" s="171" t="e">
        <v>#REF!</v>
      </c>
      <c r="R345" s="171" t="e">
        <v>#REF!</v>
      </c>
      <c r="S345" s="173"/>
      <c r="T345" s="101"/>
      <c r="U345" s="101"/>
      <c r="V345" s="154">
        <f>VLOOKUP(Table2[[#This Row],[Course]],Data!$A$1:$E$56,4,FALSE)</f>
        <v>40</v>
      </c>
      <c r="W345" s="154">
        <f>VLOOKUP(Table2[[#This Row],[Course]],Data!$A$1:$E$56,5,FALSE)</f>
        <v>3</v>
      </c>
      <c r="X345" s="154">
        <v>709</v>
      </c>
      <c r="Y345" s="154">
        <v>40</v>
      </c>
      <c r="Z345" s="154">
        <v>5</v>
      </c>
      <c r="AA345" s="154">
        <v>33</v>
      </c>
      <c r="AB345" s="155">
        <v>1</v>
      </c>
      <c r="AC345" s="154">
        <v>7</v>
      </c>
      <c r="AD345" s="154">
        <v>1</v>
      </c>
      <c r="AE345" s="154">
        <v>0</v>
      </c>
      <c r="AF345" s="100" t="s">
        <v>208</v>
      </c>
      <c r="AG345" s="156">
        <f ca="1">Table2[[#This Row],[End Date]]+2-TODAY()</f>
        <v>-25</v>
      </c>
      <c r="AH345" s="154">
        <f>IF(ISBLANK(Table2[[#This Row],[Roster Received By]]),1,0)</f>
        <v>0</v>
      </c>
      <c r="AI345" s="154">
        <f ca="1">IF(Table2[[#This Row],[Start Date]]&gt;TODAY(),1,)</f>
        <v>0</v>
      </c>
    </row>
    <row r="346" spans="1:41" s="157" customFormat="1" ht="15.75" customHeight="1" x14ac:dyDescent="0.25">
      <c r="A346" s="146"/>
      <c r="B346" s="421" t="s">
        <v>7</v>
      </c>
      <c r="C346" s="147" t="str">
        <f>VLOOKUP(Table2[[#This Row],[Course]],Data!$A$1:$E$56,2,FALSE)</f>
        <v>A-493-0015</v>
      </c>
      <c r="D346" s="147">
        <f>VLOOKUP(Table2[[#This Row],[Course]],Data!$A$1:$E$56,3,FALSE)</f>
        <v>3879</v>
      </c>
      <c r="E346" s="228" t="s">
        <v>147</v>
      </c>
      <c r="F346" s="242">
        <v>45503</v>
      </c>
      <c r="G346" s="242">
        <v>45503</v>
      </c>
      <c r="H346" s="188">
        <v>0.54166666666666663</v>
      </c>
      <c r="I346" s="162"/>
      <c r="J346" s="169"/>
      <c r="K346" s="169"/>
      <c r="L346" s="169"/>
      <c r="M346" s="169"/>
      <c r="N346" s="169"/>
      <c r="O346" s="100" t="s">
        <v>81</v>
      </c>
      <c r="P346" s="100" t="s">
        <v>88</v>
      </c>
      <c r="Q346" s="171" t="e">
        <v>#REF!</v>
      </c>
      <c r="R346" s="171" t="e">
        <v>#REF!</v>
      </c>
      <c r="S346" s="173"/>
      <c r="T346" s="101"/>
      <c r="U346" s="101"/>
      <c r="V346" s="26">
        <f>VLOOKUP(Table2[[#This Row],[Course]],Data!$A$1:$E$56,4,FALSE)</f>
        <v>30</v>
      </c>
      <c r="W346" s="26">
        <f>VLOOKUP(Table2[[#This Row],[Course]],Data!$A$1:$E$56,5,FALSE)</f>
        <v>1</v>
      </c>
      <c r="X346" s="154">
        <v>43</v>
      </c>
      <c r="Y346" s="154">
        <v>15</v>
      </c>
      <c r="Z346" s="154">
        <v>0</v>
      </c>
      <c r="AA346" s="154">
        <v>15</v>
      </c>
      <c r="AB346" s="155">
        <v>0</v>
      </c>
      <c r="AC346" s="154">
        <v>0</v>
      </c>
      <c r="AD346" s="154">
        <v>0</v>
      </c>
      <c r="AE346" s="154">
        <v>0</v>
      </c>
      <c r="AF346" s="100" t="s">
        <v>208</v>
      </c>
      <c r="AG346" s="156">
        <f ca="1">Table2[[#This Row],[End Date]]+2-TODAY()</f>
        <v>-27</v>
      </c>
      <c r="AH346" s="154">
        <f>IF(ISBLANK(Table2[[#This Row],[Roster Received By]]),1,0)</f>
        <v>0</v>
      </c>
      <c r="AI346" s="154">
        <f ca="1">IF(Table2[[#This Row],[Start Date]]&gt;TODAY(),1,)</f>
        <v>0</v>
      </c>
    </row>
    <row r="347" spans="1:41" s="185" customFormat="1" ht="15.75" customHeight="1" x14ac:dyDescent="0.25">
      <c r="A347" s="100"/>
      <c r="B347" s="421" t="s">
        <v>9</v>
      </c>
      <c r="C347" s="147" t="str">
        <f>VLOOKUP(Table2[[#This Row],[Course]],Data!$A$1:$E$56,2,FALSE)</f>
        <v>A-493-0020</v>
      </c>
      <c r="D347" s="147">
        <f>VLOOKUP(Table2[[#This Row],[Course]],Data!$A$1:$E$56,3,FALSE)</f>
        <v>3888</v>
      </c>
      <c r="E347" s="228" t="s">
        <v>147</v>
      </c>
      <c r="F347" s="242">
        <v>45503</v>
      </c>
      <c r="G347" s="242">
        <v>45503</v>
      </c>
      <c r="H347" s="188">
        <v>0.54166666666666663</v>
      </c>
      <c r="I347" s="162"/>
      <c r="J347" s="169"/>
      <c r="K347" s="169"/>
      <c r="L347" s="169"/>
      <c r="M347" s="169"/>
      <c r="N347" s="169"/>
      <c r="O347" s="100" t="s">
        <v>81</v>
      </c>
      <c r="P347" s="100" t="s">
        <v>88</v>
      </c>
      <c r="Q347" s="171" t="e">
        <v>#REF!</v>
      </c>
      <c r="R347" s="171" t="e">
        <v>#REF!</v>
      </c>
      <c r="S347" s="173"/>
      <c r="T347" s="101"/>
      <c r="U347" s="101"/>
      <c r="V347" s="26">
        <f>VLOOKUP(Table2[[#This Row],[Course]],Data!$A$1:$E$56,4,FALSE)</f>
        <v>30</v>
      </c>
      <c r="W347" s="26">
        <f>VLOOKUP(Table2[[#This Row],[Course]],Data!$A$1:$E$56,5,FALSE)</f>
        <v>1</v>
      </c>
      <c r="X347" s="154">
        <v>39</v>
      </c>
      <c r="Y347" s="154">
        <v>13</v>
      </c>
      <c r="Z347" s="154">
        <v>0</v>
      </c>
      <c r="AA347" s="154">
        <v>12</v>
      </c>
      <c r="AB347" s="155">
        <v>0</v>
      </c>
      <c r="AC347" s="154">
        <v>0</v>
      </c>
      <c r="AD347" s="154">
        <v>0</v>
      </c>
      <c r="AE347" s="154">
        <v>0</v>
      </c>
      <c r="AF347" s="100" t="s">
        <v>208</v>
      </c>
      <c r="AG347" s="156">
        <f ca="1">Table2[[#This Row],[End Date]]+2-TODAY()</f>
        <v>-27</v>
      </c>
      <c r="AH347" s="154">
        <f>IF(ISBLANK(Table2[[#This Row],[Roster Received By]]),1,0)</f>
        <v>0</v>
      </c>
      <c r="AI347" s="154">
        <f ca="1">IF(Table2[[#This Row],[Start Date]]&gt;TODAY(),1,)</f>
        <v>0</v>
      </c>
    </row>
    <row r="348" spans="1:41" s="185" customFormat="1" ht="15.75" customHeight="1" x14ac:dyDescent="0.25">
      <c r="A348" s="146"/>
      <c r="B348" s="241" t="s">
        <v>23</v>
      </c>
      <c r="C348" s="147" t="str">
        <f>VLOOKUP(Table2[[#This Row],[Course]],Data!$A$1:$E$56,2,FALSE)</f>
        <v>A-493-0077</v>
      </c>
      <c r="D348" s="147" t="str">
        <f>VLOOKUP(Table2[[#This Row],[Course]],Data!$A$1:$E$56,3,FALSE)</f>
        <v>0381</v>
      </c>
      <c r="E348" s="234" t="s">
        <v>166</v>
      </c>
      <c r="F348" s="394">
        <v>45503</v>
      </c>
      <c r="G348" s="394">
        <v>45505</v>
      </c>
      <c r="H348" s="150">
        <v>0.33333333333333331</v>
      </c>
      <c r="I348" s="150"/>
      <c r="J348" s="149"/>
      <c r="K348" s="149"/>
      <c r="L348" s="149"/>
      <c r="M348" s="149"/>
      <c r="N348" s="149"/>
      <c r="O348" s="100" t="s">
        <v>78</v>
      </c>
      <c r="P348" s="100"/>
      <c r="Q348" s="155" t="e">
        <v>#REF!</v>
      </c>
      <c r="R348" s="152" t="e">
        <v>#REF!</v>
      </c>
      <c r="S348" s="155"/>
      <c r="T348" s="146"/>
      <c r="U348" s="146"/>
      <c r="V348" s="154">
        <f>VLOOKUP(Table2[[#This Row],[Course]],Data!$A$1:$E$56,4,FALSE)</f>
        <v>25</v>
      </c>
      <c r="W348" s="154">
        <f>VLOOKUP(Table2[[#This Row],[Course]],Data!$A$1:$E$56,5,FALSE)</f>
        <v>3</v>
      </c>
      <c r="X348" s="154">
        <v>123</v>
      </c>
      <c r="Y348" s="154">
        <v>13</v>
      </c>
      <c r="Z348" s="154">
        <v>0</v>
      </c>
      <c r="AA348" s="154">
        <v>12</v>
      </c>
      <c r="AB348" s="155">
        <v>0</v>
      </c>
      <c r="AC348" s="154">
        <v>1</v>
      </c>
      <c r="AD348" s="154">
        <v>1</v>
      </c>
      <c r="AE348" s="154">
        <v>0</v>
      </c>
      <c r="AF348" s="100" t="s">
        <v>191</v>
      </c>
      <c r="AG348" s="156">
        <f ca="1">Table2[[#This Row],[End Date]]+2-TODAY()</f>
        <v>-25</v>
      </c>
      <c r="AH348" s="154">
        <f>IF(ISBLANK(Table2[[#This Row],[Roster Received By]]),1,0)</f>
        <v>0</v>
      </c>
      <c r="AI348" s="154">
        <f ca="1">IF(Table2[[#This Row],[Start Date]]&gt;TODAY(),1,)</f>
        <v>0</v>
      </c>
    </row>
    <row r="349" spans="1:41" s="157" customFormat="1" ht="15.75" customHeight="1" x14ac:dyDescent="0.25">
      <c r="A349" s="100"/>
      <c r="B349" s="399" t="s">
        <v>16</v>
      </c>
      <c r="C349" s="147" t="str">
        <f>VLOOKUP(Table2[[#This Row],[Course]],Data!$A$1:$E$56,2,FALSE)</f>
        <v>A-760-2166</v>
      </c>
      <c r="D349" s="147" t="str">
        <f>VLOOKUP(Table2[[#This Row],[Course]],Data!$A$1:$E$56,3,FALSE)</f>
        <v>438J</v>
      </c>
      <c r="E349" s="228" t="s">
        <v>147</v>
      </c>
      <c r="F349" s="242">
        <v>45504</v>
      </c>
      <c r="G349" s="242">
        <v>45505</v>
      </c>
      <c r="H349" s="172">
        <v>0.33333333333333331</v>
      </c>
      <c r="I349" s="151"/>
      <c r="J349" s="169"/>
      <c r="K349" s="169"/>
      <c r="L349" s="169"/>
      <c r="M349" s="169"/>
      <c r="N349" s="169"/>
      <c r="O349" s="100" t="s">
        <v>81</v>
      </c>
      <c r="P349" s="100" t="s">
        <v>88</v>
      </c>
      <c r="Q349" s="171" t="e">
        <v>#REF!</v>
      </c>
      <c r="R349" s="171" t="e">
        <v>#REF!</v>
      </c>
      <c r="S349" s="173"/>
      <c r="T349" s="101"/>
      <c r="U349" s="101"/>
      <c r="V349" s="26">
        <f>VLOOKUP(Table2[[#This Row],[Course]],Data!$A$1:$E$56,4,FALSE)</f>
        <v>25</v>
      </c>
      <c r="W349" s="26">
        <f>VLOOKUP(Table2[[#This Row],[Course]],Data!$A$1:$E$56,5,FALSE)</f>
        <v>2</v>
      </c>
      <c r="X349" s="154">
        <v>12</v>
      </c>
      <c r="Y349" s="154">
        <v>4</v>
      </c>
      <c r="Z349" s="154">
        <v>0</v>
      </c>
      <c r="AA349" s="154">
        <v>7</v>
      </c>
      <c r="AB349" s="155">
        <v>0</v>
      </c>
      <c r="AC349" s="154">
        <v>0</v>
      </c>
      <c r="AD349" s="154">
        <v>3</v>
      </c>
      <c r="AE349" s="154">
        <v>0</v>
      </c>
      <c r="AF349" s="100" t="s">
        <v>208</v>
      </c>
      <c r="AG349" s="156">
        <f ca="1">Table2[[#This Row],[End Date]]+2-TODAY()</f>
        <v>-25</v>
      </c>
      <c r="AH349" s="154">
        <f>IF(ISBLANK(Table2[[#This Row],[Roster Received By]]),1,0)</f>
        <v>0</v>
      </c>
      <c r="AI349" s="154">
        <f ca="1">IF(Table2[[#This Row],[Start Date]]&gt;TODAY(),1,)</f>
        <v>0</v>
      </c>
    </row>
    <row r="350" spans="1:41" s="185" customFormat="1" ht="15.75" customHeight="1" x14ac:dyDescent="0.25">
      <c r="A350" s="146"/>
      <c r="B350" s="228" t="s">
        <v>18</v>
      </c>
      <c r="C350" s="147" t="str">
        <f>VLOOKUP(Table2[[#This Row],[Course]],Data!$A$1:$E$56,2,FALSE)</f>
        <v>A-493-0013</v>
      </c>
      <c r="D350" s="147">
        <f>VLOOKUP(Table2[[#This Row],[Course]],Data!$A$1:$E$56,3,FALSE)</f>
        <v>3683</v>
      </c>
      <c r="E350" s="234" t="s">
        <v>146</v>
      </c>
      <c r="F350" s="242">
        <v>45504</v>
      </c>
      <c r="G350" s="242">
        <v>45506</v>
      </c>
      <c r="H350" s="151">
        <v>0.33333333333333331</v>
      </c>
      <c r="I350" s="151"/>
      <c r="J350" s="149"/>
      <c r="K350" s="149"/>
      <c r="L350" s="149"/>
      <c r="M350" s="149"/>
      <c r="N350" s="149"/>
      <c r="O350" s="100" t="s">
        <v>78</v>
      </c>
      <c r="P350" s="100"/>
      <c r="Q350" s="170" t="e">
        <v>#REF!</v>
      </c>
      <c r="R350" s="171" t="e">
        <v>#REF!</v>
      </c>
      <c r="S350" s="170"/>
      <c r="T350" s="101"/>
      <c r="U350" s="101"/>
      <c r="V350" s="154">
        <f>VLOOKUP(Table2[[#This Row],[Course]],Data!$A$1:$E$56,4,FALSE)</f>
        <v>40</v>
      </c>
      <c r="W350" s="154">
        <v>3</v>
      </c>
      <c r="X350" s="154">
        <v>15</v>
      </c>
      <c r="Y350" s="154">
        <v>11</v>
      </c>
      <c r="Z350" s="154">
        <v>0</v>
      </c>
      <c r="AA350" s="154">
        <v>11</v>
      </c>
      <c r="AB350" s="155">
        <v>2</v>
      </c>
      <c r="AC350" s="154">
        <v>0</v>
      </c>
      <c r="AD350" s="154">
        <v>0</v>
      </c>
      <c r="AE350" s="154">
        <v>0</v>
      </c>
      <c r="AF350" s="100" t="s">
        <v>191</v>
      </c>
      <c r="AG350" s="156">
        <f ca="1">Table2[[#This Row],[End Date]]+2-TODAY()</f>
        <v>-24</v>
      </c>
      <c r="AH350" s="154">
        <f>IF(ISBLANK(Table2[[#This Row],[Roster Received By]]),1,0)</f>
        <v>0</v>
      </c>
      <c r="AI350" s="154">
        <f ca="1">IF(Table2[[#This Row],[Start Date]]&gt;TODAY(),1,)</f>
        <v>0</v>
      </c>
    </row>
    <row r="351" spans="1:41" s="157" customFormat="1" ht="15.75" customHeight="1" x14ac:dyDescent="0.25">
      <c r="A351" s="146"/>
      <c r="B351" s="228" t="s">
        <v>24</v>
      </c>
      <c r="C351" s="147" t="str">
        <f>VLOOKUP(Table2[[#This Row],[Course]],Data!$A$1:$E$56,2,FALSE)</f>
        <v>A-493-0083</v>
      </c>
      <c r="D351" s="147" t="str">
        <f>VLOOKUP(Table2[[#This Row],[Course]],Data!$A$1:$E$56,3,FALSE)</f>
        <v>339E</v>
      </c>
      <c r="E351" s="234" t="s">
        <v>166</v>
      </c>
      <c r="F351" s="218">
        <v>45506</v>
      </c>
      <c r="G351" s="218">
        <v>45506</v>
      </c>
      <c r="H351" s="150">
        <v>0.33333333333333331</v>
      </c>
      <c r="I351" s="150"/>
      <c r="J351" s="149"/>
      <c r="K351" s="149"/>
      <c r="L351" s="149"/>
      <c r="M351" s="149"/>
      <c r="N351" s="149"/>
      <c r="O351" s="100" t="s">
        <v>78</v>
      </c>
      <c r="P351" s="100"/>
      <c r="Q351" s="170" t="e">
        <v>#REF!</v>
      </c>
      <c r="R351" s="171" t="e">
        <v>#REF!</v>
      </c>
      <c r="S351" s="170"/>
      <c r="T351" s="101"/>
      <c r="U351" s="101"/>
      <c r="V351" s="154">
        <f>VLOOKUP(Table2[[#This Row],[Course]],Data!$A$1:$E$56,4,FALSE)</f>
        <v>30</v>
      </c>
      <c r="W351" s="154">
        <f>VLOOKUP(Table2[[#This Row],[Course]],Data!$A$1:$E$56,5,FALSE)</f>
        <v>1</v>
      </c>
      <c r="X351" s="154">
        <v>123</v>
      </c>
      <c r="Y351" s="154">
        <v>8</v>
      </c>
      <c r="Z351" s="154">
        <v>0</v>
      </c>
      <c r="AA351" s="154">
        <v>7</v>
      </c>
      <c r="AB351" s="155">
        <v>0</v>
      </c>
      <c r="AC351" s="154">
        <v>2</v>
      </c>
      <c r="AD351" s="154">
        <v>1</v>
      </c>
      <c r="AE351" s="154">
        <v>0</v>
      </c>
      <c r="AF351" s="100" t="s">
        <v>191</v>
      </c>
      <c r="AG351" s="156">
        <f ca="1">Table2[[#This Row],[End Date]]+2-TODAY()</f>
        <v>-24</v>
      </c>
      <c r="AH351" s="154">
        <f>IF(ISBLANK(Table2[[#This Row],[Roster Received By]]),1,0)</f>
        <v>0</v>
      </c>
      <c r="AI351" s="154">
        <f ca="1">IF(Table2[[#This Row],[Start Date]]&gt;TODAY(),1,)</f>
        <v>0</v>
      </c>
    </row>
    <row r="352" spans="1:41" s="185" customFormat="1" ht="15.75" customHeight="1" x14ac:dyDescent="0.25">
      <c r="A352" s="146"/>
      <c r="B352" s="228" t="s">
        <v>214</v>
      </c>
      <c r="C352" s="147" t="str">
        <f>VLOOKUP(Table2[[#This Row],[Course]],Data!$A$1:$E$56,2,FALSE)</f>
        <v>A-493-0665</v>
      </c>
      <c r="D352" s="147" t="str">
        <f>VLOOKUP(Table2[[#This Row],[Course]],Data!$A$1:$E$56,3,FALSE)</f>
        <v>10KW</v>
      </c>
      <c r="E352" s="228" t="s">
        <v>116</v>
      </c>
      <c r="F352" s="222">
        <v>45509</v>
      </c>
      <c r="G352" s="222">
        <v>45513</v>
      </c>
      <c r="H352" s="149"/>
      <c r="I352" s="150">
        <v>0.54166666666666663</v>
      </c>
      <c r="J352" s="150">
        <v>0.95833333333333337</v>
      </c>
      <c r="K352" s="150">
        <v>0.875</v>
      </c>
      <c r="L352" s="150">
        <v>0.33333333333333331</v>
      </c>
      <c r="M352" s="150">
        <v>0.83333333333333337</v>
      </c>
      <c r="N352" s="150">
        <v>0.625</v>
      </c>
      <c r="O352" s="100" t="s">
        <v>266</v>
      </c>
      <c r="P352" s="100"/>
      <c r="Q352" s="170" t="e">
        <v>#REF!</v>
      </c>
      <c r="R352" s="171" t="e">
        <v>#REF!</v>
      </c>
      <c r="S352" s="170"/>
      <c r="T352" s="101"/>
      <c r="U352" s="101"/>
      <c r="V352" s="154">
        <f>VLOOKUP(Table2[[#This Row],[Course]],Data!$A$1:$E$56,4,FALSE)</f>
        <v>45</v>
      </c>
      <c r="W352" s="154">
        <f>VLOOKUP(Table2[[#This Row],[Course]],Data!$A$1:$E$56,5,FALSE)</f>
        <v>5</v>
      </c>
      <c r="X352" s="154">
        <v>343</v>
      </c>
      <c r="Y352" s="154">
        <v>14</v>
      </c>
      <c r="Z352" s="154">
        <v>0</v>
      </c>
      <c r="AA352" s="154">
        <v>14</v>
      </c>
      <c r="AB352" s="155">
        <v>1</v>
      </c>
      <c r="AC352" s="154">
        <v>0</v>
      </c>
      <c r="AD352" s="154">
        <v>1</v>
      </c>
      <c r="AE352" s="154">
        <v>0</v>
      </c>
      <c r="AF352" s="100" t="s">
        <v>189</v>
      </c>
      <c r="AG352" s="156">
        <f ca="1">Table2[[#This Row],[End Date]]+2-TODAY()</f>
        <v>-17</v>
      </c>
      <c r="AH352" s="154">
        <f>IF(ISBLANK(Table2[[#This Row],[Roster Received By]]),1,0)</f>
        <v>0</v>
      </c>
      <c r="AI352" s="154">
        <f ca="1">IF(Table2[[#This Row],[Start Date]]&gt;TODAY(),1,)</f>
        <v>0</v>
      </c>
    </row>
    <row r="353" spans="1:35" s="147" customFormat="1" x14ac:dyDescent="0.25">
      <c r="A353" s="146"/>
      <c r="B353" s="241" t="s">
        <v>249</v>
      </c>
      <c r="C353" s="147" t="str">
        <f>VLOOKUP(Table2[[#This Row],[Course]],Data!$A$1:$E$56,2,FALSE)</f>
        <v>A-322-2604</v>
      </c>
      <c r="D353" s="147" t="str">
        <f>VLOOKUP(Table2[[#This Row],[Course]],Data!$A$1:$E$56,3,FALSE)</f>
        <v>10ZZ</v>
      </c>
      <c r="E353" s="228" t="s">
        <v>116</v>
      </c>
      <c r="F353" s="222">
        <v>45509</v>
      </c>
      <c r="G353" s="222">
        <v>45513</v>
      </c>
      <c r="H353" s="149"/>
      <c r="I353" s="150">
        <v>0.79166666666666663</v>
      </c>
      <c r="J353" s="150">
        <v>0.66666666666666663</v>
      </c>
      <c r="K353" s="150">
        <v>8.3333333333333329E-2</v>
      </c>
      <c r="L353" s="150">
        <v>0</v>
      </c>
      <c r="M353" s="150">
        <v>0.54166666666666663</v>
      </c>
      <c r="N353" s="150">
        <v>0.33333333333333331</v>
      </c>
      <c r="O353" s="100" t="s">
        <v>269</v>
      </c>
      <c r="P353" s="100"/>
      <c r="Q353" s="170" t="e">
        <v>#REF!</v>
      </c>
      <c r="R353" s="171" t="e">
        <v>#REF!</v>
      </c>
      <c r="S353" s="170"/>
      <c r="T353" s="101"/>
      <c r="U353" s="101"/>
      <c r="V353" s="154">
        <f>VLOOKUP(Table2[[#This Row],[Course]],Data!$A$1:$E$56,4,FALSE)</f>
        <v>45</v>
      </c>
      <c r="W353" s="154">
        <f>VLOOKUP(Table2[[#This Row],[Course]],Data!$A$1:$E$56,5,FALSE)</f>
        <v>5</v>
      </c>
      <c r="X353" s="154">
        <v>97</v>
      </c>
      <c r="Y353" s="154">
        <v>44</v>
      </c>
      <c r="Z353" s="154">
        <v>0</v>
      </c>
      <c r="AA353" s="154">
        <v>40</v>
      </c>
      <c r="AB353" s="155">
        <v>0</v>
      </c>
      <c r="AC353" s="154">
        <v>5</v>
      </c>
      <c r="AD353" s="154">
        <v>0</v>
      </c>
      <c r="AE353" s="154">
        <v>0</v>
      </c>
      <c r="AF353" s="100" t="s">
        <v>191</v>
      </c>
      <c r="AG353" s="156">
        <f ca="1">Table2[[#This Row],[End Date]]+2-TODAY()</f>
        <v>-17</v>
      </c>
      <c r="AH353" s="154">
        <f>IF(ISBLANK(Table2[[#This Row],[Roster Received By]]),1,0)</f>
        <v>0</v>
      </c>
      <c r="AI353" s="154">
        <f ca="1">IF(Table2[[#This Row],[Start Date]]&gt;TODAY(),1,)</f>
        <v>0</v>
      </c>
    </row>
    <row r="354" spans="1:35" s="146" customFormat="1" x14ac:dyDescent="0.25">
      <c r="B354" s="287" t="s">
        <v>23</v>
      </c>
      <c r="C354" s="147" t="str">
        <f>VLOOKUP(Table2[[#This Row],[Course]],Data!$A$1:$E$56,2,FALSE)</f>
        <v>A-493-0077</v>
      </c>
      <c r="D354" s="147" t="str">
        <f>VLOOKUP(Table2[[#This Row],[Course]],Data!$A$1:$E$56,3,FALSE)</f>
        <v>0381</v>
      </c>
      <c r="E354" s="234" t="s">
        <v>156</v>
      </c>
      <c r="F354" s="218">
        <v>45509</v>
      </c>
      <c r="G354" s="218">
        <v>45511</v>
      </c>
      <c r="H354" s="150">
        <v>0.33333333333333331</v>
      </c>
      <c r="I354" s="150"/>
      <c r="J354" s="149"/>
      <c r="K354" s="149"/>
      <c r="L354" s="149"/>
      <c r="M354" s="149"/>
      <c r="N354" s="149"/>
      <c r="O354" s="100" t="s">
        <v>78</v>
      </c>
      <c r="P354" s="100"/>
      <c r="Q354" s="170" t="e">
        <v>#REF!</v>
      </c>
      <c r="R354" s="171" t="e">
        <v>#REF!</v>
      </c>
      <c r="S354" s="170"/>
      <c r="T354" s="101"/>
      <c r="U354" s="101"/>
      <c r="V354" s="154">
        <f>VLOOKUP(Table2[[#This Row],[Course]],Data!$A$1:$E$56,4,FALSE)</f>
        <v>25</v>
      </c>
      <c r="W354" s="154">
        <f>VLOOKUP(Table2[[#This Row],[Course]],Data!$A$1:$E$56,5,FALSE)</f>
        <v>3</v>
      </c>
      <c r="X354" s="154">
        <v>59</v>
      </c>
      <c r="Y354" s="154">
        <v>25</v>
      </c>
      <c r="Z354" s="154">
        <v>0</v>
      </c>
      <c r="AA354" s="154">
        <v>11</v>
      </c>
      <c r="AB354" s="155">
        <v>0</v>
      </c>
      <c r="AC354" s="154">
        <v>14</v>
      </c>
      <c r="AD354" s="154">
        <v>0</v>
      </c>
      <c r="AE354" s="147">
        <v>1</v>
      </c>
      <c r="AF354" s="390" t="s">
        <v>191</v>
      </c>
      <c r="AG354" s="226">
        <f ca="1">Table2[[#This Row],[End Date]]+2-TODAY()</f>
        <v>-19</v>
      </c>
      <c r="AH354" s="154">
        <f>IF(ISBLANK(Table2[[#This Row],[Roster Received By]]),1,0)</f>
        <v>0</v>
      </c>
      <c r="AI354" s="147">
        <f ca="1">IF(Table2[[#This Row],[Start Date]]&gt;TODAY(),1,)</f>
        <v>0</v>
      </c>
    </row>
    <row r="355" spans="1:35" s="146" customFormat="1" x14ac:dyDescent="0.25">
      <c r="B355" s="228" t="s">
        <v>34</v>
      </c>
      <c r="C355" s="147" t="str">
        <f>VLOOKUP(Table2[[#This Row],[Course]],Data!$A$1:$E$56,2,FALSE)</f>
        <v>A-493-0085</v>
      </c>
      <c r="D355" s="147">
        <f>VLOOKUP(Table2[[#This Row],[Course]],Data!$A$1:$E$56,3,FALSE)</f>
        <v>3555</v>
      </c>
      <c r="E355" s="228" t="s">
        <v>116</v>
      </c>
      <c r="F355" s="222">
        <v>45509</v>
      </c>
      <c r="G355" s="222">
        <v>45512</v>
      </c>
      <c r="H355" s="149"/>
      <c r="I355" s="150">
        <v>0.5</v>
      </c>
      <c r="J355" s="150">
        <v>0.375</v>
      </c>
      <c r="K355" s="150">
        <v>0.79166666666666663</v>
      </c>
      <c r="L355" s="150">
        <v>0.70833333333333337</v>
      </c>
      <c r="M355" s="150">
        <v>0.25</v>
      </c>
      <c r="N355" s="150">
        <v>4.1666666666666664E-2</v>
      </c>
      <c r="O355" s="100" t="s">
        <v>81</v>
      </c>
      <c r="P355" s="100"/>
      <c r="Q355" s="171" t="e">
        <v>#REF!</v>
      </c>
      <c r="R355" s="171" t="e">
        <v>#REF!</v>
      </c>
      <c r="S355" s="173"/>
      <c r="T355" s="101"/>
      <c r="U355" s="101"/>
      <c r="V355" s="154">
        <f>VLOOKUP(Table2[[#This Row],[Course]],Data!$A$1:$E$56,4,FALSE)</f>
        <v>30</v>
      </c>
      <c r="W355" s="154">
        <f>VLOOKUP(Table2[[#This Row],[Course]],Data!$A$1:$E$56,5,FALSE)</f>
        <v>4</v>
      </c>
      <c r="X355" s="154">
        <v>464</v>
      </c>
      <c r="Y355" s="154">
        <v>30</v>
      </c>
      <c r="Z355" s="154">
        <v>3</v>
      </c>
      <c r="AA355" s="154">
        <v>22</v>
      </c>
      <c r="AB355" s="155">
        <v>2</v>
      </c>
      <c r="AC355" s="154">
        <v>7</v>
      </c>
      <c r="AD355" s="154">
        <v>0</v>
      </c>
      <c r="AE355" s="147">
        <v>0</v>
      </c>
      <c r="AF355" s="147" t="s">
        <v>208</v>
      </c>
      <c r="AG355" s="226">
        <f ca="1">Table2[[#This Row],[End Date]]+2-TODAY()</f>
        <v>-18</v>
      </c>
      <c r="AH355" s="154">
        <f>IF(ISBLANK(Table2[[#This Row],[Roster Received By]]),1,0)</f>
        <v>0</v>
      </c>
      <c r="AI355" s="147">
        <f ca="1">IF(Table2[[#This Row],[Start Date]]&gt;TODAY(),1,)</f>
        <v>0</v>
      </c>
    </row>
    <row r="356" spans="1:35" s="146" customFormat="1" x14ac:dyDescent="0.25">
      <c r="B356" s="228" t="s">
        <v>317</v>
      </c>
      <c r="C356" s="147" t="str">
        <f>VLOOKUP(Table2[[#This Row],[Course]],Data!$A$1:$E$56,2,FALSE)</f>
        <v>A-493-2098</v>
      </c>
      <c r="D356" s="147" t="str">
        <f>VLOOKUP(Table2[[#This Row],[Course]],Data!$A$1:$E$56,3,FALSE)</f>
        <v>09WW</v>
      </c>
      <c r="E356" s="228" t="s">
        <v>116</v>
      </c>
      <c r="F356" s="222">
        <v>45509</v>
      </c>
      <c r="G356" s="222">
        <v>45513</v>
      </c>
      <c r="H356" s="149"/>
      <c r="I356" s="150">
        <v>0.54166666666666663</v>
      </c>
      <c r="J356" s="150">
        <v>0.41666666666666669</v>
      </c>
      <c r="K356" s="150">
        <v>0.83333333333333337</v>
      </c>
      <c r="L356" s="150">
        <v>0.75</v>
      </c>
      <c r="M356" s="150">
        <v>0.29166666666666669</v>
      </c>
      <c r="N356" s="150">
        <v>8.3333333333333329E-2</v>
      </c>
      <c r="O356" s="100" t="s">
        <v>89</v>
      </c>
      <c r="P356" s="100"/>
      <c r="Q356" s="170" t="e">
        <v>#REF!</v>
      </c>
      <c r="R356" s="171" t="e">
        <v>#REF!</v>
      </c>
      <c r="S356" s="170"/>
      <c r="T356" s="101"/>
      <c r="U356" s="101"/>
      <c r="V356" s="154">
        <f>VLOOKUP(Table2[[#This Row],[Course]],Data!$A$1:$E$56,4,FALSE)</f>
        <v>100</v>
      </c>
      <c r="W356" s="154">
        <f>VLOOKUP(Table2[[#This Row],[Course]],Data!$A$1:$E$56,5,FALSE)</f>
        <v>5</v>
      </c>
      <c r="X356" s="154">
        <v>1257</v>
      </c>
      <c r="Y356" s="154">
        <v>96</v>
      </c>
      <c r="Z356" s="154">
        <v>0</v>
      </c>
      <c r="AA356" s="154">
        <v>84</v>
      </c>
      <c r="AB356" s="155">
        <v>2</v>
      </c>
      <c r="AC356" s="154">
        <v>14</v>
      </c>
      <c r="AD356" s="154">
        <v>2</v>
      </c>
      <c r="AE356" s="147">
        <v>0</v>
      </c>
      <c r="AF356" s="147" t="s">
        <v>208</v>
      </c>
      <c r="AG356" s="226">
        <f ca="1">Table2[[#This Row],[End Date]]+2-TODAY()</f>
        <v>-17</v>
      </c>
      <c r="AH356" s="154">
        <f>IF(ISBLANK(Table2[[#This Row],[Roster Received By]]),1,0)</f>
        <v>0</v>
      </c>
      <c r="AI356" s="147">
        <f ca="1">IF(Table2[[#This Row],[Start Date]]&gt;TODAY(),1,)</f>
        <v>0</v>
      </c>
    </row>
    <row r="357" spans="1:35" s="146" customFormat="1" x14ac:dyDescent="0.25">
      <c r="B357" s="228" t="s">
        <v>18</v>
      </c>
      <c r="C357" s="147" t="str">
        <f>VLOOKUP(Table2[[#This Row],[Course]],Data!$A$1:$E$56,2,FALSE)</f>
        <v>A-493-0013</v>
      </c>
      <c r="D357" s="147">
        <f>VLOOKUP(Table2[[#This Row],[Course]],Data!$A$1:$E$56,3,FALSE)</f>
        <v>3683</v>
      </c>
      <c r="E357" s="234" t="s">
        <v>122</v>
      </c>
      <c r="F357" s="222">
        <v>45510</v>
      </c>
      <c r="G357" s="222">
        <v>45512</v>
      </c>
      <c r="H357" s="151">
        <v>0.33333333333333331</v>
      </c>
      <c r="I357" s="151"/>
      <c r="J357" s="151"/>
      <c r="K357" s="151"/>
      <c r="L357" s="151"/>
      <c r="M357" s="151"/>
      <c r="N357" s="149"/>
      <c r="O357" s="146" t="s">
        <v>78</v>
      </c>
      <c r="Q357" s="171" t="e">
        <v>#REF!</v>
      </c>
      <c r="R357" s="171" t="e">
        <v>#REF!</v>
      </c>
      <c r="S357" s="173"/>
      <c r="T357" s="101"/>
      <c r="U357" s="101"/>
      <c r="V357" s="154">
        <f>VLOOKUP(Table2[[#This Row],[Course]],Data!$A$1:$E$56,4,FALSE)</f>
        <v>40</v>
      </c>
      <c r="W357" s="154">
        <v>3</v>
      </c>
      <c r="X357" s="154">
        <v>13</v>
      </c>
      <c r="Y357" s="154">
        <v>16</v>
      </c>
      <c r="Z357" s="154">
        <v>0</v>
      </c>
      <c r="AA357" s="154">
        <v>15</v>
      </c>
      <c r="AB357" s="155">
        <v>0</v>
      </c>
      <c r="AC357" s="154">
        <v>1</v>
      </c>
      <c r="AD357" s="154">
        <v>1</v>
      </c>
      <c r="AE357" s="147">
        <v>0</v>
      </c>
      <c r="AF357" s="390" t="s">
        <v>191</v>
      </c>
      <c r="AG357" s="226">
        <f ca="1">Table2[[#This Row],[End Date]]+2-TODAY()</f>
        <v>-18</v>
      </c>
      <c r="AH357" s="154">
        <f>IF(ISBLANK(Table2[[#This Row],[Roster Received By]]),1,0)</f>
        <v>0</v>
      </c>
      <c r="AI357" s="147">
        <f ca="1">IF(Table2[[#This Row],[Start Date]]&gt;TODAY(),1,)</f>
        <v>0</v>
      </c>
    </row>
    <row r="358" spans="1:35" s="146" customFormat="1" x14ac:dyDescent="0.25">
      <c r="A358" s="244">
        <v>45419</v>
      </c>
      <c r="B358" s="333" t="s">
        <v>38</v>
      </c>
      <c r="C358" s="160" t="str">
        <f>VLOOKUP(Table2[[#This Row],[Course]],Data!$A$1:$E$56,2,FALSE)</f>
        <v>A-493-0072</v>
      </c>
      <c r="D358" s="160" t="str">
        <f>VLOOKUP(Table2[[#This Row],[Course]],Data!$A$1:$E$56,3,FALSE)</f>
        <v>713U</v>
      </c>
      <c r="E358" s="333" t="s">
        <v>109</v>
      </c>
      <c r="F358" s="206">
        <v>45510</v>
      </c>
      <c r="G358" s="206">
        <v>45513</v>
      </c>
      <c r="H358" s="207" t="s">
        <v>453</v>
      </c>
      <c r="I358" s="163"/>
      <c r="J358" s="161"/>
      <c r="K358" s="161"/>
      <c r="L358" s="161"/>
      <c r="M358" s="161"/>
      <c r="N358" s="161"/>
      <c r="O358" s="159" t="s">
        <v>84</v>
      </c>
      <c r="P358" s="159" t="s">
        <v>90</v>
      </c>
      <c r="Q358" s="179"/>
      <c r="R358" s="180"/>
      <c r="S358" s="179"/>
      <c r="T358" s="174"/>
      <c r="U358" s="174"/>
      <c r="V358" s="164">
        <v>30</v>
      </c>
      <c r="W358" s="165">
        <v>4</v>
      </c>
      <c r="X358" s="165">
        <v>55</v>
      </c>
      <c r="Y358" s="165">
        <v>30</v>
      </c>
      <c r="Z358" s="165">
        <v>5</v>
      </c>
      <c r="AA358" s="164">
        <v>29</v>
      </c>
      <c r="AB358" s="164">
        <v>0</v>
      </c>
      <c r="AC358" s="388">
        <v>3</v>
      </c>
      <c r="AD358" s="388">
        <v>1</v>
      </c>
      <c r="AE358" s="160">
        <v>0</v>
      </c>
      <c r="AF358" s="160" t="s">
        <v>208</v>
      </c>
      <c r="AG358" s="389">
        <f ca="1">Table2[[#This Row],[End Date]]+2-TODAY()</f>
        <v>-17</v>
      </c>
      <c r="AH358" s="388">
        <f>IF(ISBLANK(Table2[[#This Row],[Roster Received By]]),1,0)</f>
        <v>0</v>
      </c>
      <c r="AI358" s="160">
        <f ca="1">IF(Table2[[#This Row],[Start Date]]&gt;TODAY(),1,)</f>
        <v>0</v>
      </c>
    </row>
    <row r="359" spans="1:35" s="146" customFormat="1" x14ac:dyDescent="0.25">
      <c r="A359" s="269"/>
      <c r="B359" s="399" t="s">
        <v>24</v>
      </c>
      <c r="C359" s="400" t="str">
        <f>VLOOKUP(Table2[[#This Row],[Course]],Data!$A$1:$E$56,2,FALSE)</f>
        <v>A-493-0083</v>
      </c>
      <c r="D359" s="400" t="str">
        <f>VLOOKUP(Table2[[#This Row],[Course]],Data!$A$1:$E$56,3,FALSE)</f>
        <v>339E</v>
      </c>
      <c r="E359" s="401" t="s">
        <v>116</v>
      </c>
      <c r="F359" s="402">
        <v>45512</v>
      </c>
      <c r="G359" s="402">
        <v>45512</v>
      </c>
      <c r="H359" s="403"/>
      <c r="I359" s="404">
        <v>8.3333333333333329E-2</v>
      </c>
      <c r="J359" s="404">
        <v>0.95833333333333337</v>
      </c>
      <c r="K359" s="404">
        <v>0.375</v>
      </c>
      <c r="L359" s="404">
        <v>0.33333333333333331</v>
      </c>
      <c r="M359" s="404">
        <v>0.83333333333333337</v>
      </c>
      <c r="N359" s="404">
        <v>0.625</v>
      </c>
      <c r="O359" s="405" t="s">
        <v>78</v>
      </c>
      <c r="P359" s="405"/>
      <c r="Q359" s="248" t="e">
        <v>#REF!</v>
      </c>
      <c r="R359" s="249" t="e">
        <v>#REF!</v>
      </c>
      <c r="S359" s="248"/>
      <c r="T359" s="245"/>
      <c r="U359" s="245"/>
      <c r="V359" s="406">
        <f>VLOOKUP(Table2[[#This Row],[Course]],Data!$A$1:$E$56,4,FALSE)</f>
        <v>30</v>
      </c>
      <c r="W359" s="406">
        <f>VLOOKUP(Table2[[#This Row],[Course]],Data!$A$1:$E$56,5,FALSE)</f>
        <v>1</v>
      </c>
      <c r="X359" s="406">
        <v>0</v>
      </c>
      <c r="Y359" s="406">
        <v>30</v>
      </c>
      <c r="Z359" s="406">
        <v>0</v>
      </c>
      <c r="AA359" s="406">
        <v>16</v>
      </c>
      <c r="AB359" s="407">
        <v>0</v>
      </c>
      <c r="AC359" s="406">
        <v>14</v>
      </c>
      <c r="AD359" s="406">
        <v>0</v>
      </c>
      <c r="AE359" s="400">
        <v>0</v>
      </c>
      <c r="AF359" s="422" t="s">
        <v>191</v>
      </c>
      <c r="AG359" s="408">
        <f ca="1">Table2[[#This Row],[End Date]]+2-TODAY()</f>
        <v>-18</v>
      </c>
      <c r="AH359" s="406">
        <f>IF(ISBLANK(Table2[[#This Row],[Roster Received By]]),1,0)</f>
        <v>0</v>
      </c>
      <c r="AI359" s="400">
        <f ca="1">IF(Table2[[#This Row],[Start Date]]&gt;TODAY(),1,)</f>
        <v>0</v>
      </c>
    </row>
    <row r="360" spans="1:35" s="146" customFormat="1" x14ac:dyDescent="0.25">
      <c r="A360" s="158"/>
      <c r="B360" s="228" t="s">
        <v>24</v>
      </c>
      <c r="C360" s="160" t="str">
        <f>VLOOKUP(Table2[[#This Row],[Course]],Data!$A$1:$E$56,2,FALSE)</f>
        <v>A-493-0083</v>
      </c>
      <c r="D360" s="160" t="str">
        <f>VLOOKUP(Table2[[#This Row],[Course]],Data!$A$1:$E$56,3,FALSE)</f>
        <v>339E</v>
      </c>
      <c r="E360" s="333" t="s">
        <v>156</v>
      </c>
      <c r="F360" s="206">
        <v>45512</v>
      </c>
      <c r="G360" s="206">
        <v>45512</v>
      </c>
      <c r="H360" s="163"/>
      <c r="I360" s="163"/>
      <c r="J360" s="161"/>
      <c r="K360" s="161"/>
      <c r="L360" s="161"/>
      <c r="M360" s="161"/>
      <c r="N360" s="161"/>
      <c r="O360" s="159" t="s">
        <v>78</v>
      </c>
      <c r="P360" s="159"/>
      <c r="Q360" s="179"/>
      <c r="R360" s="180"/>
      <c r="S360" s="179"/>
      <c r="T360" s="174"/>
      <c r="U360" s="174"/>
      <c r="V360" s="164">
        <v>30</v>
      </c>
      <c r="W360" s="165">
        <v>1</v>
      </c>
      <c r="X360" s="165">
        <v>59</v>
      </c>
      <c r="Y360" s="165">
        <v>2</v>
      </c>
      <c r="Z360" s="165">
        <v>0</v>
      </c>
      <c r="AA360" s="164">
        <v>2</v>
      </c>
      <c r="AB360" s="164">
        <v>0</v>
      </c>
      <c r="AC360" s="388">
        <v>0</v>
      </c>
      <c r="AD360" s="388">
        <v>0</v>
      </c>
      <c r="AE360" s="160">
        <v>1</v>
      </c>
      <c r="AF360" s="423" t="s">
        <v>191</v>
      </c>
      <c r="AG360" s="389">
        <f ca="1">Table2[[#This Row],[End Date]]+2-TODAY()</f>
        <v>-18</v>
      </c>
      <c r="AH360" s="388">
        <f>IF(ISBLANK(Table2[[#This Row],[Roster Received By]]),1,0)</f>
        <v>0</v>
      </c>
      <c r="AI360" s="160">
        <f ca="1">IF(Table2[[#This Row],[Start Date]]&gt;TODAY(),1,)</f>
        <v>0</v>
      </c>
    </row>
    <row r="361" spans="1:35" s="146" customFormat="1" x14ac:dyDescent="0.25">
      <c r="B361" s="241" t="s">
        <v>236</v>
      </c>
      <c r="C361" s="147" t="str">
        <f>VLOOKUP(Table2[[#This Row],[Course]],Data!$A$1:$E$56,2,FALSE)</f>
        <v>A-493-0103</v>
      </c>
      <c r="D361" s="147" t="str">
        <f>VLOOKUP(Table2[[#This Row],[Course]],Data!$A$1:$E$56,3,FALSE)</f>
        <v>12JY</v>
      </c>
      <c r="E361" s="234" t="s">
        <v>140</v>
      </c>
      <c r="F361" s="149">
        <v>45516</v>
      </c>
      <c r="G361" s="149">
        <v>45520</v>
      </c>
      <c r="H361" s="151">
        <v>0.33333333333333331</v>
      </c>
      <c r="I361" s="151"/>
      <c r="J361" s="149"/>
      <c r="K361" s="149"/>
      <c r="L361" s="149"/>
      <c r="M361" s="149"/>
      <c r="N361" s="149"/>
      <c r="O361" s="100" t="s">
        <v>94</v>
      </c>
      <c r="P361" s="100"/>
      <c r="Q361" s="171" t="e">
        <v>#REF!</v>
      </c>
      <c r="R361" s="171" t="e">
        <v>#REF!</v>
      </c>
      <c r="S361" s="189"/>
      <c r="T361" s="101"/>
      <c r="U361" s="166"/>
      <c r="V361" s="154">
        <f>VLOOKUP(Table2[[#This Row],[Course]],Data!$A$1:$E$56,4,FALSE)</f>
        <v>25</v>
      </c>
      <c r="W361" s="154">
        <f>VLOOKUP(Table2[[#This Row],[Course]],Data!$A$1:$E$56,5,FALSE)</f>
        <v>5</v>
      </c>
      <c r="X361" s="154">
        <v>388</v>
      </c>
      <c r="Y361" s="154">
        <v>25</v>
      </c>
      <c r="Z361" s="154">
        <v>0</v>
      </c>
      <c r="AA361" s="154">
        <v>22</v>
      </c>
      <c r="AB361" s="155">
        <v>0</v>
      </c>
      <c r="AC361" s="154">
        <v>3</v>
      </c>
      <c r="AD361" s="154">
        <v>0</v>
      </c>
      <c r="AE361" s="147">
        <v>0</v>
      </c>
      <c r="AF361" s="147" t="s">
        <v>189</v>
      </c>
      <c r="AG361" s="226">
        <f ca="1">Table2[[#This Row],[End Date]]+2-TODAY()</f>
        <v>-10</v>
      </c>
      <c r="AH361" s="154">
        <f>IF(ISBLANK(Table2[[#This Row],[Roster Received By]]),1,0)</f>
        <v>0</v>
      </c>
      <c r="AI361" s="147">
        <f ca="1">IF(Table2[[#This Row],[Start Date]]&gt;TODAY(),1,)</f>
        <v>0</v>
      </c>
    </row>
    <row r="362" spans="1:35" s="146" customFormat="1" x14ac:dyDescent="0.25">
      <c r="A362" s="100"/>
      <c r="B362" s="241" t="s">
        <v>236</v>
      </c>
      <c r="C362" s="147" t="str">
        <f>VLOOKUP(Table2[[#This Row],[Course]],Data!$A$1:$E$56,2,FALSE)</f>
        <v>A-493-0103</v>
      </c>
      <c r="D362" s="147" t="str">
        <f>VLOOKUP(Table2[[#This Row],[Course]],Data!$A$1:$E$56,3,FALSE)</f>
        <v>12JY</v>
      </c>
      <c r="E362" s="228" t="s">
        <v>345</v>
      </c>
      <c r="F362" s="149">
        <v>45516</v>
      </c>
      <c r="G362" s="149">
        <v>45520</v>
      </c>
      <c r="H362" s="151">
        <v>0.33333333333333331</v>
      </c>
      <c r="I362" s="151"/>
      <c r="J362" s="149"/>
      <c r="K362" s="149"/>
      <c r="L362" s="149"/>
      <c r="M362" s="149"/>
      <c r="N362" s="149"/>
      <c r="O362" s="100" t="s">
        <v>94</v>
      </c>
      <c r="P362" s="100"/>
      <c r="Q362" s="171" t="e">
        <v>#REF!</v>
      </c>
      <c r="R362" s="171" t="e">
        <v>#REF!</v>
      </c>
      <c r="S362" s="171"/>
      <c r="T362" s="101"/>
      <c r="U362" s="101"/>
      <c r="V362" s="154">
        <f>VLOOKUP(Table2[[#This Row],[Course]],Data!$A$1:$E$56,4,FALSE)</f>
        <v>25</v>
      </c>
      <c r="W362" s="154">
        <f>VLOOKUP(Table2[[#This Row],[Course]],Data!$A$1:$E$56,5,FALSE)</f>
        <v>5</v>
      </c>
      <c r="X362" s="154">
        <v>18</v>
      </c>
      <c r="Y362" s="154">
        <v>21</v>
      </c>
      <c r="Z362" s="154">
        <v>0</v>
      </c>
      <c r="AA362" s="154">
        <v>19</v>
      </c>
      <c r="AB362" s="155">
        <v>0</v>
      </c>
      <c r="AC362" s="154">
        <v>2</v>
      </c>
      <c r="AD362" s="154">
        <v>0</v>
      </c>
      <c r="AE362" s="147">
        <v>0</v>
      </c>
      <c r="AF362" s="147" t="s">
        <v>189</v>
      </c>
      <c r="AG362" s="226">
        <f ca="1">Table2[[#This Row],[End Date]]+2-TODAY()</f>
        <v>-10</v>
      </c>
      <c r="AH362" s="154">
        <f>IF(ISBLANK(Table2[[#This Row],[Roster Received By]]),1,0)</f>
        <v>0</v>
      </c>
      <c r="AI362" s="147">
        <f ca="1">IF(Table2[[#This Row],[Start Date]]&gt;TODAY(),1,)</f>
        <v>0</v>
      </c>
    </row>
    <row r="363" spans="1:35" s="146" customFormat="1" x14ac:dyDescent="0.25">
      <c r="B363" s="409" t="s">
        <v>14</v>
      </c>
      <c r="C363" s="147" t="str">
        <f>VLOOKUP(Table2[[#This Row],[Course]],Data!$A$1:$E$56,2,FALSE)</f>
        <v>A-493-0030</v>
      </c>
      <c r="D363" s="147" t="str">
        <f>VLOOKUP(Table2[[#This Row],[Course]],Data!$A$1:$E$56,3,FALSE)</f>
        <v>286X</v>
      </c>
      <c r="E363" s="228" t="s">
        <v>116</v>
      </c>
      <c r="F363" s="149">
        <v>45516</v>
      </c>
      <c r="G363" s="149">
        <v>45520</v>
      </c>
      <c r="H363" s="149"/>
      <c r="I363" s="150">
        <v>0.33333333333333331</v>
      </c>
      <c r="J363" s="150">
        <v>0.20833333333333334</v>
      </c>
      <c r="K363" s="150">
        <v>0.625</v>
      </c>
      <c r="L363" s="150">
        <v>0.54166666666666663</v>
      </c>
      <c r="M363" s="150">
        <v>8.3333333333333329E-2</v>
      </c>
      <c r="N363" s="150">
        <v>0.875</v>
      </c>
      <c r="O363" s="100" t="s">
        <v>95</v>
      </c>
      <c r="P363" s="100"/>
      <c r="Q363" s="171" t="e">
        <v>#REF!</v>
      </c>
      <c r="R363" s="171" t="e">
        <v>#REF!</v>
      </c>
      <c r="S363" s="173"/>
      <c r="T363" s="101"/>
      <c r="U363" s="101"/>
      <c r="V363" s="154">
        <f>VLOOKUP(Table2[[#This Row],[Course]],Data!$A$1:$E$56,4,FALSE)</f>
        <v>25</v>
      </c>
      <c r="W363" s="154">
        <f>VLOOKUP(Table2[[#This Row],[Course]],Data!$A$1:$E$56,5,FALSE)</f>
        <v>5</v>
      </c>
      <c r="X363" s="154">
        <v>0</v>
      </c>
      <c r="Y363" s="154">
        <v>26</v>
      </c>
      <c r="Z363" s="154">
        <v>3</v>
      </c>
      <c r="AA363" s="154">
        <v>20</v>
      </c>
      <c r="AB363" s="155">
        <v>1</v>
      </c>
      <c r="AC363" s="154">
        <v>4</v>
      </c>
      <c r="AD363" s="154">
        <v>0</v>
      </c>
      <c r="AE363" s="147">
        <v>0</v>
      </c>
      <c r="AF363" s="147" t="s">
        <v>208</v>
      </c>
      <c r="AG363" s="226">
        <f ca="1">Table2[[#This Row],[End Date]]+2-TODAY()</f>
        <v>-10</v>
      </c>
      <c r="AH363" s="154">
        <f>IF(ISBLANK(Table2[[#This Row],[Roster Received By]]),1,0)</f>
        <v>0</v>
      </c>
      <c r="AI363" s="147">
        <f ca="1">IF(Table2[[#This Row],[Start Date]]&gt;TODAY(),1,)</f>
        <v>0</v>
      </c>
    </row>
    <row r="364" spans="1:35" s="146" customFormat="1" x14ac:dyDescent="0.25">
      <c r="B364" s="228" t="s">
        <v>15</v>
      </c>
      <c r="C364" s="147" t="str">
        <f>VLOOKUP(Table2[[#This Row],[Course]],Data!$A$1:$E$56,2,FALSE)</f>
        <v>A-493-0021</v>
      </c>
      <c r="D364" s="147" t="str">
        <f>VLOOKUP(Table2[[#This Row],[Course]],Data!$A$1:$E$56,3,FALSE)</f>
        <v>18BN</v>
      </c>
      <c r="E364" s="285" t="s">
        <v>109</v>
      </c>
      <c r="F364" s="149">
        <v>45516</v>
      </c>
      <c r="G364" s="149">
        <v>45520</v>
      </c>
      <c r="H364" s="151">
        <v>0.33333333333333331</v>
      </c>
      <c r="I364" s="151"/>
      <c r="J364" s="149"/>
      <c r="K364" s="149"/>
      <c r="L364" s="149"/>
      <c r="M364" s="149"/>
      <c r="N364" s="149"/>
      <c r="O364" s="100" t="s">
        <v>94</v>
      </c>
      <c r="P364" s="100"/>
      <c r="Q364" s="171" t="e">
        <v>#REF!</v>
      </c>
      <c r="R364" s="171" t="e">
        <v>#REF!</v>
      </c>
      <c r="S364" s="173"/>
      <c r="T364" s="101"/>
      <c r="U364" s="101"/>
      <c r="V364" s="154">
        <f>VLOOKUP(Table2[[#This Row],[Course]],Data!$A$1:$E$56,4,FALSE)</f>
        <v>35</v>
      </c>
      <c r="W364" s="154">
        <f>VLOOKUP(Table2[[#This Row],[Course]],Data!$A$1:$E$56,5,FALSE)</f>
        <v>5</v>
      </c>
      <c r="X364" s="154">
        <v>4</v>
      </c>
      <c r="Y364" s="154">
        <v>28</v>
      </c>
      <c r="Z364" s="154">
        <v>0</v>
      </c>
      <c r="AA364" s="154">
        <v>26</v>
      </c>
      <c r="AB364" s="155">
        <v>0</v>
      </c>
      <c r="AC364" s="154">
        <v>2</v>
      </c>
      <c r="AD364" s="154">
        <v>1</v>
      </c>
      <c r="AE364" s="147">
        <v>0</v>
      </c>
      <c r="AF364" s="147" t="s">
        <v>189</v>
      </c>
      <c r="AG364" s="226">
        <f ca="1">Table2[[#This Row],[End Date]]+2-TODAY()</f>
        <v>-10</v>
      </c>
      <c r="AH364" s="154">
        <f>IF(ISBLANK(Table2[[#This Row],[Roster Received By]]),1,0)</f>
        <v>0</v>
      </c>
      <c r="AI364" s="147">
        <f ca="1">IF(Table2[[#This Row],[Start Date]]&gt;TODAY(),1,)</f>
        <v>0</v>
      </c>
    </row>
    <row r="365" spans="1:35" s="101" customFormat="1" x14ac:dyDescent="0.25">
      <c r="B365" s="196" t="s">
        <v>17</v>
      </c>
      <c r="C365" s="167" t="str">
        <f>VLOOKUP(Table2[[#This Row],[Course]],Data!$A$1:$E$56,2,FALSE)</f>
        <v>A-493-0012</v>
      </c>
      <c r="D365" s="167">
        <f>VLOOKUP(Table2[[#This Row],[Course]],Data!$A$1:$E$56,3,FALSE)</f>
        <v>3682</v>
      </c>
      <c r="E365" s="196" t="s">
        <v>137</v>
      </c>
      <c r="F365" s="169">
        <v>45516</v>
      </c>
      <c r="G365" s="169">
        <v>45520</v>
      </c>
      <c r="H365" s="172">
        <v>0.33333333333333331</v>
      </c>
      <c r="I365" s="193"/>
      <c r="J365" s="193"/>
      <c r="K365" s="193"/>
      <c r="L365" s="193"/>
      <c r="M365" s="193"/>
      <c r="N365" s="193"/>
      <c r="O365" s="166" t="s">
        <v>78</v>
      </c>
      <c r="P365" s="166"/>
      <c r="V365" s="26">
        <v>40</v>
      </c>
      <c r="W365" s="26">
        <v>5</v>
      </c>
      <c r="X365" s="26">
        <v>0</v>
      </c>
      <c r="Y365" s="26">
        <v>28</v>
      </c>
      <c r="Z365" s="26">
        <v>0</v>
      </c>
      <c r="AA365" s="170"/>
      <c r="AB365" s="194"/>
      <c r="AC365" s="194"/>
      <c r="AD365" s="194"/>
      <c r="AE365" s="194"/>
      <c r="AG365" s="194"/>
    </row>
    <row r="366" spans="1:35" s="146" customFormat="1" x14ac:dyDescent="0.25">
      <c r="A366" s="205"/>
      <c r="B366" s="228" t="s">
        <v>243</v>
      </c>
      <c r="C366" s="147" t="str">
        <f>VLOOKUP(Table2[[#This Row],[Course]],Data!$A$1:$E$56,2,FALSE)</f>
        <v>A-493-0061</v>
      </c>
      <c r="D366" s="147" t="str">
        <f>VLOOKUP(Table2[[#This Row],[Course]],Data!$A$1:$E$56,3,FALSE)</f>
        <v>288E</v>
      </c>
      <c r="E366" s="228" t="s">
        <v>116</v>
      </c>
      <c r="F366" s="292">
        <v>45516</v>
      </c>
      <c r="G366" s="292">
        <v>45520</v>
      </c>
      <c r="H366" s="149"/>
      <c r="I366" s="150">
        <v>0.41666666666666669</v>
      </c>
      <c r="J366" s="150">
        <v>0.29166666666666669</v>
      </c>
      <c r="K366" s="150">
        <v>0.70833333333333337</v>
      </c>
      <c r="L366" s="150">
        <v>0.625</v>
      </c>
      <c r="M366" s="150">
        <v>0.16666666666666666</v>
      </c>
      <c r="N366" s="150">
        <v>0.95833333333333337</v>
      </c>
      <c r="O366" s="100" t="s">
        <v>92</v>
      </c>
      <c r="P366" s="100"/>
      <c r="Q366" s="171" t="e">
        <v>#REF!</v>
      </c>
      <c r="R366" s="171" t="e">
        <v>#REF!</v>
      </c>
      <c r="S366" s="173"/>
      <c r="T366" s="101"/>
      <c r="U366" s="101"/>
      <c r="V366" s="154">
        <f>VLOOKUP(Table2[[#This Row],[Course]],Data!$A$1:$E$56,4,FALSE)</f>
        <v>45</v>
      </c>
      <c r="W366" s="154">
        <f>VLOOKUP(Table2[[#This Row],[Course]],Data!$A$1:$E$56,5,FALSE)</f>
        <v>5</v>
      </c>
      <c r="X366" s="154">
        <v>430</v>
      </c>
      <c r="Y366" s="154">
        <v>30</v>
      </c>
      <c r="Z366" s="154">
        <v>0</v>
      </c>
      <c r="AA366" s="154">
        <v>23</v>
      </c>
      <c r="AB366" s="155">
        <v>0</v>
      </c>
      <c r="AC366" s="154">
        <v>7</v>
      </c>
      <c r="AD366" s="154">
        <v>0</v>
      </c>
      <c r="AE366" s="147">
        <v>0</v>
      </c>
      <c r="AF366" s="147" t="s">
        <v>189</v>
      </c>
      <c r="AG366" s="226">
        <f ca="1">Table2[[#This Row],[End Date]]+2-TODAY()</f>
        <v>-10</v>
      </c>
      <c r="AH366" s="154">
        <f>IF(ISBLANK(Table2[[#This Row],[Roster Received By]]),1,0)</f>
        <v>0</v>
      </c>
      <c r="AI366" s="147">
        <f ca="1">IF(Table2[[#This Row],[Start Date]]&gt;TODAY(),1,)</f>
        <v>0</v>
      </c>
    </row>
    <row r="367" spans="1:35" s="146" customFormat="1" x14ac:dyDescent="0.25">
      <c r="B367" s="241" t="s">
        <v>25</v>
      </c>
      <c r="C367" s="147" t="str">
        <f>VLOOKUP(Table2[[#This Row],[Course]],Data!$A$1:$E$56,2,FALSE)</f>
        <v>A-493-2300</v>
      </c>
      <c r="D367" s="147" t="str">
        <f>VLOOKUP(Table2[[#This Row],[Course]],Data!$A$1:$E$56,3,FALSE)</f>
        <v>993F</v>
      </c>
      <c r="E367" s="228" t="s">
        <v>104</v>
      </c>
      <c r="F367" s="292">
        <v>45516</v>
      </c>
      <c r="G367" s="292">
        <v>45517</v>
      </c>
      <c r="H367" s="151">
        <v>0.33333333333333331</v>
      </c>
      <c r="I367" s="151"/>
      <c r="J367" s="149"/>
      <c r="K367" s="149"/>
      <c r="L367" s="149"/>
      <c r="M367" s="149"/>
      <c r="N367" s="149"/>
      <c r="O367" s="100" t="s">
        <v>78</v>
      </c>
      <c r="P367" s="100"/>
      <c r="Q367" s="170" t="e">
        <v>#REF!</v>
      </c>
      <c r="R367" s="171" t="e">
        <v>#REF!</v>
      </c>
      <c r="S367" s="170"/>
      <c r="T367" s="101"/>
      <c r="U367" s="101"/>
      <c r="V367" s="154">
        <f>VLOOKUP(Table2[[#This Row],[Course]],Data!$A$1:$E$56,4,FALSE)</f>
        <v>30</v>
      </c>
      <c r="W367" s="154">
        <f>VLOOKUP(Table2[[#This Row],[Course]],Data!$A$1:$E$56,5,FALSE)</f>
        <v>2</v>
      </c>
      <c r="X367" s="154">
        <v>3</v>
      </c>
      <c r="Y367" s="154">
        <v>12</v>
      </c>
      <c r="Z367" s="154">
        <v>0</v>
      </c>
      <c r="AA367" s="154">
        <v>12</v>
      </c>
      <c r="AB367" s="155">
        <v>0</v>
      </c>
      <c r="AC367" s="154">
        <v>1</v>
      </c>
      <c r="AD367" s="154">
        <v>1</v>
      </c>
      <c r="AE367" s="147">
        <v>0</v>
      </c>
      <c r="AF367" s="390" t="s">
        <v>191</v>
      </c>
      <c r="AG367" s="226">
        <f ca="1">Table2[[#This Row],[End Date]]+2-TODAY()</f>
        <v>-13</v>
      </c>
      <c r="AH367" s="154">
        <f>IF(ISBLANK(Table2[[#This Row],[Roster Received By]]),1,0)</f>
        <v>0</v>
      </c>
      <c r="AI367" s="147">
        <f ca="1">IF(Table2[[#This Row],[Start Date]]&gt;TODAY(),1,)</f>
        <v>0</v>
      </c>
    </row>
    <row r="368" spans="1:35" s="101" customFormat="1" x14ac:dyDescent="0.25">
      <c r="B368" s="196" t="s">
        <v>281</v>
      </c>
      <c r="C368" s="167" t="str">
        <f>VLOOKUP(Table2[[#This Row],[Course]],Data!$A$1:$E$56,2,FALSE)</f>
        <v>A-493-0550</v>
      </c>
      <c r="D368" s="167" t="str">
        <f>VLOOKUP(Table2[[#This Row],[Course]],Data!$A$1:$E$56,3,FALSE)</f>
        <v>09K5</v>
      </c>
      <c r="E368" s="196" t="s">
        <v>116</v>
      </c>
      <c r="F368" s="281">
        <v>45516</v>
      </c>
      <c r="G368" s="281">
        <v>45520</v>
      </c>
      <c r="H368" s="169"/>
      <c r="I368" s="168">
        <v>0.54166666666666663</v>
      </c>
      <c r="J368" s="168">
        <v>0.41666666666666669</v>
      </c>
      <c r="K368" s="168">
        <v>0.83333333333333337</v>
      </c>
      <c r="L368" s="168">
        <v>0.75</v>
      </c>
      <c r="M368" s="168">
        <v>0.29166666666666669</v>
      </c>
      <c r="N368" s="168">
        <v>8.3333333333333329E-2</v>
      </c>
      <c r="O368" s="166" t="s">
        <v>88</v>
      </c>
      <c r="P368" s="166"/>
      <c r="Q368" s="171" t="e">
        <v>#REF!</v>
      </c>
      <c r="R368" s="171" t="e">
        <v>#REF!</v>
      </c>
      <c r="S368" s="173"/>
      <c r="V368" s="26">
        <f>VLOOKUP(Table2[[#This Row],[Course]],Data!$A$1:$E$56,4,FALSE)</f>
        <v>45</v>
      </c>
      <c r="W368" s="26">
        <f>VLOOKUP(Table2[[#This Row],[Course]],Data!$A$1:$E$56,5,FALSE)</f>
        <v>4</v>
      </c>
      <c r="X368" s="26">
        <v>746</v>
      </c>
      <c r="Y368" s="26">
        <v>44</v>
      </c>
      <c r="Z368" s="26">
        <v>4</v>
      </c>
      <c r="AA368" s="26"/>
      <c r="AB368" s="170"/>
      <c r="AC368" s="26"/>
      <c r="AD368" s="26"/>
      <c r="AE368" s="167"/>
      <c r="AF368" s="167"/>
      <c r="AG368" s="190">
        <f ca="1">Table2[[#This Row],[End Date]]+2-TODAY()</f>
        <v>-10</v>
      </c>
      <c r="AH368" s="26">
        <f>IF(ISBLANK(Table2[[#This Row],[Roster Received By]]),1,0)</f>
        <v>1</v>
      </c>
      <c r="AI368" s="167">
        <f ca="1">IF(Table2[[#This Row],[Start Date]]&gt;TODAY(),1,)</f>
        <v>0</v>
      </c>
    </row>
    <row r="369" spans="1:35" s="146" customFormat="1" x14ac:dyDescent="0.25">
      <c r="B369" s="228" t="s">
        <v>292</v>
      </c>
      <c r="C369" s="147" t="str">
        <f>VLOOKUP(Table2[[#This Row],[Course]],Data!$A$1:$E$56,2,FALSE)</f>
        <v>A-493-0078</v>
      </c>
      <c r="D369" s="147">
        <f>VLOOKUP(Table2[[#This Row],[Course]],Data!$A$1:$E$56,3,FALSE)</f>
        <v>1228</v>
      </c>
      <c r="E369" s="228" t="s">
        <v>116</v>
      </c>
      <c r="F369" s="292">
        <v>45516</v>
      </c>
      <c r="G369" s="292">
        <v>45520</v>
      </c>
      <c r="H369" s="149"/>
      <c r="I369" s="150">
        <v>0.41666666666666669</v>
      </c>
      <c r="J369" s="150">
        <v>0.29166666666666669</v>
      </c>
      <c r="K369" s="150">
        <v>0.70833333333333337</v>
      </c>
      <c r="L369" s="150">
        <v>0.625</v>
      </c>
      <c r="M369" s="150">
        <v>0.16666666666666666</v>
      </c>
      <c r="N369" s="150">
        <v>0.95833333333333337</v>
      </c>
      <c r="O369" s="100" t="s">
        <v>80</v>
      </c>
      <c r="P369" s="100"/>
      <c r="Q369" s="171" t="e">
        <v>#REF!</v>
      </c>
      <c r="R369" s="171" t="e">
        <v>#REF!</v>
      </c>
      <c r="S369" s="173"/>
      <c r="T369" s="101"/>
      <c r="U369" s="101"/>
      <c r="V369" s="154">
        <f>VLOOKUP(Table2[[#This Row],[Course]],Data!$A$1:$E$56,4,FALSE)</f>
        <v>45</v>
      </c>
      <c r="W369" s="154">
        <f>VLOOKUP(Table2[[#This Row],[Course]],Data!$A$1:$E$56,5,FALSE)</f>
        <v>5</v>
      </c>
      <c r="X369" s="154">
        <v>543</v>
      </c>
      <c r="Y369" s="154">
        <v>41</v>
      </c>
      <c r="Z369" s="154">
        <v>0</v>
      </c>
      <c r="AA369" s="154">
        <v>32</v>
      </c>
      <c r="AB369" s="155">
        <v>0</v>
      </c>
      <c r="AC369" s="154">
        <v>11</v>
      </c>
      <c r="AD369" s="154">
        <v>1</v>
      </c>
      <c r="AE369" s="147">
        <v>0</v>
      </c>
      <c r="AF369" s="147" t="s">
        <v>189</v>
      </c>
      <c r="AG369" s="226">
        <f ca="1">Table2[[#This Row],[End Date]]+2-TODAY()</f>
        <v>-10</v>
      </c>
      <c r="AH369" s="154">
        <f>IF(ISBLANK(Table2[[#This Row],[Roster Received By]]),1,0)</f>
        <v>0</v>
      </c>
      <c r="AI369" s="147">
        <f ca="1">IF(Table2[[#This Row],[Start Date]]&gt;TODAY(),1,)</f>
        <v>0</v>
      </c>
    </row>
    <row r="370" spans="1:35" s="146" customFormat="1" x14ac:dyDescent="0.25">
      <c r="B370" s="228" t="s">
        <v>303</v>
      </c>
      <c r="C370" s="147" t="str">
        <f>VLOOKUP(Table2[[#This Row],[Course]],Data!$A$1:$E$56,2,FALSE)</f>
        <v>A-570-0100</v>
      </c>
      <c r="D370" s="147" t="str">
        <f>VLOOKUP(Table2[[#This Row],[Course]],Data!$A$1:$E$56,3,FALSE)</f>
        <v>18B7</v>
      </c>
      <c r="E370" s="285" t="s">
        <v>116</v>
      </c>
      <c r="F370" s="292">
        <v>45516</v>
      </c>
      <c r="G370" s="292">
        <v>45519</v>
      </c>
      <c r="H370" s="149"/>
      <c r="I370" s="150">
        <v>0.54166666666666663</v>
      </c>
      <c r="J370" s="150">
        <v>0.41666666666666669</v>
      </c>
      <c r="K370" s="150">
        <v>0.83333333333333337</v>
      </c>
      <c r="L370" s="150">
        <v>0.75</v>
      </c>
      <c r="M370" s="150">
        <v>0.29166666666666669</v>
      </c>
      <c r="N370" s="150">
        <v>8.3333333333333329E-2</v>
      </c>
      <c r="O370" s="100" t="s">
        <v>89</v>
      </c>
      <c r="P370" s="100"/>
      <c r="Q370" s="170" t="e">
        <v>#REF!</v>
      </c>
      <c r="R370" s="171" t="e">
        <v>#REF!</v>
      </c>
      <c r="S370" s="170"/>
      <c r="T370" s="101"/>
      <c r="U370" s="101"/>
      <c r="V370" s="154">
        <f>VLOOKUP(Table2[[#This Row],[Course]],Data!$A$1:$E$56,4,FALSE)</f>
        <v>30</v>
      </c>
      <c r="W370" s="154">
        <f>VLOOKUP(Table2[[#This Row],[Course]],Data!$A$1:$E$56,5,FALSE)</f>
        <v>4</v>
      </c>
      <c r="X370" s="154">
        <v>459</v>
      </c>
      <c r="Y370" s="154">
        <v>21</v>
      </c>
      <c r="Z370" s="154">
        <v>0</v>
      </c>
      <c r="AA370" s="154">
        <v>14</v>
      </c>
      <c r="AB370" s="155">
        <v>2</v>
      </c>
      <c r="AC370" s="154">
        <v>5</v>
      </c>
      <c r="AD370" s="154">
        <v>0</v>
      </c>
      <c r="AE370" s="147">
        <v>0</v>
      </c>
      <c r="AF370" s="147" t="s">
        <v>189</v>
      </c>
      <c r="AG370" s="226">
        <f ca="1">Table2[[#This Row],[End Date]]+2-TODAY()</f>
        <v>-11</v>
      </c>
      <c r="AH370" s="154">
        <f>IF(ISBLANK(Table2[[#This Row],[Roster Received By]]),1,0)</f>
        <v>0</v>
      </c>
      <c r="AI370" s="147">
        <f ca="1">IF(Table2[[#This Row],[Start Date]]&gt;TODAY(),1,)</f>
        <v>0</v>
      </c>
    </row>
    <row r="371" spans="1:35" s="146" customFormat="1" x14ac:dyDescent="0.25">
      <c r="A371" s="244">
        <v>45419</v>
      </c>
      <c r="B371" s="333" t="s">
        <v>38</v>
      </c>
      <c r="C371" s="160" t="str">
        <f>VLOOKUP(Table2[[#This Row],[Course]],Data!$A$1:$E$56,2,FALSE)</f>
        <v>A-493-0072</v>
      </c>
      <c r="D371" s="160" t="str">
        <f>VLOOKUP(Table2[[#This Row],[Course]],Data!$A$1:$E$56,3,FALSE)</f>
        <v>713U</v>
      </c>
      <c r="E371" s="333" t="s">
        <v>147</v>
      </c>
      <c r="F371" s="395">
        <v>45516</v>
      </c>
      <c r="G371" s="395">
        <v>45519</v>
      </c>
      <c r="H371" s="207" t="s">
        <v>453</v>
      </c>
      <c r="I371" s="163"/>
      <c r="J371" s="161"/>
      <c r="K371" s="161"/>
      <c r="L371" s="161"/>
      <c r="M371" s="161"/>
      <c r="N371" s="161"/>
      <c r="O371" s="159" t="s">
        <v>84</v>
      </c>
      <c r="P371" s="159" t="s">
        <v>90</v>
      </c>
      <c r="Q371" s="179"/>
      <c r="R371" s="180"/>
      <c r="S371" s="179"/>
      <c r="T371" s="174"/>
      <c r="U371" s="174"/>
      <c r="V371" s="164">
        <v>30</v>
      </c>
      <c r="W371" s="165">
        <v>4</v>
      </c>
      <c r="X371" s="165">
        <v>40</v>
      </c>
      <c r="Y371" s="353">
        <v>15</v>
      </c>
      <c r="Z371" s="353">
        <v>0</v>
      </c>
      <c r="AA371" s="164">
        <v>17</v>
      </c>
      <c r="AB371" s="164">
        <v>0</v>
      </c>
      <c r="AC371" s="388">
        <v>0</v>
      </c>
      <c r="AD371" s="388">
        <v>0</v>
      </c>
      <c r="AE371" s="160">
        <v>0</v>
      </c>
      <c r="AF371" s="160" t="s">
        <v>208</v>
      </c>
      <c r="AG371" s="389">
        <f ca="1">Table2[[#This Row],[End Date]]+2-TODAY()</f>
        <v>-11</v>
      </c>
      <c r="AH371" s="388">
        <f>IF(ISBLANK(Table2[[#This Row],[Roster Received By]]),1,0)</f>
        <v>0</v>
      </c>
      <c r="AI371" s="160">
        <f ca="1">IF(Table2[[#This Row],[Start Date]]&gt;TODAY(),1,)</f>
        <v>0</v>
      </c>
    </row>
    <row r="372" spans="1:35" s="146" customFormat="1" x14ac:dyDescent="0.25">
      <c r="B372" s="228" t="s">
        <v>26</v>
      </c>
      <c r="C372" s="147" t="str">
        <f>VLOOKUP(Table2[[#This Row],[Course]],Data!$A$1:$E$56,2,FALSE)</f>
        <v>A-493-2301</v>
      </c>
      <c r="D372" s="147" t="str">
        <f>VLOOKUP(Table2[[#This Row],[Course]],Data!$A$1:$E$56,3,FALSE)</f>
        <v>05ZD</v>
      </c>
      <c r="E372" s="228" t="s">
        <v>104</v>
      </c>
      <c r="F372" s="292">
        <v>45518</v>
      </c>
      <c r="G372" s="292">
        <v>45518</v>
      </c>
      <c r="H372" s="151">
        <v>0.33333333333333331</v>
      </c>
      <c r="I372" s="151"/>
      <c r="J372" s="149"/>
      <c r="K372" s="149"/>
      <c r="L372" s="149"/>
      <c r="M372" s="149"/>
      <c r="N372" s="149"/>
      <c r="O372" s="100" t="s">
        <v>78</v>
      </c>
      <c r="P372" s="100"/>
      <c r="Q372" s="155" t="e">
        <v>#REF!</v>
      </c>
      <c r="R372" s="152" t="e">
        <v>#REF!</v>
      </c>
      <c r="S372" s="155"/>
      <c r="V372" s="154">
        <f>VLOOKUP(Table2[[#This Row],[Course]],Data!$A$1:$E$56,4,FALSE)</f>
        <v>30</v>
      </c>
      <c r="W372" s="154">
        <f>VLOOKUP(Table2[[#This Row],[Course]],Data!$A$1:$E$56,5,FALSE)</f>
        <v>1</v>
      </c>
      <c r="X372" s="154">
        <v>2</v>
      </c>
      <c r="Y372" s="275">
        <v>5</v>
      </c>
      <c r="Z372" s="275">
        <v>0</v>
      </c>
      <c r="AA372" s="154">
        <v>5</v>
      </c>
      <c r="AB372" s="155">
        <v>0</v>
      </c>
      <c r="AC372" s="154">
        <v>0</v>
      </c>
      <c r="AD372" s="154">
        <v>0</v>
      </c>
      <c r="AE372" s="147">
        <v>0</v>
      </c>
      <c r="AF372" s="147" t="s">
        <v>191</v>
      </c>
      <c r="AG372" s="226">
        <f ca="1">Table2[[#This Row],[End Date]]+2-TODAY()</f>
        <v>-12</v>
      </c>
      <c r="AH372" s="154">
        <f>IF(ISBLANK(Table2[[#This Row],[Roster Received By]]),1,0)</f>
        <v>0</v>
      </c>
      <c r="AI372" s="147">
        <f ca="1">IF(Table2[[#This Row],[Start Date]]&gt;TODAY(),1,)</f>
        <v>0</v>
      </c>
    </row>
    <row r="373" spans="1:35" s="101" customFormat="1" x14ac:dyDescent="0.25">
      <c r="B373" s="196" t="s">
        <v>11</v>
      </c>
      <c r="C373" s="167" t="str">
        <f>VLOOKUP(Table2[[#This Row],[Course]],Data!$A$1:$E$56,2,FALSE)</f>
        <v>A-493-0070</v>
      </c>
      <c r="D373" s="167" t="str">
        <f>VLOOKUP(Table2[[#This Row],[Course]],Data!$A$1:$E$56,3,FALSE)</f>
        <v>450V</v>
      </c>
      <c r="E373" s="107" t="s">
        <v>116</v>
      </c>
      <c r="F373" s="264">
        <v>45523</v>
      </c>
      <c r="G373" s="264">
        <v>45524</v>
      </c>
      <c r="H373" s="108"/>
      <c r="I373" s="168">
        <v>0.25</v>
      </c>
      <c r="J373" s="168">
        <v>0.125</v>
      </c>
      <c r="K373" s="168">
        <v>0.54166666666666663</v>
      </c>
      <c r="L373" s="168">
        <v>0.45833333333333331</v>
      </c>
      <c r="M373" s="168">
        <v>0</v>
      </c>
      <c r="N373" s="168">
        <v>0.79166666666666663</v>
      </c>
      <c r="O373" s="166" t="s">
        <v>81</v>
      </c>
      <c r="P373" s="166"/>
      <c r="Q373" s="171" t="e">
        <v>#REF!</v>
      </c>
      <c r="R373" s="171" t="e">
        <v>#REF!</v>
      </c>
      <c r="S373" s="171"/>
      <c r="V373" s="26">
        <f>VLOOKUP(Table2[[#This Row],[Course]],Data!$A$1:$E$56,4,FALSE)</f>
        <v>30</v>
      </c>
      <c r="W373" s="26">
        <f>VLOOKUP(Table2[[#This Row],[Course]],Data!$A$1:$E$56,5,FALSE)</f>
        <v>1</v>
      </c>
      <c r="X373" s="26">
        <v>0</v>
      </c>
      <c r="Y373" s="26">
        <v>6</v>
      </c>
      <c r="Z373" s="26">
        <v>0</v>
      </c>
      <c r="AA373" s="26"/>
      <c r="AB373" s="170"/>
      <c r="AC373" s="26"/>
      <c r="AD373" s="26"/>
      <c r="AE373" s="167"/>
      <c r="AF373" s="167"/>
      <c r="AG373" s="190">
        <f ca="1">Table2[[#This Row],[End Date]]+2-TODAY()</f>
        <v>-6</v>
      </c>
      <c r="AH373" s="26">
        <f>IF(ISBLANK(Table2[[#This Row],[Roster Received By]]),1,0)</f>
        <v>1</v>
      </c>
      <c r="AI373" s="167">
        <f ca="1">IF(Table2[[#This Row],[Start Date]]&gt;TODAY(),1,)</f>
        <v>0</v>
      </c>
    </row>
    <row r="374" spans="1:35" s="101" customFormat="1" x14ac:dyDescent="0.25">
      <c r="A374" s="101" t="s">
        <v>429</v>
      </c>
      <c r="B374" s="196" t="s">
        <v>236</v>
      </c>
      <c r="C374" s="167" t="str">
        <f>VLOOKUP(Table2[[#This Row],[Course]],Data!$A$1:$E$56,2,FALSE)</f>
        <v>A-493-0103</v>
      </c>
      <c r="D374" s="167" t="str">
        <f>VLOOKUP(Table2[[#This Row],[Course]],Data!$A$1:$E$56,3,FALSE)</f>
        <v>12JY</v>
      </c>
      <c r="E374" s="196" t="s">
        <v>224</v>
      </c>
      <c r="F374" s="191">
        <v>45523</v>
      </c>
      <c r="G374" s="191">
        <v>45527</v>
      </c>
      <c r="H374" s="172">
        <v>0.33333333333333331</v>
      </c>
      <c r="I374" s="172"/>
      <c r="J374" s="169"/>
      <c r="K374" s="169"/>
      <c r="L374" s="169"/>
      <c r="M374" s="169"/>
      <c r="N374" s="169"/>
      <c r="O374" s="166" t="s">
        <v>94</v>
      </c>
      <c r="P374" s="166"/>
      <c r="Q374" s="171" t="e">
        <v>#REF!</v>
      </c>
      <c r="R374" s="171" t="e">
        <v>#REF!</v>
      </c>
      <c r="S374" s="173"/>
      <c r="V374" s="26">
        <f>VLOOKUP(Table2[[#This Row],[Course]],Data!$A$1:$E$56,4,FALSE)</f>
        <v>25</v>
      </c>
      <c r="W374" s="26">
        <f>VLOOKUP(Table2[[#This Row],[Course]],Data!$A$1:$E$56,5,FALSE)</f>
        <v>5</v>
      </c>
      <c r="X374" s="26">
        <v>42</v>
      </c>
      <c r="Y374" s="26"/>
      <c r="Z374" s="26"/>
      <c r="AA374" s="26"/>
      <c r="AB374" s="170"/>
      <c r="AC374" s="26"/>
      <c r="AD374" s="26"/>
      <c r="AE374" s="167"/>
      <c r="AF374" s="167"/>
      <c r="AG374" s="190">
        <f ca="1">Table2[[#This Row],[End Date]]+2-TODAY()</f>
        <v>-3</v>
      </c>
      <c r="AH374" s="26">
        <f>IF(ISBLANK(Table2[[#This Row],[Roster Received By]]),1,0)</f>
        <v>1</v>
      </c>
      <c r="AI374" s="167">
        <f ca="1">IF(Table2[[#This Row],[Start Date]]&gt;TODAY(),1,)</f>
        <v>0</v>
      </c>
    </row>
    <row r="375" spans="1:35" s="101" customFormat="1" x14ac:dyDescent="0.25">
      <c r="A375" s="166"/>
      <c r="B375" s="196" t="s">
        <v>236</v>
      </c>
      <c r="C375" s="167" t="str">
        <f>VLOOKUP(Table2[[#This Row],[Course]],Data!$A$1:$E$56,2,FALSE)</f>
        <v>A-493-0103</v>
      </c>
      <c r="D375" s="167" t="str">
        <f>VLOOKUP(Table2[[#This Row],[Course]],Data!$A$1:$E$56,3,FALSE)</f>
        <v>12JY</v>
      </c>
      <c r="E375" s="196" t="s">
        <v>141</v>
      </c>
      <c r="F375" s="191">
        <v>45523</v>
      </c>
      <c r="G375" s="191">
        <v>45527</v>
      </c>
      <c r="H375" s="172">
        <v>0.33333333333333331</v>
      </c>
      <c r="I375" s="172"/>
      <c r="J375" s="169"/>
      <c r="K375" s="169"/>
      <c r="L375" s="169"/>
      <c r="M375" s="169"/>
      <c r="N375" s="169"/>
      <c r="O375" s="166" t="s">
        <v>94</v>
      </c>
      <c r="P375" s="166"/>
      <c r="Q375" s="171" t="e">
        <v>#REF!</v>
      </c>
      <c r="R375" s="171" t="e">
        <v>#REF!</v>
      </c>
      <c r="S375" s="171"/>
      <c r="V375" s="26">
        <f>VLOOKUP(Table2[[#This Row],[Course]],Data!$A$1:$E$56,4,FALSE)</f>
        <v>25</v>
      </c>
      <c r="W375" s="26">
        <f>VLOOKUP(Table2[[#This Row],[Course]],Data!$A$1:$E$56,5,FALSE)</f>
        <v>5</v>
      </c>
      <c r="X375" s="26">
        <v>388</v>
      </c>
      <c r="Y375" s="26">
        <v>25</v>
      </c>
      <c r="Z375" s="26">
        <v>2</v>
      </c>
      <c r="AA375" s="26"/>
      <c r="AB375" s="170"/>
      <c r="AC375" s="26"/>
      <c r="AD375" s="26"/>
      <c r="AE375" s="167"/>
      <c r="AF375" s="167"/>
      <c r="AG375" s="190">
        <f ca="1">Table2[[#This Row],[End Date]]+2-TODAY()</f>
        <v>-3</v>
      </c>
      <c r="AH375" s="26">
        <f>IF(ISBLANK(Table2[[#This Row],[Roster Received By]]),1,0)</f>
        <v>1</v>
      </c>
      <c r="AI375" s="167">
        <f ca="1">IF(Table2[[#This Row],[Start Date]]&gt;TODAY(),1,)</f>
        <v>0</v>
      </c>
    </row>
    <row r="376" spans="1:35" s="146" customFormat="1" x14ac:dyDescent="0.25">
      <c r="B376" s="228" t="s">
        <v>18</v>
      </c>
      <c r="C376" s="147" t="str">
        <f>VLOOKUP(Table2[[#This Row],[Course]],Data!$A$1:$E$56,2,FALSE)</f>
        <v>A-493-0013</v>
      </c>
      <c r="D376" s="147">
        <f>VLOOKUP(Table2[[#This Row],[Course]],Data!$A$1:$E$56,3,FALSE)</f>
        <v>3683</v>
      </c>
      <c r="E376" s="234" t="s">
        <v>139</v>
      </c>
      <c r="F376" s="222">
        <v>45523</v>
      </c>
      <c r="G376" s="222">
        <v>45525</v>
      </c>
      <c r="H376" s="151">
        <v>0.33333333333333331</v>
      </c>
      <c r="I376" s="151"/>
      <c r="J376" s="149"/>
      <c r="K376" s="149"/>
      <c r="L376" s="149"/>
      <c r="M376" s="149"/>
      <c r="N376" s="149"/>
      <c r="O376" s="100" t="s">
        <v>78</v>
      </c>
      <c r="P376" s="100"/>
      <c r="Q376" s="170" t="e">
        <v>#REF!</v>
      </c>
      <c r="R376" s="171" t="e">
        <v>#REF!</v>
      </c>
      <c r="S376" s="170"/>
      <c r="T376" s="101"/>
      <c r="U376" s="101"/>
      <c r="V376" s="154">
        <f>VLOOKUP(Table2[[#This Row],[Course]],Data!$A$1:$E$56,4,FALSE)</f>
        <v>40</v>
      </c>
      <c r="W376" s="154">
        <v>3</v>
      </c>
      <c r="X376" s="154">
        <v>5</v>
      </c>
      <c r="Y376" s="154">
        <v>6</v>
      </c>
      <c r="Z376" s="154">
        <v>0</v>
      </c>
      <c r="AA376" s="154">
        <v>6</v>
      </c>
      <c r="AB376" s="155">
        <v>0</v>
      </c>
      <c r="AC376" s="154">
        <v>0</v>
      </c>
      <c r="AD376" s="154">
        <v>0</v>
      </c>
      <c r="AE376" s="147">
        <v>0</v>
      </c>
      <c r="AF376" s="147" t="s">
        <v>191</v>
      </c>
      <c r="AG376" s="226">
        <f ca="1">Table2[[#This Row],[End Date]]+2-TODAY()</f>
        <v>-5</v>
      </c>
      <c r="AH376" s="154">
        <f>IF(ISBLANK(Table2[[#This Row],[Roster Received By]]),1,0)</f>
        <v>0</v>
      </c>
      <c r="AI376" s="147">
        <f ca="1">IF(Table2[[#This Row],[Start Date]]&gt;TODAY(),1,)</f>
        <v>0</v>
      </c>
    </row>
    <row r="377" spans="1:35" s="101" customFormat="1" x14ac:dyDescent="0.25">
      <c r="B377" s="196" t="s">
        <v>249</v>
      </c>
      <c r="C377" s="167" t="str">
        <f>VLOOKUP(Table2[[#This Row],[Course]],Data!$A$1:$E$56,2,FALSE)</f>
        <v>A-322-2604</v>
      </c>
      <c r="D377" s="167" t="str">
        <f>VLOOKUP(Table2[[#This Row],[Course]],Data!$A$1:$E$56,3,FALSE)</f>
        <v>10ZZ</v>
      </c>
      <c r="E377" s="196" t="s">
        <v>116</v>
      </c>
      <c r="F377" s="191">
        <v>45523</v>
      </c>
      <c r="G377" s="191">
        <v>45527</v>
      </c>
      <c r="H377" s="169"/>
      <c r="I377" s="168">
        <v>0.54166666666666663</v>
      </c>
      <c r="J377" s="168">
        <v>0.41666666666666669</v>
      </c>
      <c r="K377" s="168">
        <v>0.83333333333333337</v>
      </c>
      <c r="L377" s="168">
        <v>0.75</v>
      </c>
      <c r="M377" s="168">
        <v>0.29166666666666669</v>
      </c>
      <c r="N377" s="168">
        <v>8.3333333333333329E-2</v>
      </c>
      <c r="O377" s="166" t="s">
        <v>269</v>
      </c>
      <c r="P377" s="166"/>
      <c r="Q377" s="170" t="e">
        <v>#REF!</v>
      </c>
      <c r="R377" s="171" t="e">
        <v>#REF!</v>
      </c>
      <c r="S377" s="170"/>
      <c r="V377" s="26">
        <f>VLOOKUP(Table2[[#This Row],[Course]],Data!$A$1:$E$56,4,FALSE)</f>
        <v>45</v>
      </c>
      <c r="W377" s="26">
        <f>VLOOKUP(Table2[[#This Row],[Course]],Data!$A$1:$E$56,5,FALSE)</f>
        <v>5</v>
      </c>
      <c r="X377" s="154">
        <v>653</v>
      </c>
      <c r="Y377" s="26">
        <v>41</v>
      </c>
      <c r="Z377" s="26">
        <v>0</v>
      </c>
      <c r="AA377" s="26"/>
      <c r="AB377" s="170"/>
      <c r="AC377" s="26"/>
      <c r="AD377" s="26"/>
      <c r="AE377" s="167"/>
      <c r="AF377" s="167"/>
      <c r="AG377" s="190">
        <f ca="1">Table2[[#This Row],[End Date]]+2-TODAY()</f>
        <v>-3</v>
      </c>
      <c r="AH377" s="26">
        <f>IF(ISBLANK(Table2[[#This Row],[Roster Received By]]),1,0)</f>
        <v>1</v>
      </c>
      <c r="AI377" s="167">
        <f ca="1">IF(Table2[[#This Row],[Start Date]]&gt;TODAY(),1,)</f>
        <v>0</v>
      </c>
    </row>
    <row r="378" spans="1:35" s="101" customFormat="1" x14ac:dyDescent="0.25">
      <c r="B378" s="196" t="s">
        <v>317</v>
      </c>
      <c r="C378" s="167" t="str">
        <f>VLOOKUP(Table2[[#This Row],[Course]],Data!$A$1:$E$56,2,FALSE)</f>
        <v>A-493-2098</v>
      </c>
      <c r="D378" s="167" t="str">
        <f>VLOOKUP(Table2[[#This Row],[Course]],Data!$A$1:$E$56,3,FALSE)</f>
        <v>09WW</v>
      </c>
      <c r="E378" s="166" t="s">
        <v>116</v>
      </c>
      <c r="F378" s="169">
        <v>45523</v>
      </c>
      <c r="G378" s="169">
        <v>45527</v>
      </c>
      <c r="H378" s="169"/>
      <c r="I378" s="168">
        <v>0.54166666666666663</v>
      </c>
      <c r="J378" s="168">
        <v>0.41666666666666669</v>
      </c>
      <c r="K378" s="168">
        <v>0.83333333333333337</v>
      </c>
      <c r="L378" s="168">
        <v>0.75</v>
      </c>
      <c r="M378" s="168">
        <v>0.29166666666666669</v>
      </c>
      <c r="N378" s="168">
        <v>8.3333333333333329E-2</v>
      </c>
      <c r="O378" s="166" t="s">
        <v>266</v>
      </c>
      <c r="P378" s="166"/>
      <c r="Q378" s="170" t="e">
        <v>#REF!</v>
      </c>
      <c r="R378" s="171" t="e">
        <v>#REF!</v>
      </c>
      <c r="S378" s="170"/>
      <c r="V378" s="26">
        <f>VLOOKUP(Table2[[#This Row],[Course]],Data!$A$1:$E$56,4,FALSE)</f>
        <v>100</v>
      </c>
      <c r="W378" s="26">
        <f>VLOOKUP(Table2[[#This Row],[Course]],Data!$A$1:$E$56,5,FALSE)</f>
        <v>5</v>
      </c>
      <c r="X378" s="26">
        <v>1257</v>
      </c>
      <c r="Y378" s="26"/>
      <c r="Z378" s="26"/>
      <c r="AA378" s="26"/>
      <c r="AB378" s="170"/>
      <c r="AC378" s="26"/>
      <c r="AD378" s="26"/>
      <c r="AE378" s="167"/>
      <c r="AF378" s="167"/>
      <c r="AG378" s="190">
        <f ca="1">Table2[[#This Row],[End Date]]+2-TODAY()</f>
        <v>-3</v>
      </c>
      <c r="AH378" s="26">
        <f>IF(ISBLANK(Table2[[#This Row],[Roster Received By]]),1,0)</f>
        <v>1</v>
      </c>
      <c r="AI378" s="167">
        <f ca="1">IF(Table2[[#This Row],[Start Date]]&gt;TODAY(),1,)</f>
        <v>0</v>
      </c>
    </row>
    <row r="379" spans="1:35" s="101" customFormat="1" x14ac:dyDescent="0.25">
      <c r="B379" s="289" t="s">
        <v>327</v>
      </c>
      <c r="C379" s="167" t="str">
        <f>VLOOKUP(Table2[[#This Row],[Course]],Data!$A$1:$E$56,2,FALSE)</f>
        <v>F-4J-0023</v>
      </c>
      <c r="D379" s="167" t="str">
        <f>VLOOKUP(Table2[[#This Row],[Course]],Data!$A$1:$E$56,3,FALSE)</f>
        <v>11A2</v>
      </c>
      <c r="E379" s="263" t="s">
        <v>116</v>
      </c>
      <c r="F379" s="169">
        <v>45523</v>
      </c>
      <c r="G379" s="169">
        <v>45527</v>
      </c>
      <c r="H379" s="169"/>
      <c r="I379" s="168">
        <v>0.54166666666666663</v>
      </c>
      <c r="J379" s="168">
        <v>0.41666666666666669</v>
      </c>
      <c r="K379" s="168">
        <v>0.83333333333333337</v>
      </c>
      <c r="L379" s="168">
        <v>0.75</v>
      </c>
      <c r="M379" s="168">
        <v>0.29166666666666669</v>
      </c>
      <c r="N379" s="168">
        <v>8.3333333333333329E-2</v>
      </c>
      <c r="O379" s="166" t="s">
        <v>227</v>
      </c>
      <c r="P379" s="166" t="s">
        <v>223</v>
      </c>
      <c r="Q379" s="170" t="e">
        <v>#REF!</v>
      </c>
      <c r="R379" s="171" t="e">
        <v>#REF!</v>
      </c>
      <c r="S379" s="170"/>
      <c r="V379" s="26">
        <f>VLOOKUP(Table2[[#This Row],[Course]],Data!$A$1:$E$56,4,FALSE)</f>
        <v>25</v>
      </c>
      <c r="W379" s="26">
        <f>VLOOKUP(Table2[[#This Row],[Course]],Data!$A$1:$E$56,5,FALSE)</f>
        <v>2</v>
      </c>
      <c r="X379" s="26">
        <v>45</v>
      </c>
      <c r="Y379" s="26"/>
      <c r="Z379" s="26"/>
      <c r="AA379" s="26"/>
      <c r="AB379" s="170"/>
      <c r="AC379" s="26"/>
      <c r="AD379" s="26"/>
      <c r="AE379" s="167"/>
      <c r="AF379" s="167"/>
      <c r="AG379" s="190">
        <f ca="1">Table2[[#This Row],[End Date]]+2-TODAY()</f>
        <v>-3</v>
      </c>
      <c r="AH379" s="26">
        <f>IF(ISBLANK(Table2[[#This Row],[Roster Received By]]),1,0)</f>
        <v>1</v>
      </c>
      <c r="AI379" s="167">
        <f ca="1">IF(Table2[[#This Row],[Start Date]]&gt;TODAY(),1,)</f>
        <v>0</v>
      </c>
    </row>
    <row r="380" spans="1:35" s="101" customFormat="1" x14ac:dyDescent="0.25">
      <c r="A380" s="174" t="s">
        <v>523</v>
      </c>
      <c r="B380" s="198" t="s">
        <v>40</v>
      </c>
      <c r="C380" s="176" t="str">
        <f>VLOOKUP(Table2[[#This Row],[Course]],Data!$A$1:$E$56,2,FALSE)</f>
        <v>A-493-2017</v>
      </c>
      <c r="D380" s="176" t="str">
        <f>VLOOKUP(Table2[[#This Row],[Course]],Data!$A$1:$E$56,3,FALSE)</f>
        <v>12x3</v>
      </c>
      <c r="E380" s="227" t="s">
        <v>140</v>
      </c>
      <c r="F380" s="177">
        <v>45523</v>
      </c>
      <c r="G380" s="177">
        <v>45527</v>
      </c>
      <c r="H380" s="172">
        <v>0.33333333333333331</v>
      </c>
      <c r="I380" s="178"/>
      <c r="J380" s="177"/>
      <c r="K380" s="177"/>
      <c r="L380" s="177"/>
      <c r="M380" s="177"/>
      <c r="N380" s="177"/>
      <c r="O380" s="175" t="s">
        <v>78</v>
      </c>
      <c r="P380" s="175"/>
      <c r="Q380" s="179"/>
      <c r="R380" s="180"/>
      <c r="S380" s="179"/>
      <c r="T380" s="174"/>
      <c r="U380" s="174"/>
      <c r="V380" s="179">
        <v>25</v>
      </c>
      <c r="W380" s="180">
        <v>2</v>
      </c>
      <c r="X380" s="180">
        <v>10</v>
      </c>
      <c r="Y380" s="180"/>
      <c r="Z380" s="180"/>
      <c r="AA380" s="179"/>
      <c r="AB380" s="179"/>
      <c r="AC380" s="181"/>
      <c r="AD380" s="181"/>
      <c r="AE380" s="176"/>
      <c r="AF380" s="176"/>
      <c r="AG380" s="192">
        <f ca="1">Table2[[#This Row],[End Date]]+2-TODAY()</f>
        <v>-3</v>
      </c>
      <c r="AH380" s="181">
        <f>IF(ISBLANK(Table2[[#This Row],[Roster Received By]]),1,0)</f>
        <v>1</v>
      </c>
      <c r="AI380" s="176">
        <f ca="1">IF(Table2[[#This Row],[Start Date]]&gt;TODAY(),1,)</f>
        <v>0</v>
      </c>
    </row>
    <row r="381" spans="1:35" s="101" customFormat="1" x14ac:dyDescent="0.25">
      <c r="B381" s="107" t="s">
        <v>23</v>
      </c>
      <c r="C381" s="167" t="str">
        <f>VLOOKUP(Table2[[#This Row],[Course]],Data!$A$1:$E$56,2,FALSE)</f>
        <v>A-493-0077</v>
      </c>
      <c r="D381" s="167" t="str">
        <f>VLOOKUP(Table2[[#This Row],[Course]],Data!$A$1:$E$56,3,FALSE)</f>
        <v>0381</v>
      </c>
      <c r="E381" s="109" t="s">
        <v>254</v>
      </c>
      <c r="F381" s="283">
        <v>45524</v>
      </c>
      <c r="G381" s="283">
        <v>45526</v>
      </c>
      <c r="H381" s="168">
        <v>0.33333333333333331</v>
      </c>
      <c r="I381" s="168"/>
      <c r="J381" s="169"/>
      <c r="K381" s="169"/>
      <c r="L381" s="169"/>
      <c r="M381" s="169"/>
      <c r="N381" s="169"/>
      <c r="O381" s="166" t="s">
        <v>78</v>
      </c>
      <c r="P381" s="166"/>
      <c r="Q381" s="170" t="e">
        <v>#REF!</v>
      </c>
      <c r="R381" s="171" t="e">
        <v>#REF!</v>
      </c>
      <c r="S381" s="170"/>
      <c r="V381" s="26">
        <f>VLOOKUP(Table2[[#This Row],[Course]],Data!$A$1:$E$56,4,FALSE)</f>
        <v>25</v>
      </c>
      <c r="W381" s="26">
        <f>VLOOKUP(Table2[[#This Row],[Course]],Data!$A$1:$E$56,5,FALSE)</f>
        <v>3</v>
      </c>
      <c r="X381" s="26">
        <v>15</v>
      </c>
      <c r="Y381" s="26">
        <v>10</v>
      </c>
      <c r="Z381" s="26">
        <v>0</v>
      </c>
      <c r="AA381" s="26"/>
      <c r="AB381" s="170"/>
      <c r="AC381" s="26"/>
      <c r="AD381" s="26"/>
      <c r="AE381" s="167"/>
      <c r="AF381" s="167"/>
      <c r="AG381" s="190">
        <f ca="1">Table2[[#This Row],[End Date]]+2-TODAY()</f>
        <v>-4</v>
      </c>
      <c r="AH381" s="26">
        <f>IF(ISBLANK(Table2[[#This Row],[Roster Received By]]),1,0)</f>
        <v>1</v>
      </c>
      <c r="AI381" s="167">
        <f ca="1">IF(Table2[[#This Row],[Start Date]]&gt;TODAY(),1,)</f>
        <v>0</v>
      </c>
    </row>
    <row r="382" spans="1:35" s="101" customFormat="1" x14ac:dyDescent="0.25">
      <c r="A382" s="166"/>
      <c r="B382" s="196" t="s">
        <v>270</v>
      </c>
      <c r="C382" s="167" t="str">
        <f>VLOOKUP(Table2[[#This Row],[Course]],Data!$A$1:$E$56,2,FALSE)</f>
        <v>A-493-0331</v>
      </c>
      <c r="D382" s="167" t="str">
        <f>VLOOKUP(Table2[[#This Row],[Course]],Data!$A$1:$E$56,3,FALSE)</f>
        <v>10UG</v>
      </c>
      <c r="E382" s="263" t="s">
        <v>116</v>
      </c>
      <c r="F382" s="169">
        <v>45524</v>
      </c>
      <c r="G382" s="169">
        <v>45526</v>
      </c>
      <c r="H382" s="169"/>
      <c r="I382" s="168">
        <v>0.5</v>
      </c>
      <c r="J382" s="168">
        <v>0.375</v>
      </c>
      <c r="K382" s="168">
        <v>0.79166666666666663</v>
      </c>
      <c r="L382" s="168">
        <v>0.70833333333333337</v>
      </c>
      <c r="M382" s="168">
        <v>0.25</v>
      </c>
      <c r="N382" s="168">
        <v>4.1666666666666664E-2</v>
      </c>
      <c r="O382" s="166" t="s">
        <v>84</v>
      </c>
      <c r="P382" s="166" t="s">
        <v>223</v>
      </c>
      <c r="Q382" s="171" t="e">
        <v>#REF!</v>
      </c>
      <c r="R382" s="171" t="e">
        <v>#REF!</v>
      </c>
      <c r="S382" s="173"/>
      <c r="V382" s="26">
        <f>VLOOKUP(Table2[[#This Row],[Course]],Data!$A$1:$E$56,4,FALSE)</f>
        <v>40</v>
      </c>
      <c r="W382" s="26">
        <f>VLOOKUP(Table2[[#This Row],[Course]],Data!$A$1:$E$56,5,FALSE)</f>
        <v>3</v>
      </c>
      <c r="X382" s="154">
        <v>709</v>
      </c>
      <c r="Y382" s="26">
        <v>40</v>
      </c>
      <c r="Z382" s="26">
        <v>3</v>
      </c>
      <c r="AA382" s="26"/>
      <c r="AB382" s="170"/>
      <c r="AC382" s="26"/>
      <c r="AD382" s="26"/>
      <c r="AE382" s="167"/>
      <c r="AF382" s="167"/>
      <c r="AG382" s="190">
        <f ca="1">Table2[[#This Row],[End Date]]+2-TODAY()</f>
        <v>-4</v>
      </c>
      <c r="AH382" s="26">
        <f>IF(ISBLANK(Table2[[#This Row],[Roster Received By]]),1,0)</f>
        <v>1</v>
      </c>
      <c r="AI382" s="167">
        <f ca="1">IF(Table2[[#This Row],[Start Date]]&gt;TODAY(),1,)</f>
        <v>0</v>
      </c>
    </row>
    <row r="383" spans="1:35" s="101" customFormat="1" x14ac:dyDescent="0.25">
      <c r="B383" s="196" t="s">
        <v>7</v>
      </c>
      <c r="C383" s="167" t="str">
        <f>VLOOKUP(Table2[[#This Row],[Course]],Data!$A$1:$E$56,2,FALSE)</f>
        <v>A-493-0015</v>
      </c>
      <c r="D383" s="167">
        <f>VLOOKUP(Table2[[#This Row],[Course]],Data!$A$1:$E$56,3,FALSE)</f>
        <v>3879</v>
      </c>
      <c r="E383" s="109" t="s">
        <v>116</v>
      </c>
      <c r="F383" s="283">
        <v>45525</v>
      </c>
      <c r="G383" s="283">
        <v>45525</v>
      </c>
      <c r="H383" s="108"/>
      <c r="I383" s="168">
        <v>0.25</v>
      </c>
      <c r="J383" s="168">
        <v>0.125</v>
      </c>
      <c r="K383" s="168">
        <v>0.54166666666666663</v>
      </c>
      <c r="L383" s="168">
        <v>0.45833333333333331</v>
      </c>
      <c r="M383" s="168">
        <v>0</v>
      </c>
      <c r="N383" s="168">
        <v>0.79166666666666663</v>
      </c>
      <c r="O383" s="166" t="s">
        <v>81</v>
      </c>
      <c r="P383" s="166"/>
      <c r="Q383" s="170" t="e">
        <v>#REF!</v>
      </c>
      <c r="R383" s="170" t="e">
        <v>#REF!</v>
      </c>
      <c r="S383" s="173"/>
      <c r="V383" s="26">
        <f>VLOOKUP(Table2[[#This Row],[Course]],Data!$A$1:$E$56,4,FALSE)</f>
        <v>30</v>
      </c>
      <c r="W383" s="26">
        <f>VLOOKUP(Table2[[#This Row],[Course]],Data!$A$1:$E$56,5,FALSE)</f>
        <v>1</v>
      </c>
      <c r="X383" s="26">
        <v>0</v>
      </c>
      <c r="Y383" s="26"/>
      <c r="Z383" s="26"/>
      <c r="AA383" s="26"/>
      <c r="AB383" s="170"/>
      <c r="AC383" s="26"/>
      <c r="AD383" s="26"/>
      <c r="AE383" s="167"/>
      <c r="AF383" s="167"/>
      <c r="AG383" s="190">
        <f ca="1">Table2[[#This Row],[End Date]]+2-TODAY()</f>
        <v>-5</v>
      </c>
      <c r="AH383" s="26">
        <f>IF(ISBLANK(Table2[[#This Row],[Roster Received By]]),1,0)</f>
        <v>1</v>
      </c>
      <c r="AI383" s="167">
        <f ca="1">IF(Table2[[#This Row],[Start Date]]&gt;TODAY(),1,)</f>
        <v>0</v>
      </c>
    </row>
    <row r="384" spans="1:35" s="101" customFormat="1" x14ac:dyDescent="0.25">
      <c r="B384" s="196" t="s">
        <v>9</v>
      </c>
      <c r="C384" s="167" t="str">
        <f>VLOOKUP(Table2[[#This Row],[Course]],Data!$A$1:$E$56,2,FALSE)</f>
        <v>A-493-0020</v>
      </c>
      <c r="D384" s="167">
        <f>VLOOKUP(Table2[[#This Row],[Course]],Data!$A$1:$E$56,3,FALSE)</f>
        <v>3888</v>
      </c>
      <c r="E384" s="280" t="s">
        <v>116</v>
      </c>
      <c r="F384" s="283">
        <v>45526</v>
      </c>
      <c r="G384" s="283">
        <v>45526</v>
      </c>
      <c r="H384" s="108"/>
      <c r="I384" s="168">
        <v>0.25</v>
      </c>
      <c r="J384" s="168">
        <v>0.125</v>
      </c>
      <c r="K384" s="168">
        <v>0.54166666666666663</v>
      </c>
      <c r="L384" s="168">
        <v>0.45833333333333331</v>
      </c>
      <c r="M384" s="168">
        <v>0</v>
      </c>
      <c r="N384" s="168">
        <v>0.79166666666666663</v>
      </c>
      <c r="O384" s="166" t="s">
        <v>81</v>
      </c>
      <c r="P384" s="166"/>
      <c r="Q384" s="171" t="e">
        <v>#REF!</v>
      </c>
      <c r="R384" s="171" t="e">
        <v>#REF!</v>
      </c>
      <c r="S384" s="173"/>
      <c r="V384" s="26">
        <f>VLOOKUP(Table2[[#This Row],[Course]],Data!$A$1:$E$56,4,FALSE)</f>
        <v>30</v>
      </c>
      <c r="W384" s="26">
        <f>VLOOKUP(Table2[[#This Row],[Course]],Data!$A$1:$E$56,5,FALSE)</f>
        <v>1</v>
      </c>
      <c r="X384" s="26">
        <v>0</v>
      </c>
      <c r="Y384" s="26"/>
      <c r="Z384" s="26"/>
      <c r="AA384" s="26"/>
      <c r="AB384" s="170"/>
      <c r="AC384" s="26"/>
      <c r="AD384" s="26"/>
      <c r="AE384" s="167"/>
      <c r="AF384" s="167"/>
      <c r="AG384" s="190">
        <f ca="1">Table2[[#This Row],[End Date]]+2-TODAY()</f>
        <v>-4</v>
      </c>
      <c r="AH384" s="26">
        <f>IF(ISBLANK(Table2[[#This Row],[Roster Received By]]),1,0)</f>
        <v>1</v>
      </c>
      <c r="AI384" s="167">
        <f ca="1">IF(Table2[[#This Row],[Start Date]]&gt;TODAY(),1,)</f>
        <v>0</v>
      </c>
    </row>
    <row r="385" spans="1:35" s="101" customFormat="1" x14ac:dyDescent="0.25">
      <c r="A385" s="174" t="s">
        <v>524</v>
      </c>
      <c r="B385" s="198" t="s">
        <v>336</v>
      </c>
      <c r="C385" s="176" t="str">
        <f>VLOOKUP(Table2[[#This Row],[Course]],Data!$A$1:$E$56,2,FALSE)</f>
        <v>NA</v>
      </c>
      <c r="D385" s="176" t="str">
        <f>VLOOKUP(Table2[[#This Row],[Course]],Data!$A$1:$E$56,3,FALSE)</f>
        <v>NA</v>
      </c>
      <c r="E385" s="279" t="s">
        <v>140</v>
      </c>
      <c r="F385" s="282">
        <v>45526</v>
      </c>
      <c r="G385" s="282">
        <v>45526</v>
      </c>
      <c r="H385" s="178"/>
      <c r="I385" s="178"/>
      <c r="J385" s="177"/>
      <c r="K385" s="177"/>
      <c r="L385" s="177"/>
      <c r="M385" s="177"/>
      <c r="N385" s="177"/>
      <c r="O385" s="175"/>
      <c r="P385" s="175"/>
      <c r="Q385" s="179"/>
      <c r="R385" s="180"/>
      <c r="S385" s="179"/>
      <c r="T385" s="174"/>
      <c r="U385" s="174"/>
      <c r="V385" s="179"/>
      <c r="W385" s="180"/>
      <c r="X385" s="180">
        <v>0</v>
      </c>
      <c r="Y385" s="180">
        <v>0</v>
      </c>
      <c r="Z385" s="180">
        <v>0</v>
      </c>
      <c r="AA385" s="179"/>
      <c r="AB385" s="179"/>
      <c r="AC385" s="181"/>
      <c r="AD385" s="181"/>
      <c r="AE385" s="176"/>
      <c r="AF385" s="176"/>
      <c r="AG385" s="192">
        <f ca="1">Table2[[#This Row],[End Date]]+2-TODAY()</f>
        <v>-4</v>
      </c>
      <c r="AH385" s="181">
        <f>IF(ISBLANK(Table2[[#This Row],[Roster Received By]]),1,0)</f>
        <v>1</v>
      </c>
      <c r="AI385" s="176">
        <f ca="1">IF(Table2[[#This Row],[Start Date]]&gt;TODAY(),1,)</f>
        <v>0</v>
      </c>
    </row>
    <row r="386" spans="1:35" s="146" customFormat="1" x14ac:dyDescent="0.25">
      <c r="B386" s="228" t="s">
        <v>24</v>
      </c>
      <c r="C386" s="147" t="str">
        <f>VLOOKUP(Table2[[#This Row],[Course]],Data!$A$1:$E$56,2,FALSE)</f>
        <v>A-493-0083</v>
      </c>
      <c r="D386" s="147" t="str">
        <f>VLOOKUP(Table2[[#This Row],[Course]],Data!$A$1:$E$56,3,FALSE)</f>
        <v>339E</v>
      </c>
      <c r="E386" s="234" t="s">
        <v>254</v>
      </c>
      <c r="F386" s="148">
        <v>45527</v>
      </c>
      <c r="G386" s="148">
        <v>45527</v>
      </c>
      <c r="H386" s="150">
        <v>0.33333333333333331</v>
      </c>
      <c r="I386" s="150"/>
      <c r="J386" s="149"/>
      <c r="K386" s="149"/>
      <c r="L386" s="149"/>
      <c r="M386" s="149"/>
      <c r="N386" s="149"/>
      <c r="O386" s="100" t="s">
        <v>78</v>
      </c>
      <c r="P386" s="100"/>
      <c r="Q386" s="170" t="e">
        <v>#REF!</v>
      </c>
      <c r="R386" s="171" t="e">
        <v>#REF!</v>
      </c>
      <c r="S386" s="170"/>
      <c r="T386" s="101"/>
      <c r="U386" s="101"/>
      <c r="V386" s="154">
        <f>VLOOKUP(Table2[[#This Row],[Course]],Data!$A$1:$E$56,4,FALSE)</f>
        <v>30</v>
      </c>
      <c r="W386" s="154">
        <f>VLOOKUP(Table2[[#This Row],[Course]],Data!$A$1:$E$56,5,FALSE)</f>
        <v>1</v>
      </c>
      <c r="X386" s="154">
        <v>15</v>
      </c>
      <c r="Y386" s="154">
        <v>18</v>
      </c>
      <c r="Z386" s="154">
        <v>0</v>
      </c>
      <c r="AA386" s="154">
        <v>14</v>
      </c>
      <c r="AB386" s="155">
        <v>0</v>
      </c>
      <c r="AC386" s="154">
        <v>5</v>
      </c>
      <c r="AD386" s="154">
        <v>1</v>
      </c>
      <c r="AE386" s="147">
        <v>9</v>
      </c>
      <c r="AF386" s="390" t="s">
        <v>191</v>
      </c>
      <c r="AG386" s="226">
        <f ca="1">Table2[[#This Row],[End Date]]+2-TODAY()</f>
        <v>-3</v>
      </c>
      <c r="AH386" s="154">
        <f>IF(ISBLANK(Table2[[#This Row],[Roster Received By]]),1,0)</f>
        <v>0</v>
      </c>
      <c r="AI386" s="147">
        <f ca="1">IF(Table2[[#This Row],[Start Date]]&gt;TODAY(),1,)</f>
        <v>0</v>
      </c>
    </row>
    <row r="387" spans="1:35" s="101" customFormat="1" x14ac:dyDescent="0.25">
      <c r="B387" s="196" t="s">
        <v>184</v>
      </c>
      <c r="C387" s="167" t="str">
        <f>VLOOKUP(Table2[[#This Row],[Course]],Data!$A$1:$E$56,2,FALSE)</f>
        <v>A-4J-0022</v>
      </c>
      <c r="D387" s="167" t="str">
        <f>VLOOKUP(Table2[[#This Row],[Course]],Data!$A$1:$E$56,3,FALSE)</f>
        <v>09ER</v>
      </c>
      <c r="E387" s="263" t="s">
        <v>116</v>
      </c>
      <c r="F387" s="108">
        <v>45530</v>
      </c>
      <c r="G387" s="169">
        <v>45534</v>
      </c>
      <c r="H387" s="169"/>
      <c r="I387" s="168">
        <v>0.54166666666666663</v>
      </c>
      <c r="J387" s="168">
        <v>0.41666666666666669</v>
      </c>
      <c r="K387" s="168">
        <v>0.83333333333333337</v>
      </c>
      <c r="L387" s="168">
        <v>0.75</v>
      </c>
      <c r="M387" s="168">
        <v>0.29166666666666669</v>
      </c>
      <c r="N387" s="168">
        <v>8.3333333333333329E-2</v>
      </c>
      <c r="O387" s="101" t="s">
        <v>89</v>
      </c>
      <c r="Q387" s="170" t="e">
        <v>#REF!</v>
      </c>
      <c r="R387" s="171" t="e">
        <v>#REF!</v>
      </c>
      <c r="S387" s="170"/>
      <c r="V387" s="26">
        <f>VLOOKUP(Table2[[#This Row],[Course]],Data!$A$1:$E$56,4,FALSE)</f>
        <v>45</v>
      </c>
      <c r="W387" s="26">
        <f>VLOOKUP(Table2[[#This Row],[Course]],Data!$A$1:$E$56,5,FALSE)</f>
        <v>5</v>
      </c>
      <c r="X387" s="26">
        <v>282</v>
      </c>
      <c r="Y387" s="26">
        <v>15</v>
      </c>
      <c r="Z387" s="26">
        <v>0</v>
      </c>
      <c r="AA387" s="26"/>
      <c r="AB387" s="170"/>
      <c r="AC387" s="26"/>
      <c r="AD387" s="26"/>
      <c r="AE387" s="167"/>
      <c r="AF387" s="167"/>
      <c r="AG387" s="190">
        <f ca="1">Table2[[#This Row],[End Date]]+2-TODAY()</f>
        <v>4</v>
      </c>
      <c r="AH387" s="26">
        <f>IF(ISBLANK(Table2[[#This Row],[Roster Received By]]),1,0)</f>
        <v>1</v>
      </c>
      <c r="AI387" s="167">
        <f ca="1">IF(Table2[[#This Row],[Start Date]]&gt;TODAY(),1,)</f>
        <v>0</v>
      </c>
    </row>
    <row r="388" spans="1:35" s="101" customFormat="1" x14ac:dyDescent="0.25">
      <c r="B388" s="196" t="s">
        <v>214</v>
      </c>
      <c r="C388" s="167" t="str">
        <f>VLOOKUP(Table2[[#This Row],[Course]],Data!$A$1:$E$56,2,FALSE)</f>
        <v>A-493-0665</v>
      </c>
      <c r="D388" s="167" t="str">
        <f>VLOOKUP(Table2[[#This Row],[Course]],Data!$A$1:$E$56,3,FALSE)</f>
        <v>10KW</v>
      </c>
      <c r="E388" s="263" t="s">
        <v>116</v>
      </c>
      <c r="F388" s="169">
        <v>45530</v>
      </c>
      <c r="G388" s="169">
        <v>45534</v>
      </c>
      <c r="H388" s="169"/>
      <c r="I388" s="168">
        <v>0.54166666666666663</v>
      </c>
      <c r="J388" s="168">
        <v>0.41666666666666669</v>
      </c>
      <c r="K388" s="168">
        <v>0.83333333333333337</v>
      </c>
      <c r="L388" s="168">
        <v>0.75</v>
      </c>
      <c r="M388" s="168">
        <v>0.29166666666666669</v>
      </c>
      <c r="N388" s="168">
        <v>8.3333333333333329E-2</v>
      </c>
      <c r="O388" s="166" t="s">
        <v>266</v>
      </c>
      <c r="P388" s="166"/>
      <c r="Q388" s="170" t="e">
        <v>#REF!</v>
      </c>
      <c r="R388" s="171" t="e">
        <v>#REF!</v>
      </c>
      <c r="S388" s="170"/>
      <c r="V388" s="26">
        <f>VLOOKUP(Table2[[#This Row],[Course]],Data!$A$1:$E$56,4,FALSE)</f>
        <v>45</v>
      </c>
      <c r="W388" s="26">
        <f>VLOOKUP(Table2[[#This Row],[Course]],Data!$A$1:$E$56,5,FALSE)</f>
        <v>5</v>
      </c>
      <c r="X388" s="26">
        <v>343</v>
      </c>
      <c r="Y388" s="26">
        <v>28</v>
      </c>
      <c r="Z388" s="26">
        <v>0</v>
      </c>
      <c r="AA388" s="26"/>
      <c r="AB388" s="170"/>
      <c r="AC388" s="26"/>
      <c r="AD388" s="26"/>
      <c r="AE388" s="167"/>
      <c r="AF388" s="167"/>
      <c r="AG388" s="190">
        <f ca="1">Table2[[#This Row],[End Date]]+2-TODAY()</f>
        <v>4</v>
      </c>
      <c r="AH388" s="26">
        <f>IF(ISBLANK(Table2[[#This Row],[Roster Received By]]),1,0)</f>
        <v>1</v>
      </c>
      <c r="AI388" s="167">
        <f ca="1">IF(Table2[[#This Row],[Start Date]]&gt;TODAY(),1,)</f>
        <v>0</v>
      </c>
    </row>
    <row r="389" spans="1:35" s="101" customFormat="1" x14ac:dyDescent="0.25">
      <c r="B389" s="280" t="s">
        <v>23</v>
      </c>
      <c r="C389" s="167" t="str">
        <f>VLOOKUP(Table2[[#This Row],[Course]],Data!$A$1:$E$56,2,FALSE)</f>
        <v>A-493-0077</v>
      </c>
      <c r="D389" s="167" t="str">
        <f>VLOOKUP(Table2[[#This Row],[Course]],Data!$A$1:$E$56,3,FALSE)</f>
        <v>0381</v>
      </c>
      <c r="E389" s="109" t="s">
        <v>147</v>
      </c>
      <c r="F389" s="283">
        <v>45530</v>
      </c>
      <c r="G389" s="283">
        <v>45532</v>
      </c>
      <c r="H389" s="168">
        <v>0.33333333333333331</v>
      </c>
      <c r="I389" s="168"/>
      <c r="J389" s="169"/>
      <c r="K389" s="169"/>
      <c r="L389" s="169"/>
      <c r="M389" s="169"/>
      <c r="N389" s="169"/>
      <c r="O389" s="166" t="s">
        <v>78</v>
      </c>
      <c r="P389" s="166"/>
      <c r="Q389" s="170" t="e">
        <v>#REF!</v>
      </c>
      <c r="R389" s="171" t="e">
        <v>#REF!</v>
      </c>
      <c r="S389" s="170"/>
      <c r="V389" s="26">
        <f>VLOOKUP(Table2[[#This Row],[Course]],Data!$A$1:$E$56,4,FALSE)</f>
        <v>25</v>
      </c>
      <c r="W389" s="26">
        <f>VLOOKUP(Table2[[#This Row],[Course]],Data!$A$1:$E$56,5,FALSE)</f>
        <v>3</v>
      </c>
      <c r="X389" s="26">
        <v>75</v>
      </c>
      <c r="Y389" s="26">
        <v>25</v>
      </c>
      <c r="Z389" s="26">
        <v>5</v>
      </c>
      <c r="AA389" s="26"/>
      <c r="AB389" s="170"/>
      <c r="AC389" s="26"/>
      <c r="AD389" s="26"/>
      <c r="AE389" s="167"/>
      <c r="AF389" s="167"/>
      <c r="AG389" s="190">
        <f ca="1">Table2[[#This Row],[End Date]]+2-TODAY()</f>
        <v>2</v>
      </c>
      <c r="AH389" s="26">
        <f>IF(ISBLANK(Table2[[#This Row],[Roster Received By]]),1,0)</f>
        <v>1</v>
      </c>
      <c r="AI389" s="167">
        <f ca="1">IF(Table2[[#This Row],[Start Date]]&gt;TODAY(),1,)</f>
        <v>0</v>
      </c>
    </row>
    <row r="390" spans="1:35" s="101" customFormat="1" x14ac:dyDescent="0.25">
      <c r="B390" s="278" t="s">
        <v>26</v>
      </c>
      <c r="C390" s="167" t="str">
        <f>VLOOKUP(Table2[[#This Row],[Course]],Data!$A$1:$E$56,2,FALSE)</f>
        <v>A-493-2301</v>
      </c>
      <c r="D390" s="167" t="str">
        <f>VLOOKUP(Table2[[#This Row],[Course]],Data!$A$1:$E$56,3,FALSE)</f>
        <v>05ZD</v>
      </c>
      <c r="E390" s="109" t="s">
        <v>117</v>
      </c>
      <c r="F390" s="281">
        <v>45530</v>
      </c>
      <c r="G390" s="281">
        <v>45530</v>
      </c>
      <c r="H390" s="172">
        <v>0.33333333333333331</v>
      </c>
      <c r="I390" s="172"/>
      <c r="J390" s="169"/>
      <c r="K390" s="169"/>
      <c r="L390" s="169"/>
      <c r="M390" s="169"/>
      <c r="N390" s="169"/>
      <c r="O390" s="166" t="s">
        <v>78</v>
      </c>
      <c r="P390" s="166"/>
      <c r="Q390" s="170" t="e">
        <v>#REF!</v>
      </c>
      <c r="R390" s="171" t="e">
        <v>#REF!</v>
      </c>
      <c r="S390" s="170"/>
      <c r="V390" s="26">
        <f>VLOOKUP(Table2[[#This Row],[Course]],Data!$A$1:$E$56,4,FALSE)</f>
        <v>30</v>
      </c>
      <c r="W390" s="26">
        <f>VLOOKUP(Table2[[#This Row],[Course]],Data!$A$1:$E$56,5,FALSE)</f>
        <v>1</v>
      </c>
      <c r="X390" s="26">
        <v>28</v>
      </c>
      <c r="Y390" s="26">
        <v>13</v>
      </c>
      <c r="Z390" s="26">
        <v>0</v>
      </c>
      <c r="AA390" s="26"/>
      <c r="AB390" s="170"/>
      <c r="AC390" s="26"/>
      <c r="AD390" s="26"/>
      <c r="AE390" s="167"/>
      <c r="AF390" s="167"/>
      <c r="AG390" s="190">
        <f ca="1">Table2[[#This Row],[End Date]]+2-TODAY()</f>
        <v>0</v>
      </c>
      <c r="AH390" s="26">
        <f>IF(ISBLANK(Table2[[#This Row],[Roster Received By]]),1,0)</f>
        <v>1</v>
      </c>
      <c r="AI390" s="167">
        <f ca="1">IF(Table2[[#This Row],[Start Date]]&gt;TODAY(),1,)</f>
        <v>0</v>
      </c>
    </row>
    <row r="391" spans="1:35" s="101" customFormat="1" x14ac:dyDescent="0.25">
      <c r="A391" s="166"/>
      <c r="B391" s="196" t="s">
        <v>274</v>
      </c>
      <c r="C391" s="167" t="str">
        <f>VLOOKUP(Table2[[#This Row],[Course]],Data!$A$1:$E$56,2,FALSE)</f>
        <v>A-493-0335</v>
      </c>
      <c r="D391" s="167" t="str">
        <f>VLOOKUP(Table2[[#This Row],[Course]],Data!$A$1:$E$56,3,FALSE)</f>
        <v>09ND</v>
      </c>
      <c r="E391" s="263" t="s">
        <v>116</v>
      </c>
      <c r="F391" s="281">
        <v>45530</v>
      </c>
      <c r="G391" s="281">
        <v>45533</v>
      </c>
      <c r="H391" s="169"/>
      <c r="I391" s="168">
        <v>0.5</v>
      </c>
      <c r="J391" s="168">
        <v>0.375</v>
      </c>
      <c r="K391" s="168">
        <v>0.79166666666666663</v>
      </c>
      <c r="L391" s="168">
        <v>0.70833333333333337</v>
      </c>
      <c r="M391" s="168">
        <v>0.25</v>
      </c>
      <c r="N391" s="168">
        <v>4.1666666666666664E-2</v>
      </c>
      <c r="O391" s="166" t="s">
        <v>242</v>
      </c>
      <c r="P391" s="166"/>
      <c r="Q391" s="171" t="e">
        <v>#REF!</v>
      </c>
      <c r="R391" s="171" t="e">
        <v>#REF!</v>
      </c>
      <c r="S391" s="173"/>
      <c r="V391" s="26">
        <f>VLOOKUP(Table2[[#This Row],[Course]],Data!$A$1:$E$56,4,FALSE)</f>
        <v>30</v>
      </c>
      <c r="W391" s="26">
        <f>VLOOKUP(Table2[[#This Row],[Course]],Data!$A$1:$E$56,5,FALSE)</f>
        <v>4</v>
      </c>
      <c r="X391" s="26">
        <v>499</v>
      </c>
      <c r="Y391" s="26"/>
      <c r="Z391" s="26"/>
      <c r="AA391" s="26"/>
      <c r="AB391" s="170"/>
      <c r="AC391" s="26"/>
      <c r="AD391" s="26"/>
      <c r="AE391" s="167"/>
      <c r="AF391" s="167"/>
      <c r="AG391" s="190">
        <f ca="1">Table2[[#This Row],[End Date]]+2-TODAY()</f>
        <v>3</v>
      </c>
      <c r="AH391" s="26">
        <f>IF(ISBLANK(Table2[[#This Row],[Roster Received By]]),1,0)</f>
        <v>1</v>
      </c>
      <c r="AI391" s="167">
        <f ca="1">IF(Table2[[#This Row],[Start Date]]&gt;TODAY(),1,)</f>
        <v>0</v>
      </c>
    </row>
    <row r="392" spans="1:35" s="101" customFormat="1" x14ac:dyDescent="0.25">
      <c r="A392" s="301"/>
      <c r="B392" s="320" t="s">
        <v>281</v>
      </c>
      <c r="C392" s="308" t="str">
        <f>VLOOKUP(Table2[[#This Row],[Course]],Data!$A$1:$E$56,2,FALSE)</f>
        <v>A-493-0550</v>
      </c>
      <c r="D392" s="308" t="str">
        <f>VLOOKUP(Table2[[#This Row],[Course]],Data!$A$1:$E$56,3,FALSE)</f>
        <v>09K5</v>
      </c>
      <c r="E392" s="309" t="s">
        <v>116</v>
      </c>
      <c r="F392" s="310">
        <v>45530</v>
      </c>
      <c r="G392" s="310">
        <v>45534</v>
      </c>
      <c r="H392" s="312"/>
      <c r="I392" s="321">
        <v>0.29166666666666669</v>
      </c>
      <c r="J392" s="321">
        <v>0.16666666666666666</v>
      </c>
      <c r="K392" s="321">
        <v>0.58333333333333337</v>
      </c>
      <c r="L392" s="321">
        <v>0.5</v>
      </c>
      <c r="M392" s="321">
        <v>4.1666666666666664E-2</v>
      </c>
      <c r="N392" s="321">
        <v>0.83333333333333337</v>
      </c>
      <c r="O392" s="299" t="s">
        <v>92</v>
      </c>
      <c r="P392" s="299"/>
      <c r="Q392" s="171" t="e">
        <v>#REF!</v>
      </c>
      <c r="R392" s="171" t="e">
        <v>#REF!</v>
      </c>
      <c r="S392" s="173"/>
      <c r="V392" s="296">
        <f>VLOOKUP(Table2[[#This Row],[Course]],Data!$A$1:$E$56,4,FALSE)</f>
        <v>45</v>
      </c>
      <c r="W392" s="296">
        <f>VLOOKUP(Table2[[#This Row],[Course]],Data!$A$1:$E$56,5,FALSE)</f>
        <v>4</v>
      </c>
      <c r="X392" s="296">
        <v>51</v>
      </c>
      <c r="Y392" s="296">
        <v>45</v>
      </c>
      <c r="Z392" s="296">
        <v>5</v>
      </c>
      <c r="AA392" s="296"/>
      <c r="AB392" s="298"/>
      <c r="AC392" s="296"/>
      <c r="AD392" s="296"/>
      <c r="AE392" s="308"/>
      <c r="AF392" s="308"/>
      <c r="AG392" s="318">
        <f ca="1">Table2[[#This Row],[End Date]]+2-TODAY()</f>
        <v>4</v>
      </c>
      <c r="AH392" s="296">
        <f>IF(ISBLANK(Table2[[#This Row],[Roster Received By]]),1,0)</f>
        <v>1</v>
      </c>
      <c r="AI392" s="308">
        <f ca="1">IF(Table2[[#This Row],[Start Date]]&gt;TODAY(),1,)</f>
        <v>0</v>
      </c>
    </row>
    <row r="393" spans="1:35" s="101" customFormat="1" x14ac:dyDescent="0.25">
      <c r="B393" s="196" t="s">
        <v>292</v>
      </c>
      <c r="C393" s="167" t="str">
        <f>VLOOKUP(Table2[[#This Row],[Course]],Data!$A$1:$E$56,2,FALSE)</f>
        <v>A-493-0078</v>
      </c>
      <c r="D393" s="167">
        <f>VLOOKUP(Table2[[#This Row],[Course]],Data!$A$1:$E$56,3,FALSE)</f>
        <v>1228</v>
      </c>
      <c r="E393" s="263" t="s">
        <v>116</v>
      </c>
      <c r="F393" s="169">
        <v>45530</v>
      </c>
      <c r="G393" s="169">
        <v>45534</v>
      </c>
      <c r="H393" s="169"/>
      <c r="I393" s="168">
        <v>0.54166666666666663</v>
      </c>
      <c r="J393" s="168">
        <v>0.41666666666666669</v>
      </c>
      <c r="K393" s="168">
        <v>0.83333333333333337</v>
      </c>
      <c r="L393" s="168">
        <v>0.75</v>
      </c>
      <c r="M393" s="168">
        <v>0.29166666666666669</v>
      </c>
      <c r="N393" s="168">
        <v>8.3333333333333329E-2</v>
      </c>
      <c r="O393" s="166" t="s">
        <v>80</v>
      </c>
      <c r="P393" s="166"/>
      <c r="Q393" s="171" t="e">
        <v>#REF!</v>
      </c>
      <c r="R393" s="171" t="e">
        <v>#REF!</v>
      </c>
      <c r="S393" s="173"/>
      <c r="V393" s="26">
        <f>VLOOKUP(Table2[[#This Row],[Course]],Data!$A$1:$E$56,4,FALSE)</f>
        <v>45</v>
      </c>
      <c r="W393" s="26">
        <f>VLOOKUP(Table2[[#This Row],[Course]],Data!$A$1:$E$56,5,FALSE)</f>
        <v>5</v>
      </c>
      <c r="X393" s="26">
        <v>836</v>
      </c>
      <c r="Y393" s="26">
        <v>32</v>
      </c>
      <c r="Z393" s="26">
        <v>0</v>
      </c>
      <c r="AA393" s="26"/>
      <c r="AB393" s="170"/>
      <c r="AC393" s="26"/>
      <c r="AD393" s="26"/>
      <c r="AE393" s="167"/>
      <c r="AF393" s="167"/>
      <c r="AG393" s="190">
        <f ca="1">Table2[[#This Row],[End Date]]+2-TODAY()</f>
        <v>4</v>
      </c>
      <c r="AH393" s="26">
        <f>IF(ISBLANK(Table2[[#This Row],[Roster Received By]]),1,0)</f>
        <v>1</v>
      </c>
      <c r="AI393" s="167">
        <f ca="1">IF(Table2[[#This Row],[Start Date]]&gt;TODAY(),1,)</f>
        <v>0</v>
      </c>
    </row>
    <row r="394" spans="1:35" s="101" customFormat="1" x14ac:dyDescent="0.25">
      <c r="B394" s="196" t="s">
        <v>38</v>
      </c>
      <c r="C394" s="167" t="str">
        <f>VLOOKUP(Table2[[#This Row],[Course]],Data!$A$1:$E$56,2,FALSE)</f>
        <v>A-493-0072</v>
      </c>
      <c r="D394" s="167" t="str">
        <f>VLOOKUP(Table2[[#This Row],[Course]],Data!$A$1:$E$56,3,FALSE)</f>
        <v>713U</v>
      </c>
      <c r="E394" s="109" t="s">
        <v>140</v>
      </c>
      <c r="F394" s="169">
        <v>45530</v>
      </c>
      <c r="G394" s="169">
        <v>45533</v>
      </c>
      <c r="H394" s="188">
        <v>0.33333333333333331</v>
      </c>
      <c r="I394" s="188"/>
      <c r="J394" s="169"/>
      <c r="K394" s="169"/>
      <c r="L394" s="169"/>
      <c r="M394" s="169"/>
      <c r="N394" s="169"/>
      <c r="O394" s="166" t="s">
        <v>84</v>
      </c>
      <c r="P394" s="166" t="s">
        <v>223</v>
      </c>
      <c r="Q394" s="171" t="e">
        <v>#REF!</v>
      </c>
      <c r="R394" s="171" t="e">
        <v>#REF!</v>
      </c>
      <c r="S394" s="173"/>
      <c r="V394" s="26">
        <f>VLOOKUP(Table2[[#This Row],[Course]],Data!$A$1:$E$56,4,FALSE)</f>
        <v>30</v>
      </c>
      <c r="W394" s="26">
        <f>VLOOKUP(Table2[[#This Row],[Course]],Data!$A$1:$E$56,5,FALSE)</f>
        <v>4</v>
      </c>
      <c r="X394" s="26">
        <v>235</v>
      </c>
      <c r="Y394" s="296"/>
      <c r="Z394" s="296"/>
      <c r="AA394" s="26"/>
      <c r="AB394" s="170"/>
      <c r="AC394" s="26"/>
      <c r="AD394" s="26"/>
      <c r="AE394" s="167"/>
      <c r="AF394" s="167"/>
      <c r="AG394" s="190">
        <f ca="1">Table2[[#This Row],[End Date]]+2-TODAY()</f>
        <v>3</v>
      </c>
      <c r="AH394" s="26">
        <f>IF(ISBLANK(Table2[[#This Row],[Roster Received By]]),1,0)</f>
        <v>1</v>
      </c>
      <c r="AI394" s="167">
        <f ca="1">IF(Table2[[#This Row],[Start Date]]&gt;TODAY(),1,)</f>
        <v>0</v>
      </c>
    </row>
    <row r="395" spans="1:35" s="101" customFormat="1" x14ac:dyDescent="0.25">
      <c r="B395" s="278" t="s">
        <v>19</v>
      </c>
      <c r="C395" s="167" t="str">
        <f>VLOOKUP(Table2[[#This Row],[Course]],Data!$A$1:$E$56,2,FALSE)</f>
        <v>A-493-0099</v>
      </c>
      <c r="D395" s="167" t="str">
        <f>VLOOKUP(Table2[[#This Row],[Course]],Data!$A$1:$E$56,3,FALSE)</f>
        <v>12JW</v>
      </c>
      <c r="E395" s="278" t="s">
        <v>116</v>
      </c>
      <c r="F395" s="281">
        <v>45531</v>
      </c>
      <c r="G395" s="281">
        <v>45533</v>
      </c>
      <c r="H395" s="169"/>
      <c r="I395" s="168">
        <v>0.33333333333333331</v>
      </c>
      <c r="J395" s="168">
        <v>0.20833333333333334</v>
      </c>
      <c r="K395" s="168">
        <v>0.625</v>
      </c>
      <c r="L395" s="168">
        <v>0.54166666666666663</v>
      </c>
      <c r="M395" s="168">
        <v>8.3333333333333329E-2</v>
      </c>
      <c r="N395" s="168">
        <v>0.875</v>
      </c>
      <c r="O395" s="166" t="s">
        <v>88</v>
      </c>
      <c r="P395" s="166"/>
      <c r="Q395" s="171" t="e">
        <v>#REF!</v>
      </c>
      <c r="R395" s="171" t="e">
        <v>#REF!</v>
      </c>
      <c r="S395" s="173"/>
      <c r="V395" s="26">
        <f>VLOOKUP(Table2[[#This Row],[Course]],Data!$A$1:$E$56,4,FALSE)</f>
        <v>45</v>
      </c>
      <c r="W395" s="26">
        <f>VLOOKUP(Table2[[#This Row],[Course]],Data!$A$1:$E$56,5,FALSE)</f>
        <v>3</v>
      </c>
      <c r="X395" s="26">
        <v>431</v>
      </c>
      <c r="Y395" s="296">
        <v>45</v>
      </c>
      <c r="Z395" s="296">
        <v>4</v>
      </c>
      <c r="AA395" s="26"/>
      <c r="AB395" s="170"/>
      <c r="AC395" s="26"/>
      <c r="AD395" s="26"/>
      <c r="AE395" s="167"/>
      <c r="AF395" s="167"/>
      <c r="AG395" s="190">
        <f ca="1">Table2[[#This Row],[End Date]]+2-TODAY()</f>
        <v>3</v>
      </c>
      <c r="AH395" s="26">
        <f>IF(ISBLANK(Table2[[#This Row],[Roster Received By]]),1,0)</f>
        <v>1</v>
      </c>
      <c r="AI395" s="167">
        <f ca="1">IF(Table2[[#This Row],[Start Date]]&gt;TODAY(),1,)</f>
        <v>0</v>
      </c>
    </row>
    <row r="396" spans="1:35" s="101" customFormat="1" x14ac:dyDescent="0.25">
      <c r="A396" s="166"/>
      <c r="B396" s="278" t="s">
        <v>288</v>
      </c>
      <c r="C396" s="167" t="str">
        <f>VLOOKUP(Table2[[#This Row],[Course]],Data!$A$1:$E$56,2,FALSE)</f>
        <v>A-493-0073</v>
      </c>
      <c r="D396" s="167" t="str">
        <f>VLOOKUP(Table2[[#This Row],[Course]],Data!$A$1:$E$56,3,FALSE)</f>
        <v>714S</v>
      </c>
      <c r="E396" s="263" t="s">
        <v>116</v>
      </c>
      <c r="F396" s="281">
        <v>45531</v>
      </c>
      <c r="G396" s="281">
        <v>45534</v>
      </c>
      <c r="H396" s="169"/>
      <c r="I396" s="168">
        <v>0.54166666666666663</v>
      </c>
      <c r="J396" s="168">
        <v>0.41666666666666669</v>
      </c>
      <c r="K396" s="168">
        <v>0.83333333333333337</v>
      </c>
      <c r="L396" s="168">
        <v>0.75</v>
      </c>
      <c r="M396" s="168">
        <v>0.29166666666666669</v>
      </c>
      <c r="N396" s="168">
        <v>8.3333333333333329E-2</v>
      </c>
      <c r="O396" s="166" t="s">
        <v>94</v>
      </c>
      <c r="P396" s="166"/>
      <c r="Q396" s="171" t="e">
        <v>#REF!</v>
      </c>
      <c r="R396" s="171" t="e">
        <v>#REF!</v>
      </c>
      <c r="S396" s="173"/>
      <c r="V396" s="26">
        <f>VLOOKUP(Table2[[#This Row],[Course]],Data!$A$1:$E$56,4,FALSE)</f>
        <v>30</v>
      </c>
      <c r="W396" s="26">
        <f>VLOOKUP(Table2[[#This Row],[Course]],Data!$A$1:$E$56,5,FALSE)</f>
        <v>4</v>
      </c>
      <c r="X396" s="26">
        <v>453</v>
      </c>
      <c r="Y396" s="296">
        <v>19</v>
      </c>
      <c r="Z396" s="296">
        <v>0</v>
      </c>
      <c r="AA396" s="26"/>
      <c r="AB396" s="170"/>
      <c r="AC396" s="26"/>
      <c r="AD396" s="26"/>
      <c r="AE396" s="167"/>
      <c r="AF396" s="167"/>
      <c r="AG396" s="190">
        <f ca="1">Table2[[#This Row],[End Date]]+2-TODAY()</f>
        <v>4</v>
      </c>
      <c r="AH396" s="26">
        <f>IF(ISBLANK(Table2[[#This Row],[Roster Received By]]),1,0)</f>
        <v>1</v>
      </c>
      <c r="AI396" s="167">
        <f ca="1">IF(Table2[[#This Row],[Start Date]]&gt;TODAY(),1,)</f>
        <v>0</v>
      </c>
    </row>
    <row r="397" spans="1:35" s="101" customFormat="1" x14ac:dyDescent="0.25">
      <c r="A397" s="174"/>
      <c r="B397" s="278" t="s">
        <v>35</v>
      </c>
      <c r="C397" s="176" t="str">
        <f>VLOOKUP(Table2[[#This Row],[Course]],Data!$A$1:$E$56,2,FALSE)</f>
        <v>A-493-2501</v>
      </c>
      <c r="D397" s="176" t="str">
        <f>VLOOKUP(Table2[[#This Row],[Course]],Data!$A$1:$E$56,3,FALSE)</f>
        <v>05ZE</v>
      </c>
      <c r="E397" s="227" t="s">
        <v>117</v>
      </c>
      <c r="F397" s="282">
        <v>45531</v>
      </c>
      <c r="G397" s="282">
        <v>45531</v>
      </c>
      <c r="H397" s="172">
        <v>0.33333333333333331</v>
      </c>
      <c r="I397" s="178"/>
      <c r="J397" s="177"/>
      <c r="K397" s="177"/>
      <c r="L397" s="221"/>
      <c r="M397" s="177"/>
      <c r="N397" s="177"/>
      <c r="O397" s="175" t="s">
        <v>78</v>
      </c>
      <c r="P397" s="175"/>
      <c r="Q397" s="179"/>
      <c r="R397" s="180"/>
      <c r="S397" s="179"/>
      <c r="T397" s="174"/>
      <c r="U397" s="174"/>
      <c r="V397" s="179">
        <v>30</v>
      </c>
      <c r="W397" s="180">
        <v>1</v>
      </c>
      <c r="X397" s="180">
        <v>23</v>
      </c>
      <c r="Y397" s="297">
        <v>13</v>
      </c>
      <c r="Z397" s="297">
        <v>0</v>
      </c>
      <c r="AA397" s="179"/>
      <c r="AB397" s="179"/>
      <c r="AC397" s="181"/>
      <c r="AD397" s="181"/>
      <c r="AE397" s="176"/>
      <c r="AF397" s="176"/>
      <c r="AG397" s="192">
        <f ca="1">Table2[[#This Row],[End Date]]+2-TODAY()</f>
        <v>1</v>
      </c>
      <c r="AH397" s="181">
        <f>IF(ISBLANK(Table2[[#This Row],[Roster Received By]]),1,0)</f>
        <v>1</v>
      </c>
      <c r="AI397" s="176">
        <f ca="1">IF(Table2[[#This Row],[Start Date]]&gt;TODAY(),1,)</f>
        <v>0</v>
      </c>
    </row>
    <row r="398" spans="1:35" s="101" customFormat="1" x14ac:dyDescent="0.25">
      <c r="B398" s="278" t="s">
        <v>26</v>
      </c>
      <c r="C398" s="167" t="str">
        <f>VLOOKUP(Table2[[#This Row],[Course]],Data!$A$1:$E$56,2,FALSE)</f>
        <v>A-493-2301</v>
      </c>
      <c r="D398" s="167" t="str">
        <f>VLOOKUP(Table2[[#This Row],[Course]],Data!$A$1:$E$56,3,FALSE)</f>
        <v>05ZD</v>
      </c>
      <c r="E398" s="263" t="s">
        <v>111</v>
      </c>
      <c r="F398" s="281">
        <v>45532</v>
      </c>
      <c r="G398" s="281">
        <v>45532</v>
      </c>
      <c r="H398" s="172">
        <v>0.33333333333333331</v>
      </c>
      <c r="I398" s="172"/>
      <c r="J398" s="169"/>
      <c r="K398" s="169"/>
      <c r="L398" s="169"/>
      <c r="M398" s="169"/>
      <c r="N398" s="169"/>
      <c r="O398" s="166" t="s">
        <v>78</v>
      </c>
      <c r="P398" s="166"/>
      <c r="Q398" s="170" t="e">
        <v>#REF!</v>
      </c>
      <c r="R398" s="171" t="e">
        <v>#REF!</v>
      </c>
      <c r="S398" s="170"/>
      <c r="V398" s="26">
        <f>VLOOKUP(Table2[[#This Row],[Course]],Data!$A$1:$E$56,4,FALSE)</f>
        <v>30</v>
      </c>
      <c r="W398" s="26">
        <f>VLOOKUP(Table2[[#This Row],[Course]],Data!$A$1:$E$56,5,FALSE)</f>
        <v>1</v>
      </c>
      <c r="X398" s="26">
        <v>7</v>
      </c>
      <c r="Y398" s="296">
        <v>6</v>
      </c>
      <c r="Z398" s="296">
        <v>0</v>
      </c>
      <c r="AA398" s="26"/>
      <c r="AB398" s="170"/>
      <c r="AC398" s="26"/>
      <c r="AD398" s="26"/>
      <c r="AE398" s="26"/>
      <c r="AF398" s="100"/>
      <c r="AG398" s="110">
        <f ca="1">Table2[[#This Row],[End Date]]+2-TODAY()</f>
        <v>2</v>
      </c>
      <c r="AH398" s="26">
        <f>IF(ISBLANK(Table2[[#This Row],[Roster Received By]]),1,0)</f>
        <v>1</v>
      </c>
      <c r="AI398" s="26">
        <f ca="1">IF(Table2[[#This Row],[Start Date]]&gt;TODAY(),1,)</f>
        <v>0</v>
      </c>
    </row>
    <row r="399" spans="1:35" s="101" customFormat="1" x14ac:dyDescent="0.25">
      <c r="B399" s="278" t="s">
        <v>24</v>
      </c>
      <c r="C399" s="167" t="str">
        <f>VLOOKUP(Table2[[#This Row],[Course]],Data!$A$1:$E$56,2,FALSE)</f>
        <v>A-493-0083</v>
      </c>
      <c r="D399" s="167" t="str">
        <f>VLOOKUP(Table2[[#This Row],[Course]],Data!$A$1:$E$56,3,FALSE)</f>
        <v>339E</v>
      </c>
      <c r="E399" s="107" t="s">
        <v>147</v>
      </c>
      <c r="F399" s="108">
        <v>45533</v>
      </c>
      <c r="G399" s="108">
        <v>45533</v>
      </c>
      <c r="H399" s="168">
        <v>0.33333333333333331</v>
      </c>
      <c r="I399" s="168"/>
      <c r="J399" s="169"/>
      <c r="K399" s="169"/>
      <c r="L399" s="169"/>
      <c r="M399" s="169"/>
      <c r="N399" s="169"/>
      <c r="O399" s="166" t="s">
        <v>78</v>
      </c>
      <c r="P399" s="166"/>
      <c r="Q399" s="170" t="e">
        <v>#REF!</v>
      </c>
      <c r="R399" s="171" t="e">
        <v>#REF!</v>
      </c>
      <c r="S399" s="170"/>
      <c r="V399" s="26">
        <f>VLOOKUP(Table2[[#This Row],[Course]],Data!$A$1:$E$56,4,FALSE)</f>
        <v>30</v>
      </c>
      <c r="W399" s="26">
        <f>VLOOKUP(Table2[[#This Row],[Course]],Data!$A$1:$E$56,5,FALSE)</f>
        <v>1</v>
      </c>
      <c r="X399" s="26">
        <v>66</v>
      </c>
      <c r="Y399" s="296">
        <v>20</v>
      </c>
      <c r="Z399" s="296">
        <v>0</v>
      </c>
      <c r="AA399" s="26"/>
      <c r="AB399" s="170"/>
      <c r="AC399" s="26"/>
      <c r="AD399" s="26"/>
      <c r="AE399" s="26"/>
      <c r="AF399" s="100"/>
      <c r="AG399" s="110">
        <f ca="1">Table2[[#This Row],[End Date]]+2-TODAY()</f>
        <v>3</v>
      </c>
      <c r="AH399" s="26">
        <f>IF(ISBLANK(Table2[[#This Row],[Roster Received By]]),1,0)</f>
        <v>1</v>
      </c>
      <c r="AI399" s="26">
        <f ca="1">IF(Table2[[#This Row],[Start Date]]&gt;TODAY(),1,)</f>
        <v>1</v>
      </c>
    </row>
    <row r="400" spans="1:35" s="101" customFormat="1" x14ac:dyDescent="0.25">
      <c r="B400" s="196" t="s">
        <v>35</v>
      </c>
      <c r="C400" s="167" t="str">
        <f>VLOOKUP(Table2[[#This Row],[Course]],Data!$A$1:$E$56,2,FALSE)</f>
        <v>A-493-2501</v>
      </c>
      <c r="D400" s="167" t="str">
        <f>VLOOKUP(Table2[[#This Row],[Course]],Data!$A$1:$E$56,3,FALSE)</f>
        <v>05ZE</v>
      </c>
      <c r="E400" s="109" t="s">
        <v>150</v>
      </c>
      <c r="F400" s="281">
        <v>45533</v>
      </c>
      <c r="G400" s="281">
        <v>45533</v>
      </c>
      <c r="H400" s="172">
        <v>0.33333333333333331</v>
      </c>
      <c r="I400" s="172"/>
      <c r="J400" s="169"/>
      <c r="K400" s="169"/>
      <c r="L400" s="169"/>
      <c r="M400" s="169"/>
      <c r="N400" s="169"/>
      <c r="O400" s="166" t="s">
        <v>78</v>
      </c>
      <c r="P400" s="166"/>
      <c r="Q400" s="170" t="e">
        <v>#REF!</v>
      </c>
      <c r="R400" s="171" t="e">
        <v>#REF!</v>
      </c>
      <c r="S400" s="170"/>
      <c r="V400" s="26">
        <f>VLOOKUP(Table2[[#This Row],[Course]],Data!$A$1:$E$56,4,FALSE)</f>
        <v>30</v>
      </c>
      <c r="W400" s="26">
        <f>VLOOKUP(Table2[[#This Row],[Course]],Data!$A$1:$E$56,5,FALSE)</f>
        <v>1</v>
      </c>
      <c r="X400" s="26">
        <v>26</v>
      </c>
      <c r="Y400" s="296">
        <v>15</v>
      </c>
      <c r="Z400" s="296">
        <v>0</v>
      </c>
      <c r="AA400" s="26"/>
      <c r="AB400" s="170"/>
      <c r="AC400" s="26"/>
      <c r="AD400" s="26"/>
      <c r="AE400" s="167"/>
      <c r="AF400" s="167"/>
      <c r="AG400" s="190">
        <f ca="1">Table2[[#This Row],[End Date]]+2-TODAY()</f>
        <v>3</v>
      </c>
      <c r="AH400" s="26">
        <f>IF(ISBLANK(Table2[[#This Row],[Roster Received By]]),1,0)</f>
        <v>1</v>
      </c>
      <c r="AI400" s="167">
        <f ca="1">IF(Table2[[#This Row],[Start Date]]&gt;TODAY(),1,)</f>
        <v>1</v>
      </c>
    </row>
    <row r="401" spans="1:35" s="101" customFormat="1" x14ac:dyDescent="0.25">
      <c r="A401" s="174"/>
      <c r="B401" s="279" t="s">
        <v>35</v>
      </c>
      <c r="C401" s="176" t="str">
        <f>VLOOKUP(Table2[[#This Row],[Course]],Data!$A$1:$E$56,2,FALSE)</f>
        <v>A-493-2501</v>
      </c>
      <c r="D401" s="176" t="str">
        <f>VLOOKUP(Table2[[#This Row],[Course]],Data!$A$1:$E$56,3,FALSE)</f>
        <v>05ZE</v>
      </c>
      <c r="E401" s="227" t="s">
        <v>111</v>
      </c>
      <c r="F401" s="282">
        <v>45533</v>
      </c>
      <c r="G401" s="282">
        <v>45533</v>
      </c>
      <c r="H401" s="172">
        <v>0.33333333333333331</v>
      </c>
      <c r="I401" s="178"/>
      <c r="J401" s="177"/>
      <c r="K401" s="177"/>
      <c r="L401" s="177"/>
      <c r="M401" s="177"/>
      <c r="N401" s="177"/>
      <c r="O401" s="175" t="s">
        <v>78</v>
      </c>
      <c r="P401" s="175"/>
      <c r="Q401" s="179"/>
      <c r="R401" s="180"/>
      <c r="S401" s="179"/>
      <c r="T401" s="174"/>
      <c r="U401" s="174"/>
      <c r="V401" s="179">
        <v>30</v>
      </c>
      <c r="W401" s="180">
        <v>1</v>
      </c>
      <c r="X401" s="180">
        <v>20</v>
      </c>
      <c r="Y401" s="297">
        <v>6</v>
      </c>
      <c r="Z401" s="297">
        <v>0</v>
      </c>
      <c r="AA401" s="179"/>
      <c r="AB401" s="179"/>
      <c r="AC401" s="181"/>
      <c r="AD401" s="181"/>
      <c r="AE401" s="176"/>
      <c r="AF401" s="176"/>
      <c r="AG401" s="192">
        <f ca="1">Table2[[#This Row],[End Date]]+2-TODAY()</f>
        <v>3</v>
      </c>
      <c r="AH401" s="181">
        <f>IF(ISBLANK(Table2[[#This Row],[Roster Received By]]),1,0)</f>
        <v>1</v>
      </c>
      <c r="AI401" s="176">
        <f ca="1">IF(Table2[[#This Row],[Start Date]]&gt;TODAY(),1,)</f>
        <v>1</v>
      </c>
    </row>
    <row r="402" spans="1:35" s="146" customFormat="1" x14ac:dyDescent="0.25">
      <c r="A402" s="146" t="s">
        <v>525</v>
      </c>
      <c r="B402" s="285" t="s">
        <v>334</v>
      </c>
      <c r="C402" s="147" t="str">
        <f>VLOOKUP(Table2[[#This Row],[Course]],Data!$A$1:$E$56,2,FALSE)</f>
        <v>Holiday</v>
      </c>
      <c r="D402" s="147" t="str">
        <f>VLOOKUP(Table2[[#This Row],[Course]],Data!$A$1:$E$56,3,FALSE)</f>
        <v>Holiday</v>
      </c>
      <c r="E402" s="393"/>
      <c r="F402" s="149">
        <v>45537</v>
      </c>
      <c r="G402" s="149">
        <v>45537</v>
      </c>
      <c r="H402" s="151">
        <v>0</v>
      </c>
      <c r="I402" s="151">
        <v>0</v>
      </c>
      <c r="J402" s="151">
        <v>0</v>
      </c>
      <c r="K402" s="151">
        <v>0</v>
      </c>
      <c r="L402" s="151">
        <v>0</v>
      </c>
      <c r="M402" s="151">
        <v>0</v>
      </c>
      <c r="N402" s="151">
        <v>0</v>
      </c>
      <c r="O402" s="100"/>
      <c r="P402" s="100"/>
      <c r="Q402" s="152" t="e">
        <v>#REF!</v>
      </c>
      <c r="R402" s="152" t="e">
        <v>#REF!</v>
      </c>
      <c r="S402" s="153">
        <v>0</v>
      </c>
      <c r="T402" s="146">
        <v>0</v>
      </c>
      <c r="U402" s="146">
        <v>0</v>
      </c>
      <c r="V402" s="154">
        <f>VLOOKUP(Table2[[#This Row],[Course]],Data!$A$1:$E$56,4,FALSE)</f>
        <v>0</v>
      </c>
      <c r="W402" s="154">
        <f>VLOOKUP(Table2[[#This Row],[Course]],Data!$A$1:$E$56,5,FALSE)</f>
        <v>0</v>
      </c>
      <c r="X402" s="154">
        <v>0</v>
      </c>
      <c r="Y402" s="154">
        <v>0</v>
      </c>
      <c r="Z402" s="154">
        <v>0</v>
      </c>
      <c r="AA402" s="154">
        <v>0</v>
      </c>
      <c r="AB402" s="155">
        <v>0</v>
      </c>
      <c r="AC402" s="154">
        <v>0</v>
      </c>
      <c r="AD402" s="154">
        <v>0</v>
      </c>
      <c r="AE402" s="154">
        <v>0</v>
      </c>
      <c r="AF402" s="100" t="s">
        <v>194</v>
      </c>
      <c r="AG402" s="226">
        <f ca="1">Table2[[#This Row],[End Date]]+2-TODAY()</f>
        <v>7</v>
      </c>
      <c r="AH402" s="154">
        <f>IF(ISBLANK(Table2[[#This Row],[Roster Received By]]),1,0)</f>
        <v>0</v>
      </c>
      <c r="AI402" s="147">
        <f ca="1">IF(Table2[[#This Row],[Start Date]]&gt;TODAY(),1,)</f>
        <v>1</v>
      </c>
    </row>
    <row r="403" spans="1:35" s="101" customFormat="1" x14ac:dyDescent="0.25">
      <c r="B403" s="166" t="s">
        <v>303</v>
      </c>
      <c r="C403" s="167" t="str">
        <f>VLOOKUP(Table2[[#This Row],[Course]],Data!$A$1:$E$56,2,FALSE)</f>
        <v>A-570-0100</v>
      </c>
      <c r="D403" s="167" t="str">
        <f>VLOOKUP(Table2[[#This Row],[Course]],Data!$A$1:$E$56,3,FALSE)</f>
        <v>18B7</v>
      </c>
      <c r="E403" s="278" t="s">
        <v>116</v>
      </c>
      <c r="F403" s="281">
        <v>45538</v>
      </c>
      <c r="G403" s="281">
        <v>45541</v>
      </c>
      <c r="H403" s="169"/>
      <c r="I403" s="168">
        <v>0.79166666666666663</v>
      </c>
      <c r="J403" s="168">
        <v>0.66666666666666663</v>
      </c>
      <c r="K403" s="168">
        <v>8.3333333333333329E-2</v>
      </c>
      <c r="L403" s="168">
        <v>0</v>
      </c>
      <c r="M403" s="168">
        <v>0.54166666666666663</v>
      </c>
      <c r="N403" s="168">
        <v>0.33333333333333331</v>
      </c>
      <c r="O403" s="166" t="s">
        <v>89</v>
      </c>
      <c r="P403" s="166"/>
      <c r="Q403" s="170" t="e">
        <v>#REF!</v>
      </c>
      <c r="R403" s="171" t="e">
        <v>#REF!</v>
      </c>
      <c r="S403" s="170"/>
      <c r="V403" s="26">
        <f>VLOOKUP(Table2[[#This Row],[Course]],Data!$A$1:$E$56,4,FALSE)</f>
        <v>30</v>
      </c>
      <c r="W403" s="26">
        <f>VLOOKUP(Table2[[#This Row],[Course]],Data!$A$1:$E$56,5,FALSE)</f>
        <v>4</v>
      </c>
      <c r="X403" s="26">
        <v>90</v>
      </c>
      <c r="Y403" s="296"/>
      <c r="Z403" s="296"/>
      <c r="AA403" s="26"/>
      <c r="AB403" s="170"/>
      <c r="AC403" s="26"/>
      <c r="AD403" s="26"/>
      <c r="AE403" s="167"/>
      <c r="AF403" s="167"/>
      <c r="AG403" s="190">
        <f ca="1">Table2[[#This Row],[End Date]]+2-TODAY()</f>
        <v>11</v>
      </c>
      <c r="AH403" s="26">
        <f>IF(ISBLANK(Table2[[#This Row],[Roster Received By]]),1,0)</f>
        <v>1</v>
      </c>
      <c r="AI403" s="167">
        <f ca="1">IF(Table2[[#This Row],[Start Date]]&gt;TODAY(),1,)</f>
        <v>1</v>
      </c>
    </row>
    <row r="404" spans="1:35" s="101" customFormat="1" x14ac:dyDescent="0.25">
      <c r="B404" s="278" t="s">
        <v>18</v>
      </c>
      <c r="C404" s="167" t="str">
        <f>VLOOKUP(Table2[[#This Row],[Course]],Data!$A$1:$E$56,2,FALSE)</f>
        <v>A-493-0013</v>
      </c>
      <c r="D404" s="167">
        <f>VLOOKUP(Table2[[#This Row],[Course]],Data!$A$1:$E$56,3,FALSE)</f>
        <v>3683</v>
      </c>
      <c r="E404" s="278" t="s">
        <v>165</v>
      </c>
      <c r="F404" s="281">
        <v>45539</v>
      </c>
      <c r="G404" s="281">
        <v>45541</v>
      </c>
      <c r="H404" s="172">
        <v>0.33333333333333331</v>
      </c>
      <c r="I404" s="172"/>
      <c r="J404" s="172"/>
      <c r="K404" s="172"/>
      <c r="L404" s="172"/>
      <c r="M404" s="172"/>
      <c r="N404" s="169"/>
      <c r="O404" s="101" t="s">
        <v>78</v>
      </c>
      <c r="Q404" s="171" t="e">
        <v>#REF!</v>
      </c>
      <c r="R404" s="171" t="e">
        <v>#REF!</v>
      </c>
      <c r="S404" s="173"/>
      <c r="V404" s="26">
        <f>VLOOKUP(Table2[[#This Row],[Course]],Data!$A$1:$E$56,4,FALSE)</f>
        <v>40</v>
      </c>
      <c r="W404" s="26">
        <v>3</v>
      </c>
      <c r="X404" s="26">
        <v>10</v>
      </c>
      <c r="Y404" s="296">
        <v>20</v>
      </c>
      <c r="Z404" s="296">
        <v>0</v>
      </c>
      <c r="AA404" s="26"/>
      <c r="AB404" s="170"/>
      <c r="AC404" s="26"/>
      <c r="AD404" s="26"/>
      <c r="AE404" s="167"/>
      <c r="AF404" s="167"/>
      <c r="AG404" s="190">
        <f ca="1">Table2[[#This Row],[End Date]]+2-TODAY()</f>
        <v>11</v>
      </c>
      <c r="AH404" s="26">
        <f>IF(ISBLANK(Table2[[#This Row],[Roster Received By]]),1,0)</f>
        <v>1</v>
      </c>
      <c r="AI404" s="167">
        <f ca="1">IF(Table2[[#This Row],[Start Date]]&gt;TODAY(),1,)</f>
        <v>1</v>
      </c>
    </row>
    <row r="405" spans="1:35" s="101" customFormat="1" x14ac:dyDescent="0.25">
      <c r="B405" s="196" t="s">
        <v>28</v>
      </c>
      <c r="C405" s="167" t="str">
        <f>VLOOKUP(Table2[[#This Row],[Course]],Data!$A$1:$E$56,2,FALSE)</f>
        <v>A-493-0092</v>
      </c>
      <c r="D405" s="167">
        <f>VLOOKUP(Table2[[#This Row],[Course]],Data!$A$1:$E$56,3,FALSE)</f>
        <v>5891</v>
      </c>
      <c r="E405" s="278" t="s">
        <v>104</v>
      </c>
      <c r="F405" s="281">
        <v>45539</v>
      </c>
      <c r="G405" s="281">
        <v>45541</v>
      </c>
      <c r="H405" s="172">
        <v>0.33333333333333331</v>
      </c>
      <c r="I405" s="172"/>
      <c r="J405" s="169"/>
      <c r="K405" s="169"/>
      <c r="L405" s="169"/>
      <c r="M405" s="169"/>
      <c r="N405" s="169"/>
      <c r="O405" s="166" t="s">
        <v>84</v>
      </c>
      <c r="P405" s="166" t="s">
        <v>90</v>
      </c>
      <c r="Q405" s="171" t="e">
        <v>#REF!</v>
      </c>
      <c r="R405" s="171" t="e">
        <v>#REF!</v>
      </c>
      <c r="S405" s="173"/>
      <c r="V405" s="26">
        <f>VLOOKUP(Table2[[#This Row],[Course]],Data!$A$1:$E$56,4,FALSE)</f>
        <v>25</v>
      </c>
      <c r="W405" s="26">
        <f>VLOOKUP(Table2[[#This Row],[Course]],Data!$A$1:$E$56,5,FALSE)</f>
        <v>3</v>
      </c>
      <c r="X405" s="26">
        <v>19</v>
      </c>
      <c r="Y405" s="296"/>
      <c r="Z405" s="296"/>
      <c r="AA405" s="26"/>
      <c r="AB405" s="170"/>
      <c r="AC405" s="26"/>
      <c r="AD405" s="26"/>
      <c r="AE405" s="167"/>
      <c r="AF405" s="167"/>
      <c r="AG405" s="190">
        <f ca="1">Table2[[#This Row],[End Date]]+2-TODAY()</f>
        <v>11</v>
      </c>
      <c r="AH405" s="26">
        <f>IF(ISBLANK(Table2[[#This Row],[Roster Received By]]),1,0)</f>
        <v>1</v>
      </c>
      <c r="AI405" s="167">
        <f ca="1">IF(Table2[[#This Row],[Start Date]]&gt;TODAY(),1,)</f>
        <v>1</v>
      </c>
    </row>
    <row r="406" spans="1:35" s="101" customFormat="1" x14ac:dyDescent="0.25">
      <c r="A406" s="219" t="s">
        <v>521</v>
      </c>
      <c r="B406" s="279" t="s">
        <v>18</v>
      </c>
      <c r="C406" s="176" t="str">
        <f>VLOOKUP(Table2[[#This Row],[Course]],Data!$A$1:$E$56,2,FALSE)</f>
        <v>A-493-0013</v>
      </c>
      <c r="D406" s="176">
        <f>VLOOKUP(Table2[[#This Row],[Course]],Data!$A$1:$E$56,3,FALSE)</f>
        <v>3683</v>
      </c>
      <c r="E406" s="279" t="s">
        <v>217</v>
      </c>
      <c r="F406" s="282">
        <v>45540</v>
      </c>
      <c r="G406" s="282">
        <v>45541</v>
      </c>
      <c r="H406" s="172">
        <v>0.33333333333333331</v>
      </c>
      <c r="I406" s="178"/>
      <c r="J406" s="177"/>
      <c r="K406" s="177"/>
      <c r="L406" s="177"/>
      <c r="M406" s="177"/>
      <c r="N406" s="177"/>
      <c r="O406" s="175" t="s">
        <v>78</v>
      </c>
      <c r="P406" s="175"/>
      <c r="Q406" s="179"/>
      <c r="R406" s="180"/>
      <c r="S406" s="179"/>
      <c r="T406" s="174"/>
      <c r="U406" s="174"/>
      <c r="V406" s="179">
        <v>40</v>
      </c>
      <c r="W406" s="180">
        <v>2</v>
      </c>
      <c r="X406" s="180">
        <v>0</v>
      </c>
      <c r="Y406" s="180">
        <v>21</v>
      </c>
      <c r="Z406" s="180">
        <v>0</v>
      </c>
      <c r="AA406" s="179"/>
      <c r="AB406" s="179"/>
      <c r="AC406" s="181"/>
      <c r="AD406" s="181"/>
      <c r="AE406" s="176"/>
      <c r="AF406" s="176"/>
      <c r="AG406" s="192">
        <f ca="1">Table2[[#This Row],[End Date]]+2-TODAY()</f>
        <v>11</v>
      </c>
      <c r="AH406" s="181">
        <f>IF(ISBLANK(Table2[[#This Row],[Roster Received By]]),1,0)</f>
        <v>1</v>
      </c>
      <c r="AI406" s="176">
        <f ca="1">IF(Table2[[#This Row],[Start Date]]&gt;TODAY(),1,)</f>
        <v>1</v>
      </c>
    </row>
    <row r="407" spans="1:35" s="101" customFormat="1" x14ac:dyDescent="0.25">
      <c r="B407" s="278" t="s">
        <v>24</v>
      </c>
      <c r="C407" s="167" t="str">
        <f>VLOOKUP(Table2[[#This Row],[Course]],Data!$A$1:$E$56,2,FALSE)</f>
        <v>A-493-0083</v>
      </c>
      <c r="D407" s="167" t="str">
        <f>VLOOKUP(Table2[[#This Row],[Course]],Data!$A$1:$E$56,3,FALSE)</f>
        <v>339E</v>
      </c>
      <c r="E407" s="385" t="s">
        <v>116</v>
      </c>
      <c r="F407" s="387">
        <v>45541</v>
      </c>
      <c r="G407" s="387">
        <v>45541</v>
      </c>
      <c r="H407" s="195"/>
      <c r="I407" s="168">
        <v>0.33333333333333331</v>
      </c>
      <c r="J407" s="168">
        <v>0.20833333333333334</v>
      </c>
      <c r="K407" s="168">
        <v>0.625</v>
      </c>
      <c r="L407" s="168">
        <v>0.54166666666666663</v>
      </c>
      <c r="M407" s="168">
        <v>8.3333333333333329E-2</v>
      </c>
      <c r="N407" s="168">
        <v>0.875</v>
      </c>
      <c r="O407" s="166" t="s">
        <v>78</v>
      </c>
      <c r="P407" s="166"/>
      <c r="Q407" s="170" t="e">
        <v>#REF!</v>
      </c>
      <c r="R407" s="171" t="e">
        <v>#REF!</v>
      </c>
      <c r="S407" s="170"/>
      <c r="V407" s="26">
        <f>VLOOKUP(Table2[[#This Row],[Course]],Data!$A$1:$E$56,4,FALSE)</f>
        <v>30</v>
      </c>
      <c r="W407" s="26">
        <f>VLOOKUP(Table2[[#This Row],[Course]],Data!$A$1:$E$56,5,FALSE)</f>
        <v>1</v>
      </c>
      <c r="X407" s="26">
        <v>0</v>
      </c>
      <c r="Y407" s="26"/>
      <c r="Z407" s="26"/>
      <c r="AA407" s="26"/>
      <c r="AB407" s="170"/>
      <c r="AC407" s="26"/>
      <c r="AD407" s="26"/>
      <c r="AE407" s="167"/>
      <c r="AF407" s="167"/>
      <c r="AG407" s="190">
        <f ca="1">Table2[[#This Row],[End Date]]+2-TODAY()</f>
        <v>11</v>
      </c>
      <c r="AH407" s="26">
        <f>IF(ISBLANK(Table2[[#This Row],[Roster Received By]]),1,0)</f>
        <v>1</v>
      </c>
      <c r="AI407" s="167">
        <f ca="1">IF(Table2[[#This Row],[Start Date]]&gt;TODAY(),1,)</f>
        <v>1</v>
      </c>
    </row>
    <row r="408" spans="1:35" s="101" customFormat="1" x14ac:dyDescent="0.25">
      <c r="B408" s="166" t="s">
        <v>236</v>
      </c>
      <c r="C408" s="167" t="str">
        <f>VLOOKUP(Table2[[#This Row],[Course]],Data!$A$1:$E$56,2,FALSE)</f>
        <v>A-493-0103</v>
      </c>
      <c r="D408" s="167" t="str">
        <f>VLOOKUP(Table2[[#This Row],[Course]],Data!$A$1:$E$56,3,FALSE)</f>
        <v>12JY</v>
      </c>
      <c r="E408" s="280" t="s">
        <v>140</v>
      </c>
      <c r="F408" s="281">
        <v>45544</v>
      </c>
      <c r="G408" s="281">
        <v>45548</v>
      </c>
      <c r="H408" s="172">
        <v>0.33333333333333331</v>
      </c>
      <c r="I408" s="172"/>
      <c r="J408" s="169"/>
      <c r="K408" s="169"/>
      <c r="L408" s="169"/>
      <c r="M408" s="169"/>
      <c r="N408" s="169"/>
      <c r="O408" s="166" t="s">
        <v>94</v>
      </c>
      <c r="P408" s="166"/>
      <c r="Q408" s="171" t="e">
        <v>#REF!</v>
      </c>
      <c r="R408" s="171" t="e">
        <v>#REF!</v>
      </c>
      <c r="S408" s="171"/>
      <c r="V408" s="26">
        <f>VLOOKUP(Table2[[#This Row],[Course]],Data!$A$1:$E$56,4,FALSE)</f>
        <v>25</v>
      </c>
      <c r="W408" s="26">
        <f>VLOOKUP(Table2[[#This Row],[Course]],Data!$A$1:$E$56,5,FALSE)</f>
        <v>5</v>
      </c>
      <c r="X408" s="26">
        <v>388</v>
      </c>
      <c r="Y408" s="26"/>
      <c r="Z408" s="26"/>
      <c r="AA408" s="26"/>
      <c r="AB408" s="170"/>
      <c r="AC408" s="26"/>
      <c r="AD408" s="26"/>
      <c r="AE408" s="167"/>
      <c r="AF408" s="167"/>
      <c r="AG408" s="190">
        <f ca="1">Table2[[#This Row],[End Date]]+2-TODAY()</f>
        <v>18</v>
      </c>
      <c r="AH408" s="26">
        <f>IF(ISBLANK(Table2[[#This Row],[Roster Received By]]),1,0)</f>
        <v>1</v>
      </c>
      <c r="AI408" s="167">
        <f ca="1">IF(Table2[[#This Row],[Start Date]]&gt;TODAY(),1,)</f>
        <v>1</v>
      </c>
    </row>
    <row r="409" spans="1:35" s="101" customFormat="1" x14ac:dyDescent="0.25">
      <c r="B409" s="166" t="s">
        <v>236</v>
      </c>
      <c r="C409" s="167" t="str">
        <f>VLOOKUP(Table2[[#This Row],[Course]],Data!$A$1:$E$56,2,FALSE)</f>
        <v>A-493-0103</v>
      </c>
      <c r="D409" s="167" t="str">
        <f>VLOOKUP(Table2[[#This Row],[Course]],Data!$A$1:$E$56,3,FALSE)</f>
        <v>12JY</v>
      </c>
      <c r="E409" s="196" t="s">
        <v>150</v>
      </c>
      <c r="F409" s="191">
        <v>45544</v>
      </c>
      <c r="G409" s="191">
        <v>45548</v>
      </c>
      <c r="H409" s="172">
        <v>0.33333333333333331</v>
      </c>
      <c r="I409" s="172"/>
      <c r="J409" s="169"/>
      <c r="K409" s="169"/>
      <c r="L409" s="169"/>
      <c r="M409" s="169"/>
      <c r="N409" s="169"/>
      <c r="O409" s="166" t="s">
        <v>94</v>
      </c>
      <c r="P409" s="166"/>
      <c r="Q409" s="171" t="e">
        <v>#REF!</v>
      </c>
      <c r="R409" s="171" t="e">
        <v>#REF!</v>
      </c>
      <c r="S409" s="171"/>
      <c r="V409" s="26">
        <f>VLOOKUP(Table2[[#This Row],[Course]],Data!$A$1:$E$56,4,FALSE)</f>
        <v>25</v>
      </c>
      <c r="W409" s="26">
        <f>VLOOKUP(Table2[[#This Row],[Course]],Data!$A$1:$E$56,5,FALSE)</f>
        <v>5</v>
      </c>
      <c r="X409" s="26">
        <v>49</v>
      </c>
      <c r="Y409" s="26"/>
      <c r="Z409" s="26"/>
      <c r="AA409" s="26"/>
      <c r="AB409" s="170"/>
      <c r="AC409" s="26"/>
      <c r="AD409" s="26"/>
      <c r="AE409" s="167"/>
      <c r="AF409" s="167"/>
      <c r="AG409" s="190">
        <f ca="1">Table2[[#This Row],[End Date]]+2-TODAY()</f>
        <v>18</v>
      </c>
      <c r="AH409" s="26">
        <f>IF(ISBLANK(Table2[[#This Row],[Roster Received By]]),1,0)</f>
        <v>1</v>
      </c>
      <c r="AI409" s="167">
        <f ca="1">IF(Table2[[#This Row],[Start Date]]&gt;TODAY(),1,)</f>
        <v>1</v>
      </c>
    </row>
    <row r="410" spans="1:35" s="101" customFormat="1" x14ac:dyDescent="0.25">
      <c r="B410" s="166" t="s">
        <v>17</v>
      </c>
      <c r="C410" s="167" t="str">
        <f>VLOOKUP(Table2[[#This Row],[Course]],Data!$A$1:$E$56,2,FALSE)</f>
        <v>A-493-0012</v>
      </c>
      <c r="D410" s="167">
        <f>VLOOKUP(Table2[[#This Row],[Course]],Data!$A$1:$E$56,3,FALSE)</f>
        <v>3682</v>
      </c>
      <c r="E410" s="196" t="s">
        <v>143</v>
      </c>
      <c r="F410" s="191">
        <v>45544</v>
      </c>
      <c r="G410" s="191">
        <v>45548</v>
      </c>
      <c r="H410" s="172">
        <v>0.33333333333333331</v>
      </c>
      <c r="I410" s="172"/>
      <c r="J410" s="172"/>
      <c r="K410" s="172"/>
      <c r="L410" s="172"/>
      <c r="M410" s="172"/>
      <c r="N410" s="169"/>
      <c r="O410" s="101" t="s">
        <v>78</v>
      </c>
      <c r="Q410" s="171" t="e">
        <v>#REF!</v>
      </c>
      <c r="R410" s="171" t="e">
        <v>#REF!</v>
      </c>
      <c r="S410" s="173"/>
      <c r="V410" s="26">
        <f>VLOOKUP(Table2[[#This Row],[Course]],Data!$A$1:$E$56,4,FALSE)</f>
        <v>40</v>
      </c>
      <c r="W410" s="26">
        <f>VLOOKUP(Table2[[#This Row],[Course]],Data!$A$1:$E$56,5,FALSE)</f>
        <v>5</v>
      </c>
      <c r="X410" s="26">
        <v>0</v>
      </c>
      <c r="Y410" s="26">
        <v>17</v>
      </c>
      <c r="Z410" s="26">
        <v>0</v>
      </c>
      <c r="AA410" s="26"/>
      <c r="AB410" s="170"/>
      <c r="AC410" s="26"/>
      <c r="AD410" s="26"/>
      <c r="AE410" s="167"/>
      <c r="AF410" s="167"/>
      <c r="AG410" s="190">
        <f ca="1">Table2[[#This Row],[End Date]]+2-TODAY()</f>
        <v>18</v>
      </c>
      <c r="AH410" s="26">
        <f>IF(ISBLANK(Table2[[#This Row],[Roster Received By]]),1,0)</f>
        <v>1</v>
      </c>
      <c r="AI410" s="167">
        <f ca="1">IF(Table2[[#This Row],[Start Date]]&gt;TODAY(),1,)</f>
        <v>1</v>
      </c>
    </row>
    <row r="411" spans="1:35" s="101" customFormat="1" x14ac:dyDescent="0.25">
      <c r="B411" s="278" t="s">
        <v>17</v>
      </c>
      <c r="C411" s="167" t="str">
        <f>VLOOKUP(Table2[[#This Row],[Course]],Data!$A$1:$E$56,2,FALSE)</f>
        <v>A-493-0012</v>
      </c>
      <c r="D411" s="167">
        <f>VLOOKUP(Table2[[#This Row],[Course]],Data!$A$1:$E$56,3,FALSE)</f>
        <v>3682</v>
      </c>
      <c r="E411" s="107" t="s">
        <v>349</v>
      </c>
      <c r="F411" s="264">
        <v>45544</v>
      </c>
      <c r="G411" s="191">
        <v>45548</v>
      </c>
      <c r="H411" s="172">
        <v>0.33333333333333331</v>
      </c>
      <c r="I411" s="172"/>
      <c r="J411" s="169"/>
      <c r="K411" s="169"/>
      <c r="L411" s="169"/>
      <c r="M411" s="169"/>
      <c r="N411" s="169"/>
      <c r="O411" s="166" t="s">
        <v>78</v>
      </c>
      <c r="P411" s="166"/>
      <c r="Q411" s="170" t="e">
        <v>#REF!</v>
      </c>
      <c r="R411" s="171" t="e">
        <v>#REF!</v>
      </c>
      <c r="S411" s="170"/>
      <c r="V411" s="26">
        <f>VLOOKUP(Table2[[#This Row],[Course]],Data!$A$1:$E$56,4,FALSE)</f>
        <v>40</v>
      </c>
      <c r="W411" s="26">
        <f>VLOOKUP(Table2[[#This Row],[Course]],Data!$A$1:$E$56,5,FALSE)</f>
        <v>5</v>
      </c>
      <c r="X411" s="26">
        <v>0</v>
      </c>
      <c r="Y411" s="26"/>
      <c r="Z411" s="26">
        <v>0</v>
      </c>
      <c r="AA411" s="26"/>
      <c r="AB411" s="170"/>
      <c r="AC411" s="26"/>
      <c r="AD411" s="26"/>
      <c r="AE411" s="167"/>
      <c r="AF411" s="167"/>
      <c r="AG411" s="190">
        <f ca="1">Table2[[#This Row],[End Date]]+2-TODAY()</f>
        <v>18</v>
      </c>
      <c r="AH411" s="26">
        <f>IF(ISBLANK(Table2[[#This Row],[Roster Received By]]),1,0)</f>
        <v>1</v>
      </c>
      <c r="AI411" s="167">
        <f ca="1">IF(Table2[[#This Row],[Start Date]]&gt;TODAY(),1,)</f>
        <v>1</v>
      </c>
    </row>
    <row r="412" spans="1:35" s="101" customFormat="1" x14ac:dyDescent="0.25">
      <c r="B412" s="278" t="s">
        <v>243</v>
      </c>
      <c r="C412" s="167" t="str">
        <f>VLOOKUP(Table2[[#This Row],[Course]],Data!$A$1:$E$56,2,FALSE)</f>
        <v>A-493-0061</v>
      </c>
      <c r="D412" s="167" t="str">
        <f>VLOOKUP(Table2[[#This Row],[Course]],Data!$A$1:$E$56,3,FALSE)</f>
        <v>288E</v>
      </c>
      <c r="E412" s="263" t="s">
        <v>116</v>
      </c>
      <c r="F412" s="191">
        <v>45544</v>
      </c>
      <c r="G412" s="191">
        <v>45548</v>
      </c>
      <c r="H412" s="169"/>
      <c r="I412" s="168">
        <v>0.54166666666666663</v>
      </c>
      <c r="J412" s="168">
        <v>0.41666666666666669</v>
      </c>
      <c r="K412" s="168">
        <v>0.83333333333333337</v>
      </c>
      <c r="L412" s="168">
        <v>0.75</v>
      </c>
      <c r="M412" s="168">
        <v>0.29166666666666669</v>
      </c>
      <c r="N412" s="168">
        <v>8.3333333333333329E-2</v>
      </c>
      <c r="O412" s="166" t="s">
        <v>92</v>
      </c>
      <c r="P412" s="166"/>
      <c r="Q412" s="171" t="e">
        <v>#REF!</v>
      </c>
      <c r="R412" s="171" t="e">
        <v>#REF!</v>
      </c>
      <c r="S412" s="173"/>
      <c r="V412" s="26">
        <f>VLOOKUP(Table2[[#This Row],[Course]],Data!$A$1:$E$56,4,FALSE)</f>
        <v>45</v>
      </c>
      <c r="W412" s="26">
        <f>VLOOKUP(Table2[[#This Row],[Course]],Data!$A$1:$E$56,5,FALSE)</f>
        <v>5</v>
      </c>
      <c r="X412" s="26">
        <v>583</v>
      </c>
      <c r="Y412" s="296"/>
      <c r="Z412" s="296"/>
      <c r="AA412" s="26"/>
      <c r="AB412" s="170"/>
      <c r="AC412" s="26"/>
      <c r="AD412" s="26"/>
      <c r="AE412" s="167"/>
      <c r="AF412" s="167"/>
      <c r="AG412" s="190">
        <f ca="1">Table2[[#This Row],[End Date]]+2-TODAY()</f>
        <v>18</v>
      </c>
      <c r="AH412" s="26">
        <f>IF(ISBLANK(Table2[[#This Row],[Roster Received By]]),1,0)</f>
        <v>1</v>
      </c>
      <c r="AI412" s="167">
        <f ca="1">IF(Table2[[#This Row],[Start Date]]&gt;TODAY(),1,)</f>
        <v>1</v>
      </c>
    </row>
    <row r="413" spans="1:35" s="101" customFormat="1" x14ac:dyDescent="0.25">
      <c r="B413" s="278" t="s">
        <v>249</v>
      </c>
      <c r="C413" s="167" t="str">
        <f>VLOOKUP(Table2[[#This Row],[Course]],Data!$A$1:$E$56,2,FALSE)</f>
        <v>A-322-2604</v>
      </c>
      <c r="D413" s="167" t="str">
        <f>VLOOKUP(Table2[[#This Row],[Course]],Data!$A$1:$E$56,3,FALSE)</f>
        <v>10ZZ</v>
      </c>
      <c r="E413" s="263" t="s">
        <v>116</v>
      </c>
      <c r="F413" s="191">
        <v>45544</v>
      </c>
      <c r="G413" s="191">
        <v>45548</v>
      </c>
      <c r="H413" s="169"/>
      <c r="I413" s="168">
        <v>0.54166666666666663</v>
      </c>
      <c r="J413" s="168">
        <v>0.41666666666666669</v>
      </c>
      <c r="K413" s="168">
        <v>0.83333333333333337</v>
      </c>
      <c r="L413" s="168">
        <v>0.75</v>
      </c>
      <c r="M413" s="168">
        <v>0.29166666666666669</v>
      </c>
      <c r="N413" s="168">
        <v>8.3333333333333329E-2</v>
      </c>
      <c r="O413" s="166" t="s">
        <v>269</v>
      </c>
      <c r="P413" s="166"/>
      <c r="Q413" s="170" t="e">
        <v>#REF!</v>
      </c>
      <c r="R413" s="171" t="e">
        <v>#REF!</v>
      </c>
      <c r="S413" s="170"/>
      <c r="V413" s="26">
        <f>VLOOKUP(Table2[[#This Row],[Course]],Data!$A$1:$E$56,4,FALSE)</f>
        <v>45</v>
      </c>
      <c r="W413" s="26">
        <f>VLOOKUP(Table2[[#This Row],[Course]],Data!$A$1:$E$56,5,FALSE)</f>
        <v>5</v>
      </c>
      <c r="X413" s="154">
        <v>653</v>
      </c>
      <c r="Y413" s="26"/>
      <c r="Z413" s="26"/>
      <c r="AA413" s="26"/>
      <c r="AB413" s="170"/>
      <c r="AC413" s="26"/>
      <c r="AD413" s="26"/>
      <c r="AE413" s="167"/>
      <c r="AF413" s="167"/>
      <c r="AG413" s="190">
        <f ca="1">Table2[[#This Row],[End Date]]+2-TODAY()</f>
        <v>18</v>
      </c>
      <c r="AH413" s="26">
        <f>IF(ISBLANK(Table2[[#This Row],[Roster Received By]]),1,0)</f>
        <v>1</v>
      </c>
      <c r="AI413" s="167">
        <f ca="1">IF(Table2[[#This Row],[Start Date]]&gt;TODAY(),1,)</f>
        <v>1</v>
      </c>
    </row>
    <row r="414" spans="1:35" s="101" customFormat="1" x14ac:dyDescent="0.25">
      <c r="A414" s="301"/>
      <c r="B414" s="307" t="s">
        <v>281</v>
      </c>
      <c r="C414" s="308" t="str">
        <f>VLOOKUP(Table2[[#This Row],[Course]],Data!$A$1:$E$56,2,FALSE)</f>
        <v>A-493-0550</v>
      </c>
      <c r="D414" s="308" t="str">
        <f>VLOOKUP(Table2[[#This Row],[Course]],Data!$A$1:$E$56,3,FALSE)</f>
        <v>09K5</v>
      </c>
      <c r="E414" s="309" t="s">
        <v>116</v>
      </c>
      <c r="F414" s="386">
        <v>45544</v>
      </c>
      <c r="G414" s="386">
        <v>45548</v>
      </c>
      <c r="H414" s="312"/>
      <c r="I414" s="321">
        <v>0.41666666666666669</v>
      </c>
      <c r="J414" s="321">
        <v>0.29166666666666669</v>
      </c>
      <c r="K414" s="321">
        <v>0.70833333333333337</v>
      </c>
      <c r="L414" s="321">
        <v>0.625</v>
      </c>
      <c r="M414" s="321">
        <v>0.16666666666666666</v>
      </c>
      <c r="N414" s="321">
        <v>0.95833333333333337</v>
      </c>
      <c r="O414" s="299" t="s">
        <v>88</v>
      </c>
      <c r="P414" s="299"/>
      <c r="Q414" s="171" t="e">
        <v>#REF!</v>
      </c>
      <c r="R414" s="171" t="e">
        <v>#REF!</v>
      </c>
      <c r="S414" s="173"/>
      <c r="V414" s="296">
        <f>VLOOKUP(Table2[[#This Row],[Course]],Data!$A$1:$E$56,4,FALSE)</f>
        <v>45</v>
      </c>
      <c r="W414" s="296">
        <f>VLOOKUP(Table2[[#This Row],[Course]],Data!$A$1:$E$56,5,FALSE)</f>
        <v>4</v>
      </c>
      <c r="X414" s="296">
        <v>429</v>
      </c>
      <c r="Y414" s="296"/>
      <c r="Z414" s="296"/>
      <c r="AA414" s="296"/>
      <c r="AB414" s="298"/>
      <c r="AC414" s="296"/>
      <c r="AD414" s="296"/>
      <c r="AE414" s="308"/>
      <c r="AF414" s="308"/>
      <c r="AG414" s="318">
        <f ca="1">Table2[[#This Row],[End Date]]+2-TODAY()</f>
        <v>18</v>
      </c>
      <c r="AH414" s="296">
        <f>IF(ISBLANK(Table2[[#This Row],[Roster Received By]]),1,0)</f>
        <v>1</v>
      </c>
      <c r="AI414" s="308">
        <f ca="1">IF(Table2[[#This Row],[Start Date]]&gt;TODAY(),1,)</f>
        <v>1</v>
      </c>
    </row>
    <row r="415" spans="1:35" s="101" customFormat="1" x14ac:dyDescent="0.25">
      <c r="B415" s="278" t="s">
        <v>292</v>
      </c>
      <c r="C415" s="167" t="str">
        <f>VLOOKUP(Table2[[#This Row],[Course]],Data!$A$1:$E$56,2,FALSE)</f>
        <v>A-493-0078</v>
      </c>
      <c r="D415" s="167">
        <f>VLOOKUP(Table2[[#This Row],[Course]],Data!$A$1:$E$56,3,FALSE)</f>
        <v>1228</v>
      </c>
      <c r="E415" s="263" t="s">
        <v>116</v>
      </c>
      <c r="F415" s="281">
        <v>45544</v>
      </c>
      <c r="G415" s="281">
        <v>45548</v>
      </c>
      <c r="H415" s="169"/>
      <c r="I415" s="168">
        <v>0.33333333333333331</v>
      </c>
      <c r="J415" s="168">
        <v>0.20833333333333334</v>
      </c>
      <c r="K415" s="168">
        <v>0.625</v>
      </c>
      <c r="L415" s="168">
        <v>0.54166666666666663</v>
      </c>
      <c r="M415" s="168">
        <v>8.3333333333333329E-2</v>
      </c>
      <c r="N415" s="168">
        <v>0.875</v>
      </c>
      <c r="O415" s="166" t="s">
        <v>80</v>
      </c>
      <c r="P415" s="166"/>
      <c r="Q415" s="171" t="e">
        <v>#REF!</v>
      </c>
      <c r="R415" s="171" t="e">
        <v>#REF!</v>
      </c>
      <c r="S415" s="173"/>
      <c r="V415" s="26">
        <f>VLOOKUP(Table2[[#This Row],[Course]],Data!$A$1:$E$56,4,FALSE)</f>
        <v>45</v>
      </c>
      <c r="W415" s="26">
        <f>VLOOKUP(Table2[[#This Row],[Course]],Data!$A$1:$E$56,5,FALSE)</f>
        <v>5</v>
      </c>
      <c r="X415" s="154">
        <v>600</v>
      </c>
      <c r="Y415" s="26"/>
      <c r="Z415" s="26"/>
      <c r="AA415" s="26"/>
      <c r="AB415" s="170"/>
      <c r="AC415" s="26"/>
      <c r="AD415" s="26"/>
      <c r="AE415" s="167"/>
      <c r="AF415" s="167"/>
      <c r="AG415" s="190">
        <f ca="1">Table2[[#This Row],[End Date]]+2-TODAY()</f>
        <v>18</v>
      </c>
      <c r="AH415" s="26">
        <f>IF(ISBLANK(Table2[[#This Row],[Roster Received By]]),1,0)</f>
        <v>1</v>
      </c>
      <c r="AI415" s="167">
        <f ca="1">IF(Table2[[#This Row],[Start Date]]&gt;TODAY(),1,)</f>
        <v>1</v>
      </c>
    </row>
    <row r="416" spans="1:35" s="101" customFormat="1" x14ac:dyDescent="0.25">
      <c r="B416" s="166" t="s">
        <v>38</v>
      </c>
      <c r="C416" s="167" t="str">
        <f>VLOOKUP(Table2[[#This Row],[Course]],Data!$A$1:$E$56,2,FALSE)</f>
        <v>A-493-0072</v>
      </c>
      <c r="D416" s="167" t="str">
        <f>VLOOKUP(Table2[[#This Row],[Course]],Data!$A$1:$E$56,3,FALSE)</f>
        <v>713U</v>
      </c>
      <c r="E416" s="263" t="s">
        <v>104</v>
      </c>
      <c r="F416" s="169">
        <v>45544</v>
      </c>
      <c r="G416" s="169">
        <v>45547</v>
      </c>
      <c r="H416" s="188">
        <v>0.33333333333333331</v>
      </c>
      <c r="I416" s="188"/>
      <c r="J416" s="169"/>
      <c r="K416" s="169"/>
      <c r="L416" s="169"/>
      <c r="M416" s="169"/>
      <c r="N416" s="169"/>
      <c r="O416" s="166" t="s">
        <v>84</v>
      </c>
      <c r="P416" s="166" t="s">
        <v>223</v>
      </c>
      <c r="Q416" s="171" t="e">
        <v>#REF!</v>
      </c>
      <c r="R416" s="171" t="e">
        <v>#REF!</v>
      </c>
      <c r="S416" s="173"/>
      <c r="V416" s="26">
        <f>VLOOKUP(Table2[[#This Row],[Course]],Data!$A$1:$E$56,4,FALSE)</f>
        <v>30</v>
      </c>
      <c r="W416" s="26">
        <f>VLOOKUP(Table2[[#This Row],[Course]],Data!$A$1:$E$56,5,FALSE)</f>
        <v>4</v>
      </c>
      <c r="X416" s="26">
        <v>21</v>
      </c>
      <c r="Y416" s="296"/>
      <c r="Z416" s="296"/>
      <c r="AA416" s="26"/>
      <c r="AB416" s="170"/>
      <c r="AC416" s="26"/>
      <c r="AD416" s="26"/>
      <c r="AE416" s="167"/>
      <c r="AF416" s="167"/>
      <c r="AG416" s="190">
        <f ca="1">Table2[[#This Row],[End Date]]+2-TODAY()</f>
        <v>17</v>
      </c>
      <c r="AH416" s="26">
        <f>IF(ISBLANK(Table2[[#This Row],[Roster Received By]]),1,0)</f>
        <v>1</v>
      </c>
      <c r="AI416" s="167">
        <f ca="1">IF(Table2[[#This Row],[Start Date]]&gt;TODAY(),1,)</f>
        <v>1</v>
      </c>
    </row>
    <row r="417" spans="1:35" s="301" customFormat="1" x14ac:dyDescent="0.25">
      <c r="A417" s="299"/>
      <c r="B417" s="299" t="s">
        <v>38</v>
      </c>
      <c r="C417" s="308" t="str">
        <f>VLOOKUP(Table2[[#This Row],[Course]],Data!$A$1:$E$56,2,FALSE)</f>
        <v>A-493-0072</v>
      </c>
      <c r="D417" s="308" t="str">
        <f>VLOOKUP(Table2[[#This Row],[Course]],Data!$A$1:$E$56,3,FALSE)</f>
        <v>713U</v>
      </c>
      <c r="E417" s="309" t="s">
        <v>151</v>
      </c>
      <c r="F417" s="312">
        <v>45544</v>
      </c>
      <c r="G417" s="312">
        <v>45548</v>
      </c>
      <c r="H417" s="324">
        <v>0.33333333333333331</v>
      </c>
      <c r="I417" s="324"/>
      <c r="J417" s="312"/>
      <c r="K417" s="312"/>
      <c r="L417" s="312"/>
      <c r="M417" s="312"/>
      <c r="N417" s="312"/>
      <c r="O417" s="299" t="s">
        <v>90</v>
      </c>
      <c r="P417" s="299" t="s">
        <v>242</v>
      </c>
      <c r="Q417" s="171" t="e">
        <v>#REF!</v>
      </c>
      <c r="R417" s="171" t="e">
        <v>#REF!</v>
      </c>
      <c r="S417" s="173"/>
      <c r="T417" s="101"/>
      <c r="U417" s="101"/>
      <c r="V417" s="296">
        <f>VLOOKUP(Table2[[#This Row],[Course]],Data!$A$1:$E$56,4,FALSE)</f>
        <v>30</v>
      </c>
      <c r="W417" s="296">
        <v>5</v>
      </c>
      <c r="X417" s="296">
        <v>8</v>
      </c>
      <c r="Y417" s="296"/>
      <c r="Z417" s="296"/>
      <c r="AA417" s="296"/>
      <c r="AB417" s="298"/>
      <c r="AC417" s="296"/>
      <c r="AD417" s="296"/>
      <c r="AE417" s="308"/>
      <c r="AF417" s="308"/>
      <c r="AG417" s="318">
        <f ca="1">Table2[[#This Row],[End Date]]+2-TODAY()</f>
        <v>18</v>
      </c>
      <c r="AH417" s="296">
        <f>IF(ISBLANK(Table2[[#This Row],[Roster Received By]]),1,0)</f>
        <v>1</v>
      </c>
      <c r="AI417" s="308">
        <f ca="1">IF(Table2[[#This Row],[Start Date]]&gt;TODAY(),1,)</f>
        <v>1</v>
      </c>
    </row>
    <row r="418" spans="1:35" s="101" customFormat="1" x14ac:dyDescent="0.25">
      <c r="B418" s="166" t="s">
        <v>317</v>
      </c>
      <c r="C418" s="167" t="str">
        <f>VLOOKUP(Table2[[#This Row],[Course]],Data!$A$1:$E$56,2,FALSE)</f>
        <v>A-493-2098</v>
      </c>
      <c r="D418" s="167" t="str">
        <f>VLOOKUP(Table2[[#This Row],[Course]],Data!$A$1:$E$56,3,FALSE)</f>
        <v>09WW</v>
      </c>
      <c r="E418" s="263" t="s">
        <v>116</v>
      </c>
      <c r="F418" s="169">
        <v>45544</v>
      </c>
      <c r="G418" s="169">
        <v>45548</v>
      </c>
      <c r="H418" s="169"/>
      <c r="I418" s="168">
        <v>0.54166666666666663</v>
      </c>
      <c r="J418" s="168">
        <v>0.41666666666666669</v>
      </c>
      <c r="K418" s="168">
        <v>0.83333333333333337</v>
      </c>
      <c r="L418" s="168">
        <v>0.75</v>
      </c>
      <c r="M418" s="168">
        <v>0.29166666666666669</v>
      </c>
      <c r="N418" s="168">
        <v>8.3333333333333329E-2</v>
      </c>
      <c r="O418" s="166" t="s">
        <v>266</v>
      </c>
      <c r="P418" s="166"/>
      <c r="Q418" s="170" t="e">
        <v>#REF!</v>
      </c>
      <c r="R418" s="171" t="e">
        <v>#REF!</v>
      </c>
      <c r="S418" s="170"/>
      <c r="V418" s="26">
        <f>VLOOKUP(Table2[[#This Row],[Course]],Data!$A$1:$E$56,4,FALSE)</f>
        <v>100</v>
      </c>
      <c r="W418" s="26">
        <f>VLOOKUP(Table2[[#This Row],[Course]],Data!$A$1:$E$56,5,FALSE)</f>
        <v>5</v>
      </c>
      <c r="X418" s="26">
        <v>1257</v>
      </c>
      <c r="Y418" s="26"/>
      <c r="Z418" s="26"/>
      <c r="AA418" s="26"/>
      <c r="AB418" s="170"/>
      <c r="AC418" s="26"/>
      <c r="AD418" s="26"/>
      <c r="AE418" s="167"/>
      <c r="AF418" s="167"/>
      <c r="AG418" s="190">
        <f ca="1">Table2[[#This Row],[End Date]]+2-TODAY()</f>
        <v>18</v>
      </c>
      <c r="AH418" s="26">
        <f>IF(ISBLANK(Table2[[#This Row],[Roster Received By]]),1,0)</f>
        <v>1</v>
      </c>
      <c r="AI418" s="167">
        <f ca="1">IF(Table2[[#This Row],[Start Date]]&gt;TODAY(),1,)</f>
        <v>1</v>
      </c>
    </row>
    <row r="419" spans="1:35" s="101" customFormat="1" x14ac:dyDescent="0.25">
      <c r="A419" s="174"/>
      <c r="B419" s="279" t="s">
        <v>20</v>
      </c>
      <c r="C419" s="176" t="str">
        <f>VLOOKUP(Table2[[#This Row],[Course]],Data!$A$1:$E$56,2,FALSE)</f>
        <v xml:space="preserve">A-493-0075 </v>
      </c>
      <c r="D419" s="176" t="str">
        <f>VLOOKUP(Table2[[#This Row],[Course]],Data!$A$1:$E$56,3,FALSE)</f>
        <v>714U</v>
      </c>
      <c r="E419" s="227" t="s">
        <v>141</v>
      </c>
      <c r="F419" s="169">
        <v>45545</v>
      </c>
      <c r="G419" s="169">
        <v>45548</v>
      </c>
      <c r="H419" s="178"/>
      <c r="I419" s="178"/>
      <c r="J419" s="177"/>
      <c r="K419" s="177"/>
      <c r="L419" s="177"/>
      <c r="M419" s="177"/>
      <c r="N419" s="177"/>
      <c r="O419" s="175" t="s">
        <v>94</v>
      </c>
      <c r="P419" s="175"/>
      <c r="Q419" s="179"/>
      <c r="R419" s="180"/>
      <c r="S419" s="179"/>
      <c r="T419" s="174"/>
      <c r="U419" s="174"/>
      <c r="V419" s="179"/>
      <c r="W419" s="180"/>
      <c r="X419" s="180">
        <v>81</v>
      </c>
      <c r="Y419" s="180"/>
      <c r="Z419" s="180"/>
      <c r="AA419" s="179"/>
      <c r="AB419" s="179"/>
      <c r="AC419" s="181"/>
      <c r="AD419" s="181"/>
      <c r="AE419" s="181"/>
      <c r="AF419" s="174"/>
      <c r="AG419" s="182">
        <f ca="1">Table2[[#This Row],[End Date]]+2-TODAY()</f>
        <v>18</v>
      </c>
      <c r="AH419" s="181">
        <f>IF(ISBLANK(Table2[[#This Row],[Roster Received By]]),1,0)</f>
        <v>1</v>
      </c>
      <c r="AI419" s="181">
        <f ca="1">IF(Table2[[#This Row],[Start Date]]&gt;TODAY(),1,)</f>
        <v>1</v>
      </c>
    </row>
    <row r="420" spans="1:35" s="101" customFormat="1" x14ac:dyDescent="0.25">
      <c r="B420" s="278" t="s">
        <v>26</v>
      </c>
      <c r="C420" s="167" t="str">
        <f>VLOOKUP(Table2[[#This Row],[Course]],Data!$A$1:$E$56,2,FALSE)</f>
        <v>A-493-2301</v>
      </c>
      <c r="D420" s="167" t="str">
        <f>VLOOKUP(Table2[[#This Row],[Course]],Data!$A$1:$E$56,3,FALSE)</f>
        <v>05ZD</v>
      </c>
      <c r="E420" s="278" t="s">
        <v>108</v>
      </c>
      <c r="F420" s="281">
        <v>45545</v>
      </c>
      <c r="G420" s="281">
        <v>45545</v>
      </c>
      <c r="H420" s="172">
        <v>0.33333333333333331</v>
      </c>
      <c r="I420" s="193"/>
      <c r="J420" s="193"/>
      <c r="K420" s="193"/>
      <c r="L420" s="193"/>
      <c r="M420" s="193"/>
      <c r="N420" s="193"/>
      <c r="O420" s="166" t="s">
        <v>78</v>
      </c>
      <c r="P420" s="166"/>
      <c r="V420" s="26">
        <v>30</v>
      </c>
      <c r="W420" s="26">
        <v>1</v>
      </c>
      <c r="X420" s="26">
        <v>10</v>
      </c>
      <c r="Y420" s="26"/>
      <c r="Z420" s="26"/>
      <c r="AA420" s="170"/>
      <c r="AB420" s="194"/>
      <c r="AC420" s="194"/>
      <c r="AD420" s="194"/>
      <c r="AE420" s="194"/>
      <c r="AG420" s="194"/>
    </row>
    <row r="421" spans="1:35" s="101" customFormat="1" x14ac:dyDescent="0.25">
      <c r="A421" s="174"/>
      <c r="B421" s="278" t="s">
        <v>35</v>
      </c>
      <c r="C421" s="176" t="str">
        <f>VLOOKUP(Table2[[#This Row],[Course]],Data!$A$1:$E$56,2,FALSE)</f>
        <v>A-493-2501</v>
      </c>
      <c r="D421" s="176" t="str">
        <f>VLOOKUP(Table2[[#This Row],[Course]],Data!$A$1:$E$56,3,FALSE)</f>
        <v>05ZE</v>
      </c>
      <c r="E421" s="279" t="s">
        <v>108</v>
      </c>
      <c r="F421" s="282">
        <v>45546</v>
      </c>
      <c r="G421" s="282">
        <v>45546</v>
      </c>
      <c r="H421" s="172">
        <v>0.33333333333333331</v>
      </c>
      <c r="I421" s="178"/>
      <c r="J421" s="177"/>
      <c r="K421" s="177"/>
      <c r="L421" s="177"/>
      <c r="M421" s="177"/>
      <c r="N421" s="177"/>
      <c r="O421" s="175" t="s">
        <v>78</v>
      </c>
      <c r="P421" s="175"/>
      <c r="Q421" s="179"/>
      <c r="R421" s="180"/>
      <c r="S421" s="179"/>
      <c r="T421" s="174"/>
      <c r="U421" s="174"/>
      <c r="V421" s="179">
        <v>30</v>
      </c>
      <c r="W421" s="180">
        <v>1</v>
      </c>
      <c r="X421" s="180">
        <v>19</v>
      </c>
      <c r="Y421" s="180"/>
      <c r="Z421" s="180"/>
      <c r="AA421" s="179"/>
      <c r="AB421" s="179"/>
      <c r="AC421" s="181"/>
      <c r="AD421" s="181"/>
      <c r="AE421" s="176"/>
      <c r="AF421" s="176"/>
      <c r="AG421" s="192">
        <f ca="1">Table2[[#This Row],[End Date]]+2-TODAY()</f>
        <v>16</v>
      </c>
      <c r="AH421" s="181">
        <f>IF(ISBLANK(Table2[[#This Row],[Roster Received By]]),1,0)</f>
        <v>1</v>
      </c>
      <c r="AI421" s="176">
        <f ca="1">IF(Table2[[#This Row],[Start Date]]&gt;TODAY(),1,)</f>
        <v>1</v>
      </c>
    </row>
    <row r="422" spans="1:35" s="101" customFormat="1" x14ac:dyDescent="0.25">
      <c r="A422" s="250"/>
      <c r="B422" s="284" t="s">
        <v>24</v>
      </c>
      <c r="C422" s="252" t="str">
        <f>VLOOKUP(Table2[[#This Row],[Course]],Data!$A$1:$E$56,2,FALSE)</f>
        <v>A-493-0083</v>
      </c>
      <c r="D422" s="252" t="str">
        <f>VLOOKUP(Table2[[#This Row],[Course]],Data!$A$1:$E$56,3,FALSE)</f>
        <v>339E</v>
      </c>
      <c r="E422" s="335" t="s">
        <v>116</v>
      </c>
      <c r="F422" s="253">
        <v>45547</v>
      </c>
      <c r="G422" s="253">
        <v>45547</v>
      </c>
      <c r="H422" s="254"/>
      <c r="I422" s="246">
        <v>0.79166666666666663</v>
      </c>
      <c r="J422" s="246">
        <v>0.66666666666666663</v>
      </c>
      <c r="K422" s="246">
        <v>8.3333333333333329E-2</v>
      </c>
      <c r="L422" s="246">
        <v>0</v>
      </c>
      <c r="M422" s="246">
        <v>0.54166666666666663</v>
      </c>
      <c r="N422" s="246">
        <v>0.33333333333333331</v>
      </c>
      <c r="O422" s="247" t="s">
        <v>78</v>
      </c>
      <c r="P422" s="251"/>
      <c r="Q422" s="179"/>
      <c r="R422" s="180"/>
      <c r="S422" s="179"/>
      <c r="T422" s="174"/>
      <c r="U422" s="174"/>
      <c r="V422" s="255"/>
      <c r="W422" s="256"/>
      <c r="X422" s="256">
        <v>0</v>
      </c>
      <c r="Y422" s="248"/>
      <c r="Z422" s="248"/>
      <c r="AA422" s="255"/>
      <c r="AB422" s="255"/>
      <c r="AC422" s="257"/>
      <c r="AD422" s="257"/>
      <c r="AE422" s="252"/>
      <c r="AF422" s="252"/>
      <c r="AG422" s="258">
        <f ca="1">Table2[[#This Row],[End Date]]+2-TODAY()</f>
        <v>17</v>
      </c>
      <c r="AH422" s="257">
        <f>IF(ISBLANK(Table2[[#This Row],[Roster Received By]]),1,0)</f>
        <v>1</v>
      </c>
      <c r="AI422" s="252">
        <f ca="1">IF(Table2[[#This Row],[Start Date]]&gt;TODAY(),1,)</f>
        <v>1</v>
      </c>
    </row>
    <row r="423" spans="1:35" s="101" customFormat="1" x14ac:dyDescent="0.25">
      <c r="B423" s="278" t="s">
        <v>26</v>
      </c>
      <c r="C423" s="167" t="str">
        <f>VLOOKUP(Table2[[#This Row],[Course]],Data!$A$1:$E$56,2,FALSE)</f>
        <v>A-493-2301</v>
      </c>
      <c r="D423" s="167" t="str">
        <f>VLOOKUP(Table2[[#This Row],[Course]],Data!$A$1:$E$56,3,FALSE)</f>
        <v>05ZD</v>
      </c>
      <c r="E423" s="280" t="s">
        <v>101</v>
      </c>
      <c r="F423" s="281">
        <v>45547</v>
      </c>
      <c r="G423" s="281">
        <v>45547</v>
      </c>
      <c r="H423" s="172">
        <v>0.33333333333333331</v>
      </c>
      <c r="I423" s="172"/>
      <c r="J423" s="169"/>
      <c r="K423" s="169"/>
      <c r="L423" s="169"/>
      <c r="M423" s="169"/>
      <c r="N423" s="169"/>
      <c r="O423" s="166" t="s">
        <v>78</v>
      </c>
      <c r="P423" s="166"/>
      <c r="Q423" s="170" t="e">
        <v>#REF!</v>
      </c>
      <c r="R423" s="171" t="e">
        <v>#REF!</v>
      </c>
      <c r="S423" s="170"/>
      <c r="V423" s="26">
        <f>VLOOKUP(Table2[[#This Row],[Course]],Data!$A$1:$E$56,4,FALSE)</f>
        <v>30</v>
      </c>
      <c r="W423" s="26">
        <f>VLOOKUP(Table2[[#This Row],[Course]],Data!$A$1:$E$56,5,FALSE)</f>
        <v>1</v>
      </c>
      <c r="X423" s="26">
        <v>8</v>
      </c>
      <c r="Y423" s="26"/>
      <c r="Z423" s="26"/>
      <c r="AA423" s="26"/>
      <c r="AB423" s="170"/>
      <c r="AC423" s="26"/>
      <c r="AD423" s="26"/>
      <c r="AE423" s="26"/>
      <c r="AF423" s="100"/>
      <c r="AG423" s="110">
        <f ca="1">Table2[[#This Row],[End Date]]+2-TODAY()</f>
        <v>17</v>
      </c>
      <c r="AH423" s="26">
        <f>IF(ISBLANK(Table2[[#This Row],[Roster Received By]]),1,0)</f>
        <v>1</v>
      </c>
      <c r="AI423" s="26">
        <f ca="1">IF(Table2[[#This Row],[Start Date]]&gt;TODAY(),1,)</f>
        <v>1</v>
      </c>
    </row>
    <row r="424" spans="1:35" s="101" customFormat="1" x14ac:dyDescent="0.25">
      <c r="A424" s="174"/>
      <c r="B424" s="279" t="s">
        <v>35</v>
      </c>
      <c r="C424" s="176" t="str">
        <f>VLOOKUP(Table2[[#This Row],[Course]],Data!$A$1:$E$56,2,FALSE)</f>
        <v>A-493-2501</v>
      </c>
      <c r="D424" s="176" t="str">
        <f>VLOOKUP(Table2[[#This Row],[Course]],Data!$A$1:$E$56,3,FALSE)</f>
        <v>05ZE</v>
      </c>
      <c r="E424" s="279" t="s">
        <v>220</v>
      </c>
      <c r="F424" s="282">
        <v>45547</v>
      </c>
      <c r="G424" s="282">
        <v>45547</v>
      </c>
      <c r="H424" s="178">
        <v>0.33333333333333331</v>
      </c>
      <c r="I424" s="178"/>
      <c r="J424" s="177"/>
      <c r="K424" s="177"/>
      <c r="L424" s="177"/>
      <c r="M424" s="177"/>
      <c r="N424" s="177"/>
      <c r="O424" s="175" t="s">
        <v>78</v>
      </c>
      <c r="P424" s="175"/>
      <c r="Q424" s="179"/>
      <c r="R424" s="180"/>
      <c r="S424" s="179"/>
      <c r="T424" s="174"/>
      <c r="U424" s="174"/>
      <c r="V424" s="179">
        <v>30</v>
      </c>
      <c r="W424" s="180">
        <v>1</v>
      </c>
      <c r="X424" s="180">
        <v>46</v>
      </c>
      <c r="Y424" s="180"/>
      <c r="Z424" s="180"/>
      <c r="AA424" s="179"/>
      <c r="AB424" s="179"/>
      <c r="AC424" s="181"/>
      <c r="AD424" s="181"/>
      <c r="AE424" s="181"/>
      <c r="AF424" s="175"/>
      <c r="AG424" s="182">
        <f ca="1">Table2[[#This Row],[End Date]]+2-TODAY()</f>
        <v>17</v>
      </c>
      <c r="AH424" s="181">
        <f>IF(ISBLANK(Table2[[#This Row],[Roster Received By]]),1,0)</f>
        <v>1</v>
      </c>
      <c r="AI424" s="181">
        <f ca="1">IF(Table2[[#This Row],[Start Date]]&gt;TODAY(),1,)</f>
        <v>1</v>
      </c>
    </row>
    <row r="425" spans="1:35" s="101" customFormat="1" x14ac:dyDescent="0.25">
      <c r="A425" s="174"/>
      <c r="B425" s="279" t="s">
        <v>35</v>
      </c>
      <c r="C425" s="176" t="str">
        <f>VLOOKUP(Table2[[#This Row],[Course]],Data!$A$1:$E$56,2,FALSE)</f>
        <v>A-493-2501</v>
      </c>
      <c r="D425" s="176" t="str">
        <f>VLOOKUP(Table2[[#This Row],[Course]],Data!$A$1:$E$56,3,FALSE)</f>
        <v>05ZE</v>
      </c>
      <c r="E425" s="279" t="s">
        <v>316</v>
      </c>
      <c r="F425" s="282">
        <v>45547</v>
      </c>
      <c r="G425" s="282">
        <v>45547</v>
      </c>
      <c r="H425" s="178">
        <v>0.33333333333333331</v>
      </c>
      <c r="I425" s="178"/>
      <c r="J425" s="177"/>
      <c r="K425" s="177"/>
      <c r="L425" s="177"/>
      <c r="M425" s="177"/>
      <c r="N425" s="177"/>
      <c r="O425" s="175" t="s">
        <v>78</v>
      </c>
      <c r="P425" s="175"/>
      <c r="Q425" s="179"/>
      <c r="R425" s="180"/>
      <c r="S425" s="179"/>
      <c r="T425" s="174"/>
      <c r="U425" s="174"/>
      <c r="V425" s="179">
        <v>30</v>
      </c>
      <c r="W425" s="180">
        <v>1</v>
      </c>
      <c r="X425" s="180">
        <v>0</v>
      </c>
      <c r="Y425" s="180"/>
      <c r="Z425" s="180"/>
      <c r="AA425" s="179"/>
      <c r="AB425" s="179"/>
      <c r="AC425" s="181"/>
      <c r="AD425" s="181"/>
      <c r="AE425" s="181"/>
      <c r="AF425" s="175"/>
      <c r="AG425" s="182">
        <f ca="1">Table2[[#This Row],[End Date]]+2-TODAY()</f>
        <v>17</v>
      </c>
      <c r="AH425" s="181">
        <f>IF(ISBLANK(Table2[[#This Row],[Roster Received By]]),1,0)</f>
        <v>1</v>
      </c>
      <c r="AI425" s="181">
        <f ca="1">IF(Table2[[#This Row],[Start Date]]&gt;TODAY(),1,)</f>
        <v>1</v>
      </c>
    </row>
    <row r="426" spans="1:35" s="101" customFormat="1" x14ac:dyDescent="0.25">
      <c r="B426" s="278" t="s">
        <v>35</v>
      </c>
      <c r="C426" s="167" t="str">
        <f>VLOOKUP(Table2[[#This Row],[Course]],Data!$A$1:$E$56,2,FALSE)</f>
        <v>A-493-2501</v>
      </c>
      <c r="D426" s="167" t="str">
        <f>VLOOKUP(Table2[[#This Row],[Course]],Data!$A$1:$E$56,3,FALSE)</f>
        <v>05ZE</v>
      </c>
      <c r="E426" s="278" t="s">
        <v>101</v>
      </c>
      <c r="F426" s="281">
        <v>45548</v>
      </c>
      <c r="G426" s="281">
        <v>45548</v>
      </c>
      <c r="H426" s="172">
        <v>0.33333333333333331</v>
      </c>
      <c r="I426" s="172"/>
      <c r="J426" s="169"/>
      <c r="K426" s="169"/>
      <c r="L426" s="169"/>
      <c r="M426" s="169"/>
      <c r="N426" s="169"/>
      <c r="O426" s="166" t="s">
        <v>78</v>
      </c>
      <c r="P426" s="166"/>
      <c r="Q426" s="170" t="e">
        <v>#REF!</v>
      </c>
      <c r="R426" s="171" t="e">
        <v>#REF!</v>
      </c>
      <c r="S426" s="170"/>
      <c r="V426" s="26">
        <f>VLOOKUP(Table2[[#This Row],[Course]],Data!$A$1:$E$56,4,FALSE)</f>
        <v>30</v>
      </c>
      <c r="W426" s="26">
        <f>VLOOKUP(Table2[[#This Row],[Course]],Data!$A$1:$E$56,5,FALSE)</f>
        <v>1</v>
      </c>
      <c r="X426" s="26">
        <v>2</v>
      </c>
      <c r="Y426" s="26"/>
      <c r="Z426" s="26"/>
      <c r="AA426" s="26"/>
      <c r="AB426" s="170"/>
      <c r="AC426" s="26"/>
      <c r="AD426" s="26"/>
      <c r="AE426" s="167"/>
      <c r="AF426" s="167"/>
      <c r="AG426" s="190">
        <f ca="1">Table2[[#This Row],[End Date]]+2-TODAY()</f>
        <v>18</v>
      </c>
      <c r="AH426" s="26">
        <f>IF(ISBLANK(Table2[[#This Row],[Roster Received By]]),1,0)</f>
        <v>1</v>
      </c>
      <c r="AI426" s="167">
        <f ca="1">IF(Table2[[#This Row],[Start Date]]&gt;TODAY(),1,)</f>
        <v>1</v>
      </c>
    </row>
    <row r="427" spans="1:35" s="101" customFormat="1" x14ac:dyDescent="0.25">
      <c r="B427" s="278" t="s">
        <v>35</v>
      </c>
      <c r="C427" s="167" t="str">
        <f>VLOOKUP(Table2[[#This Row],[Course]],Data!$A$1:$E$56,2,FALSE)</f>
        <v>A-493-2501</v>
      </c>
      <c r="D427" s="167" t="str">
        <f>VLOOKUP(Table2[[#This Row],[Course]],Data!$A$1:$E$56,3,FALSE)</f>
        <v>05ZE</v>
      </c>
      <c r="E427" s="280" t="s">
        <v>109</v>
      </c>
      <c r="F427" s="281">
        <v>45548</v>
      </c>
      <c r="G427" s="281">
        <v>45548</v>
      </c>
      <c r="H427" s="172">
        <v>0.33333333333333331</v>
      </c>
      <c r="I427" s="172"/>
      <c r="J427" s="169"/>
      <c r="K427" s="169"/>
      <c r="L427" s="169"/>
      <c r="M427" s="169"/>
      <c r="N427" s="169"/>
      <c r="O427" s="166" t="s">
        <v>78</v>
      </c>
      <c r="P427" s="166"/>
      <c r="Q427" s="170" t="e">
        <v>#REF!</v>
      </c>
      <c r="R427" s="171" t="e">
        <v>#REF!</v>
      </c>
      <c r="S427" s="170"/>
      <c r="V427" s="26">
        <f>VLOOKUP(Table2[[#This Row],[Course]],Data!$A$1:$E$56,4,FALSE)</f>
        <v>30</v>
      </c>
      <c r="W427" s="26">
        <f>VLOOKUP(Table2[[#This Row],[Course]],Data!$A$1:$E$56,5,FALSE)</f>
        <v>1</v>
      </c>
      <c r="X427" s="26">
        <v>26</v>
      </c>
      <c r="Y427" s="26"/>
      <c r="Z427" s="26"/>
      <c r="AA427" s="26"/>
      <c r="AB427" s="170"/>
      <c r="AC427" s="26"/>
      <c r="AD427" s="26"/>
      <c r="AE427" s="167"/>
      <c r="AF427" s="167"/>
      <c r="AG427" s="190">
        <f ca="1">Table2[[#This Row],[End Date]]+2-TODAY()</f>
        <v>18</v>
      </c>
      <c r="AH427" s="26">
        <f>IF(ISBLANK(Table2[[#This Row],[Roster Received By]]),1,0)</f>
        <v>1</v>
      </c>
      <c r="AI427" s="167">
        <f ca="1">IF(Table2[[#This Row],[Start Date]]&gt;TODAY(),1,)</f>
        <v>1</v>
      </c>
    </row>
    <row r="428" spans="1:35" s="146" customFormat="1" x14ac:dyDescent="0.25">
      <c r="A428" s="250" t="s">
        <v>526</v>
      </c>
      <c r="B428" s="251" t="s">
        <v>38</v>
      </c>
      <c r="C428" s="252" t="str">
        <f>VLOOKUP(Table2[[#This Row],[Course]],Data!$A$1:$E$56,2,FALSE)</f>
        <v>A-493-0072</v>
      </c>
      <c r="D428" s="252" t="str">
        <f>VLOOKUP(Table2[[#This Row],[Course]],Data!$A$1:$E$56,3,FALSE)</f>
        <v>713U</v>
      </c>
      <c r="E428" s="259" t="s">
        <v>140</v>
      </c>
      <c r="F428" s="253">
        <v>45551</v>
      </c>
      <c r="G428" s="253">
        <v>45555</v>
      </c>
      <c r="H428" s="254">
        <v>800.33333333333337</v>
      </c>
      <c r="I428" s="254"/>
      <c r="J428" s="253"/>
      <c r="K428" s="253"/>
      <c r="L428" s="253"/>
      <c r="M428" s="253"/>
      <c r="N428" s="253"/>
      <c r="O428" s="247" t="s">
        <v>90</v>
      </c>
      <c r="P428" s="247" t="s">
        <v>198</v>
      </c>
      <c r="Q428" s="179"/>
      <c r="R428" s="180"/>
      <c r="S428" s="179"/>
      <c r="T428" s="174"/>
      <c r="U428" s="174"/>
      <c r="V428" s="255">
        <v>30</v>
      </c>
      <c r="W428" s="256">
        <v>5</v>
      </c>
      <c r="X428" s="256">
        <v>235</v>
      </c>
      <c r="Y428" s="256"/>
      <c r="Z428" s="256"/>
      <c r="AA428" s="255"/>
      <c r="AB428" s="255"/>
      <c r="AC428" s="257"/>
      <c r="AD428" s="257"/>
      <c r="AE428" s="252"/>
      <c r="AF428" s="252"/>
      <c r="AG428" s="258">
        <f ca="1">Table2[[#This Row],[End Date]]+2-TODAY()</f>
        <v>25</v>
      </c>
      <c r="AH428" s="257">
        <f>IF(ISBLANK(Table2[[#This Row],[Roster Received By]]),1,0)</f>
        <v>1</v>
      </c>
      <c r="AI428" s="252">
        <f ca="1">IF(Table2[[#This Row],[Start Date]]&gt;TODAY(),1,)</f>
        <v>1</v>
      </c>
    </row>
    <row r="429" spans="1:35" s="101" customFormat="1" x14ac:dyDescent="0.25">
      <c r="A429" s="166"/>
      <c r="B429" s="166" t="s">
        <v>236</v>
      </c>
      <c r="C429" s="167" t="str">
        <f>VLOOKUP(Table2[[#This Row],[Course]],Data!$A$1:$E$56,2,FALSE)</f>
        <v>A-493-0103</v>
      </c>
      <c r="D429" s="167" t="str">
        <f>VLOOKUP(Table2[[#This Row],[Course]],Data!$A$1:$E$56,3,FALSE)</f>
        <v>12JY</v>
      </c>
      <c r="E429" s="166" t="s">
        <v>109</v>
      </c>
      <c r="F429" s="169">
        <v>45551</v>
      </c>
      <c r="G429" s="169">
        <v>45555</v>
      </c>
      <c r="H429" s="172">
        <v>0.33333333333333331</v>
      </c>
      <c r="I429" s="172"/>
      <c r="J429" s="169"/>
      <c r="K429" s="169"/>
      <c r="L429" s="169"/>
      <c r="M429" s="169"/>
      <c r="N429" s="169"/>
      <c r="O429" s="166" t="s">
        <v>94</v>
      </c>
      <c r="P429" s="166"/>
      <c r="Q429" s="171" t="e">
        <v>#REF!</v>
      </c>
      <c r="R429" s="171" t="e">
        <v>#REF!</v>
      </c>
      <c r="S429" s="173"/>
      <c r="V429" s="26">
        <f>VLOOKUP(Table2[[#This Row],[Course]],Data!$A$1:$E$56,4,FALSE)</f>
        <v>25</v>
      </c>
      <c r="W429" s="26">
        <f>VLOOKUP(Table2[[#This Row],[Course]],Data!$A$1:$E$56,5,FALSE)</f>
        <v>5</v>
      </c>
      <c r="X429" s="26">
        <v>152</v>
      </c>
      <c r="Y429" s="26"/>
      <c r="Z429" s="26"/>
      <c r="AA429" s="26"/>
      <c r="AB429" s="170"/>
      <c r="AC429" s="26"/>
      <c r="AD429" s="26"/>
      <c r="AE429" s="167"/>
      <c r="AF429" s="167"/>
      <c r="AG429" s="190">
        <f ca="1">Table2[[#This Row],[End Date]]+2-TODAY()</f>
        <v>25</v>
      </c>
      <c r="AH429" s="26">
        <f>IF(ISBLANK(Table2[[#This Row],[Roster Received By]]),1,0)</f>
        <v>1</v>
      </c>
      <c r="AI429" s="167">
        <f ca="1">IF(Table2[[#This Row],[Start Date]]&gt;TODAY(),1,)</f>
        <v>1</v>
      </c>
    </row>
    <row r="430" spans="1:35" s="101" customFormat="1" x14ac:dyDescent="0.25">
      <c r="B430" s="166" t="s">
        <v>14</v>
      </c>
      <c r="C430" s="167" t="str">
        <f>VLOOKUP(Table2[[#This Row],[Course]],Data!$A$1:$E$56,2,FALSE)</f>
        <v>A-493-0030</v>
      </c>
      <c r="D430" s="167" t="str">
        <f>VLOOKUP(Table2[[#This Row],[Course]],Data!$A$1:$E$56,3,FALSE)</f>
        <v>286X</v>
      </c>
      <c r="E430" s="166" t="s">
        <v>111</v>
      </c>
      <c r="F430" s="169">
        <v>45551</v>
      </c>
      <c r="G430" s="169">
        <v>45555</v>
      </c>
      <c r="H430" s="172">
        <v>0.33333333333333331</v>
      </c>
      <c r="I430" s="172"/>
      <c r="J430" s="169"/>
      <c r="K430" s="169"/>
      <c r="L430" s="169"/>
      <c r="M430" s="169"/>
      <c r="N430" s="169"/>
      <c r="O430" s="101" t="s">
        <v>95</v>
      </c>
      <c r="P430" s="166"/>
      <c r="Q430" s="171" t="e">
        <v>#REF!</v>
      </c>
      <c r="R430" s="171" t="e">
        <v>#REF!</v>
      </c>
      <c r="S430" s="173"/>
      <c r="V430" s="26">
        <f>VLOOKUP(Table2[[#This Row],[Course]],Data!$A$1:$E$56,4,FALSE)</f>
        <v>25</v>
      </c>
      <c r="W430" s="26">
        <f>VLOOKUP(Table2[[#This Row],[Course]],Data!$A$1:$E$56,5,FALSE)</f>
        <v>5</v>
      </c>
      <c r="X430" s="26">
        <v>17</v>
      </c>
      <c r="Y430" s="26"/>
      <c r="Z430" s="26"/>
      <c r="AA430" s="26"/>
      <c r="AB430" s="170"/>
      <c r="AC430" s="26"/>
      <c r="AD430" s="26"/>
      <c r="AE430" s="167"/>
      <c r="AF430" s="167"/>
      <c r="AG430" s="190">
        <f ca="1">Table2[[#This Row],[End Date]]+2-TODAY()</f>
        <v>25</v>
      </c>
      <c r="AH430" s="26">
        <f>IF(ISBLANK(Table2[[#This Row],[Roster Received By]]),1,0)</f>
        <v>1</v>
      </c>
      <c r="AI430" s="167">
        <f ca="1">IF(Table2[[#This Row],[Start Date]]&gt;TODAY(),1,)</f>
        <v>1</v>
      </c>
    </row>
    <row r="431" spans="1:35" s="101" customFormat="1" x14ac:dyDescent="0.25">
      <c r="A431" s="174" t="s">
        <v>505</v>
      </c>
      <c r="B431" s="279" t="s">
        <v>17</v>
      </c>
      <c r="C431" s="176" t="str">
        <f>VLOOKUP(Table2[[#This Row],[Course]],Data!$A$1:$E$56,2,FALSE)</f>
        <v>A-493-0012</v>
      </c>
      <c r="D431" s="176">
        <f>VLOOKUP(Table2[[#This Row],[Course]],Data!$A$1:$E$56,3,FALSE)</f>
        <v>3682</v>
      </c>
      <c r="E431" s="279" t="s">
        <v>309</v>
      </c>
      <c r="F431" s="177">
        <v>45551</v>
      </c>
      <c r="G431" s="177">
        <v>45555</v>
      </c>
      <c r="H431" s="172">
        <v>0.33333333333333331</v>
      </c>
      <c r="I431" s="178"/>
      <c r="J431" s="177"/>
      <c r="K431" s="177"/>
      <c r="L431" s="177"/>
      <c r="M431" s="177"/>
      <c r="N431" s="177"/>
      <c r="O431" s="175" t="s">
        <v>78</v>
      </c>
      <c r="P431" s="175"/>
      <c r="Q431" s="179"/>
      <c r="R431" s="180"/>
      <c r="S431" s="179"/>
      <c r="T431" s="174"/>
      <c r="U431" s="174"/>
      <c r="V431" s="179">
        <v>40</v>
      </c>
      <c r="W431" s="180">
        <v>5</v>
      </c>
      <c r="X431" s="180">
        <v>0</v>
      </c>
      <c r="Y431" s="180"/>
      <c r="Z431" s="180"/>
      <c r="AA431" s="179"/>
      <c r="AB431" s="179"/>
      <c r="AC431" s="181"/>
      <c r="AD431" s="181"/>
      <c r="AE431" s="181"/>
      <c r="AF431" s="175"/>
      <c r="AG431" s="182">
        <f ca="1">Table2[[#This Row],[End Date]]+2-TODAY()</f>
        <v>25</v>
      </c>
      <c r="AH431" s="181">
        <f>IF(ISBLANK(Table2[[#This Row],[Roster Received By]]),1,0)</f>
        <v>1</v>
      </c>
      <c r="AI431" s="181">
        <f ca="1">IF(Table2[[#This Row],[Start Date]]&gt;TODAY(),1,)</f>
        <v>1</v>
      </c>
    </row>
    <row r="432" spans="1:35" s="101" customFormat="1" x14ac:dyDescent="0.25">
      <c r="B432" s="278" t="s">
        <v>26</v>
      </c>
      <c r="C432" s="167" t="str">
        <f>VLOOKUP(Table2[[#This Row],[Course]],Data!$A$1:$E$56,2,FALSE)</f>
        <v>A-493-2301</v>
      </c>
      <c r="D432" s="167" t="str">
        <f>VLOOKUP(Table2[[#This Row],[Course]],Data!$A$1:$E$56,3,FALSE)</f>
        <v>05ZD</v>
      </c>
      <c r="E432" s="280" t="s">
        <v>146</v>
      </c>
      <c r="F432" s="281">
        <v>45551</v>
      </c>
      <c r="G432" s="281">
        <v>45551</v>
      </c>
      <c r="H432" s="172">
        <v>0.33333333333333331</v>
      </c>
      <c r="I432" s="172"/>
      <c r="J432" s="169"/>
      <c r="K432" s="169"/>
      <c r="L432" s="169"/>
      <c r="M432" s="169"/>
      <c r="N432" s="169"/>
      <c r="O432" s="166" t="s">
        <v>78</v>
      </c>
      <c r="P432" s="166"/>
      <c r="Q432" s="170" t="e">
        <v>#REF!</v>
      </c>
      <c r="R432" s="171" t="e">
        <v>#REF!</v>
      </c>
      <c r="S432" s="170"/>
      <c r="V432" s="26">
        <f>VLOOKUP(Table2[[#This Row],[Course]],Data!$A$1:$E$56,4,FALSE)</f>
        <v>30</v>
      </c>
      <c r="W432" s="26">
        <f>VLOOKUP(Table2[[#This Row],[Course]],Data!$A$1:$E$56,5,FALSE)</f>
        <v>1</v>
      </c>
      <c r="X432" s="26">
        <v>19</v>
      </c>
      <c r="Y432" s="26"/>
      <c r="Z432" s="26"/>
      <c r="AA432" s="26"/>
      <c r="AB432" s="170"/>
      <c r="AC432" s="26"/>
      <c r="AD432" s="26"/>
      <c r="AE432" s="167"/>
      <c r="AF432" s="167"/>
      <c r="AG432" s="190">
        <f ca="1">Table2[[#This Row],[End Date]]+2-TODAY()</f>
        <v>21</v>
      </c>
      <c r="AH432" s="26">
        <f>IF(ISBLANK(Table2[[#This Row],[Roster Received By]]),1,0)</f>
        <v>1</v>
      </c>
      <c r="AI432" s="167">
        <f ca="1">IF(Table2[[#This Row],[Start Date]]&gt;TODAY(),1,)</f>
        <v>1</v>
      </c>
    </row>
    <row r="433" spans="1:35" s="101" customFormat="1" x14ac:dyDescent="0.25">
      <c r="A433" s="146" t="s">
        <v>493</v>
      </c>
      <c r="B433" s="100" t="s">
        <v>339</v>
      </c>
      <c r="C433" s="147" t="str">
        <f>VLOOKUP(Table2[[#This Row],[Course]],Data!$A$1:$E$56,2,FALSE)</f>
        <v>NA</v>
      </c>
      <c r="D433" s="147" t="str">
        <f>VLOOKUP(Table2[[#This Row],[Course]],Data!$A$1:$E$56,3,FALSE)</f>
        <v>NA</v>
      </c>
      <c r="E433" s="100" t="s">
        <v>140</v>
      </c>
      <c r="F433" s="149">
        <v>45551</v>
      </c>
      <c r="G433" s="149">
        <v>45551</v>
      </c>
      <c r="H433" s="151">
        <v>0.375</v>
      </c>
      <c r="I433" s="151"/>
      <c r="J433" s="149"/>
      <c r="K433" s="149"/>
      <c r="L433" s="149"/>
      <c r="M433" s="149"/>
      <c r="N433" s="149"/>
      <c r="O433" s="100"/>
      <c r="P433" s="100"/>
      <c r="Q433" s="155" t="e">
        <v>#REF!</v>
      </c>
      <c r="R433" s="152" t="e">
        <v>#REF!</v>
      </c>
      <c r="S433" s="153">
        <v>0</v>
      </c>
      <c r="T433" s="146">
        <v>0</v>
      </c>
      <c r="U433" s="146">
        <v>0</v>
      </c>
      <c r="V433" s="154">
        <f>VLOOKUP(Table2[[#This Row],[Course]],Data!$A$1:$E$56,4,FALSE)</f>
        <v>0</v>
      </c>
      <c r="W433" s="154">
        <f>VLOOKUP(Table2[[#This Row],[Course]],Data!$A$1:$E$56,5,FALSE)</f>
        <v>0</v>
      </c>
      <c r="X433" s="154">
        <v>0</v>
      </c>
      <c r="Y433" s="154">
        <v>0</v>
      </c>
      <c r="Z433" s="154">
        <v>0</v>
      </c>
      <c r="AA433" s="154">
        <v>0</v>
      </c>
      <c r="AB433" s="155">
        <v>0</v>
      </c>
      <c r="AC433" s="154">
        <v>0</v>
      </c>
      <c r="AD433" s="154">
        <v>0</v>
      </c>
      <c r="AE433" s="154">
        <v>0</v>
      </c>
      <c r="AF433" s="100" t="s">
        <v>194</v>
      </c>
      <c r="AG433" s="226">
        <f ca="1">Table2[[#This Row],[End Date]]+2-TODAY()</f>
        <v>21</v>
      </c>
      <c r="AH433" s="154">
        <f>IF(ISBLANK(Table2[[#This Row],[Roster Received By]]),1,0)</f>
        <v>0</v>
      </c>
      <c r="AI433" s="147">
        <f ca="1">IF(Table2[[#This Row],[Start Date]]&gt;TODAY(),1,)</f>
        <v>1</v>
      </c>
    </row>
    <row r="434" spans="1:35" s="101" customFormat="1" x14ac:dyDescent="0.25">
      <c r="B434" s="166" t="s">
        <v>303</v>
      </c>
      <c r="C434" s="167" t="str">
        <f>VLOOKUP(Table2[[#This Row],[Course]],Data!$A$1:$E$56,2,FALSE)</f>
        <v>A-570-0100</v>
      </c>
      <c r="D434" s="167" t="str">
        <f>VLOOKUP(Table2[[#This Row],[Course]],Data!$A$1:$E$56,3,FALSE)</f>
        <v>18B7</v>
      </c>
      <c r="E434" s="278" t="s">
        <v>116</v>
      </c>
      <c r="F434" s="281">
        <v>45551</v>
      </c>
      <c r="G434" s="281">
        <v>45554</v>
      </c>
      <c r="H434" s="232"/>
      <c r="I434" s="168">
        <v>0.54166666666666663</v>
      </c>
      <c r="J434" s="168">
        <v>0.41666666666666669</v>
      </c>
      <c r="K434" s="168">
        <v>0.83333333333333337</v>
      </c>
      <c r="L434" s="168">
        <v>0.75</v>
      </c>
      <c r="M434" s="168">
        <v>0.29166666666666669</v>
      </c>
      <c r="N434" s="168">
        <v>8.3333333333333329E-2</v>
      </c>
      <c r="O434" s="166" t="s">
        <v>89</v>
      </c>
      <c r="P434" s="166"/>
      <c r="Q434" s="170" t="e">
        <v>#REF!</v>
      </c>
      <c r="R434" s="171" t="e">
        <v>#REF!</v>
      </c>
      <c r="S434" s="170"/>
      <c r="V434" s="26">
        <f>VLOOKUP(Table2[[#This Row],[Course]],Data!$A$1:$E$56,4,FALSE)</f>
        <v>30</v>
      </c>
      <c r="W434" s="26">
        <f>VLOOKUP(Table2[[#This Row],[Course]],Data!$A$1:$E$56,5,FALSE)</f>
        <v>4</v>
      </c>
      <c r="X434" s="154">
        <v>459</v>
      </c>
      <c r="Y434" s="296"/>
      <c r="Z434" s="296"/>
      <c r="AA434" s="26"/>
      <c r="AB434" s="170"/>
      <c r="AC434" s="26"/>
      <c r="AD434" s="26"/>
      <c r="AE434" s="167"/>
      <c r="AF434" s="167"/>
      <c r="AG434" s="190">
        <f ca="1">Table2[[#This Row],[End Date]]+2-TODAY()</f>
        <v>24</v>
      </c>
      <c r="AH434" s="26">
        <f>IF(ISBLANK(Table2[[#This Row],[Roster Received By]]),1,0)</f>
        <v>1</v>
      </c>
      <c r="AI434" s="167">
        <f ca="1">IF(Table2[[#This Row],[Start Date]]&gt;TODAY(),1,)</f>
        <v>1</v>
      </c>
    </row>
    <row r="435" spans="1:35" s="101" customFormat="1" x14ac:dyDescent="0.25">
      <c r="A435" s="174" t="s">
        <v>502</v>
      </c>
      <c r="B435" s="175" t="s">
        <v>310</v>
      </c>
      <c r="C435" s="176" t="str">
        <f>VLOOKUP(Table2[[#This Row],[Course]],Data!$A$1:$E$56,2,FALSE)</f>
        <v>A-4J-0019</v>
      </c>
      <c r="D435" s="176" t="str">
        <f>VLOOKUP(Table2[[#This Row],[Course]],Data!$A$1:$E$56,3,FALSE)</f>
        <v>28SL/285M</v>
      </c>
      <c r="E435" s="175" t="s">
        <v>340</v>
      </c>
      <c r="F435" s="177">
        <v>45551</v>
      </c>
      <c r="G435" s="177">
        <v>45555</v>
      </c>
      <c r="H435" s="172">
        <v>0.33333333333333331</v>
      </c>
      <c r="I435" s="178"/>
      <c r="J435" s="177"/>
      <c r="K435" s="177"/>
      <c r="L435" s="177"/>
      <c r="M435" s="177"/>
      <c r="N435" s="177"/>
      <c r="O435" s="175" t="s">
        <v>259</v>
      </c>
      <c r="P435" s="175" t="s">
        <v>273</v>
      </c>
      <c r="Q435" s="179"/>
      <c r="R435" s="180"/>
      <c r="S435" s="179"/>
      <c r="T435" s="174"/>
      <c r="U435" s="174"/>
      <c r="V435" s="179"/>
      <c r="W435" s="180"/>
      <c r="X435" s="180">
        <v>0</v>
      </c>
      <c r="Y435" s="180"/>
      <c r="Z435" s="180"/>
      <c r="AA435" s="179"/>
      <c r="AB435" s="179"/>
      <c r="AC435" s="181"/>
      <c r="AD435" s="181"/>
      <c r="AE435" s="176"/>
      <c r="AF435" s="176"/>
      <c r="AG435" s="192">
        <f ca="1">Table2[[#This Row],[End Date]]+2-TODAY()</f>
        <v>25</v>
      </c>
      <c r="AH435" s="181">
        <f>IF(ISBLANK(Table2[[#This Row],[Roster Received By]]),1,0)</f>
        <v>1</v>
      </c>
      <c r="AI435" s="176">
        <f ca="1">IF(Table2[[#This Row],[Start Date]]&gt;TODAY(),1,)</f>
        <v>1</v>
      </c>
    </row>
    <row r="436" spans="1:35" s="101" customFormat="1" x14ac:dyDescent="0.25">
      <c r="A436" s="250" t="s">
        <v>527</v>
      </c>
      <c r="B436" s="251" t="s">
        <v>38</v>
      </c>
      <c r="C436" s="252" t="str">
        <f>VLOOKUP(Table2[[#This Row],[Course]],Data!$A$1:$E$56,2,FALSE)</f>
        <v>A-493-0072</v>
      </c>
      <c r="D436" s="252" t="str">
        <f>VLOOKUP(Table2[[#This Row],[Course]],Data!$A$1:$E$56,3,FALSE)</f>
        <v>713U</v>
      </c>
      <c r="E436" s="251" t="s">
        <v>364</v>
      </c>
      <c r="F436" s="253">
        <v>45552</v>
      </c>
      <c r="G436" s="253">
        <v>45555</v>
      </c>
      <c r="H436" s="260" t="s">
        <v>453</v>
      </c>
      <c r="I436" s="254"/>
      <c r="J436" s="253"/>
      <c r="K436" s="253"/>
      <c r="L436" s="253"/>
      <c r="M436" s="253"/>
      <c r="N436" s="253"/>
      <c r="O436" s="251" t="s">
        <v>242</v>
      </c>
      <c r="P436" s="251" t="s">
        <v>231</v>
      </c>
      <c r="Q436" s="179"/>
      <c r="R436" s="180"/>
      <c r="S436" s="179"/>
      <c r="T436" s="174"/>
      <c r="U436" s="174"/>
      <c r="V436" s="255">
        <v>30</v>
      </c>
      <c r="W436" s="256">
        <v>4</v>
      </c>
      <c r="X436" s="256">
        <v>0</v>
      </c>
      <c r="Y436" s="256"/>
      <c r="Z436" s="256"/>
      <c r="AA436" s="255"/>
      <c r="AB436" s="255"/>
      <c r="AC436" s="257"/>
      <c r="AD436" s="257"/>
      <c r="AE436" s="252"/>
      <c r="AF436" s="252"/>
      <c r="AG436" s="258">
        <f ca="1">Table2[[#This Row],[End Date]]+2-TODAY()</f>
        <v>25</v>
      </c>
      <c r="AH436" s="257">
        <f>IF(ISBLANK(Table2[[#This Row],[Roster Received By]]),1,0)</f>
        <v>1</v>
      </c>
      <c r="AI436" s="252">
        <f ca="1">IF(Table2[[#This Row],[Start Date]]&gt;TODAY(),1,)</f>
        <v>1</v>
      </c>
    </row>
    <row r="437" spans="1:35" s="101" customFormat="1" x14ac:dyDescent="0.25">
      <c r="A437" s="166"/>
      <c r="B437" s="278" t="s">
        <v>20</v>
      </c>
      <c r="C437" s="167" t="str">
        <f>VLOOKUP(Table2[[#This Row],[Course]],Data!$A$1:$E$56,2,FALSE)</f>
        <v xml:space="preserve">A-493-0075 </v>
      </c>
      <c r="D437" s="167" t="str">
        <f>VLOOKUP(Table2[[#This Row],[Course]],Data!$A$1:$E$56,3,FALSE)</f>
        <v>714U</v>
      </c>
      <c r="E437" s="278" t="s">
        <v>155</v>
      </c>
      <c r="F437" s="169">
        <v>45552</v>
      </c>
      <c r="G437" s="169">
        <v>45555</v>
      </c>
      <c r="H437" s="172">
        <v>0.33333333333333331</v>
      </c>
      <c r="I437" s="172"/>
      <c r="J437" s="169"/>
      <c r="K437" s="169"/>
      <c r="L437" s="169"/>
      <c r="M437" s="169"/>
      <c r="N437" s="169"/>
      <c r="O437" s="166" t="s">
        <v>94</v>
      </c>
      <c r="P437" s="166"/>
      <c r="Q437" s="171" t="e">
        <v>#REF!</v>
      </c>
      <c r="R437" s="171" t="e">
        <v>#REF!</v>
      </c>
      <c r="S437" s="171"/>
      <c r="V437" s="26">
        <f>VLOOKUP(Table2[[#This Row],[Course]],Data!$A$1:$E$56,4,FALSE)</f>
        <v>30</v>
      </c>
      <c r="W437" s="26">
        <f>VLOOKUP(Table2[[#This Row],[Course]],Data!$A$1:$E$56,5,FALSE)</f>
        <v>4</v>
      </c>
      <c r="X437" s="26">
        <v>101</v>
      </c>
      <c r="Y437" s="26"/>
      <c r="Z437" s="26"/>
      <c r="AA437" s="26"/>
      <c r="AB437" s="170"/>
      <c r="AC437" s="26"/>
      <c r="AD437" s="26"/>
      <c r="AE437" s="167"/>
      <c r="AF437" s="167"/>
      <c r="AG437" s="190">
        <f ca="1">Table2[[#This Row],[End Date]]+2-TODAY()</f>
        <v>25</v>
      </c>
      <c r="AH437" s="26">
        <f>IF(ISBLANK(Table2[[#This Row],[Roster Received By]]),1,0)</f>
        <v>1</v>
      </c>
      <c r="AI437" s="167">
        <f ca="1">IF(Table2[[#This Row],[Start Date]]&gt;TODAY(),1,)</f>
        <v>1</v>
      </c>
    </row>
    <row r="438" spans="1:35" s="101" customFormat="1" x14ac:dyDescent="0.25">
      <c r="B438" s="278" t="s">
        <v>270</v>
      </c>
      <c r="C438" s="167" t="str">
        <f>VLOOKUP(Table2[[#This Row],[Course]],Data!$A$1:$E$56,2,FALSE)</f>
        <v>A-493-0331</v>
      </c>
      <c r="D438" s="167" t="str">
        <f>VLOOKUP(Table2[[#This Row],[Course]],Data!$A$1:$E$56,3,FALSE)</f>
        <v>10UG</v>
      </c>
      <c r="E438" s="166" t="s">
        <v>116</v>
      </c>
      <c r="F438" s="169">
        <v>45552</v>
      </c>
      <c r="G438" s="169">
        <v>45554</v>
      </c>
      <c r="H438" s="169"/>
      <c r="I438" s="168">
        <v>0.5</v>
      </c>
      <c r="J438" s="168">
        <v>0.375</v>
      </c>
      <c r="K438" s="168">
        <v>0.79166666666666663</v>
      </c>
      <c r="L438" s="168">
        <v>0.70833333333333337</v>
      </c>
      <c r="M438" s="168">
        <v>0.25</v>
      </c>
      <c r="N438" s="168">
        <v>4.1666666666666664E-2</v>
      </c>
      <c r="O438" s="166" t="s">
        <v>84</v>
      </c>
      <c r="P438" s="166"/>
      <c r="Q438" s="171" t="e">
        <v>#REF!</v>
      </c>
      <c r="R438" s="171" t="e">
        <v>#REF!</v>
      </c>
      <c r="S438" s="173"/>
      <c r="V438" s="26">
        <f>VLOOKUP(Table2[[#This Row],[Course]],Data!$A$1:$E$56,4,FALSE)</f>
        <v>40</v>
      </c>
      <c r="W438" s="26">
        <f>VLOOKUP(Table2[[#This Row],[Course]],Data!$A$1:$E$56,5,FALSE)</f>
        <v>3</v>
      </c>
      <c r="X438" s="154">
        <v>709</v>
      </c>
      <c r="Y438" s="296"/>
      <c r="Z438" s="296"/>
      <c r="AA438" s="26"/>
      <c r="AB438" s="170"/>
      <c r="AC438" s="26"/>
      <c r="AD438" s="26"/>
      <c r="AE438" s="167"/>
      <c r="AF438" s="167"/>
      <c r="AG438" s="190">
        <f ca="1">Table2[[#This Row],[End Date]]+2-TODAY()</f>
        <v>24</v>
      </c>
      <c r="AH438" s="26">
        <f>IF(ISBLANK(Table2[[#This Row],[Roster Received By]]),1,0)</f>
        <v>1</v>
      </c>
      <c r="AI438" s="167">
        <f ca="1">IF(Table2[[#This Row],[Start Date]]&gt;TODAY(),1,)</f>
        <v>1</v>
      </c>
    </row>
    <row r="439" spans="1:35" s="101" customFormat="1" x14ac:dyDescent="0.25">
      <c r="B439" s="278" t="s">
        <v>35</v>
      </c>
      <c r="C439" s="167" t="str">
        <f>VLOOKUP(Table2[[#This Row],[Course]],Data!$A$1:$E$56,2,FALSE)</f>
        <v>A-493-2501</v>
      </c>
      <c r="D439" s="167" t="str">
        <f>VLOOKUP(Table2[[#This Row],[Course]],Data!$A$1:$E$56,3,FALSE)</f>
        <v>05ZE</v>
      </c>
      <c r="E439" s="280" t="s">
        <v>146</v>
      </c>
      <c r="F439" s="169">
        <v>45552</v>
      </c>
      <c r="G439" s="169">
        <v>45552</v>
      </c>
      <c r="H439" s="172">
        <v>0.33333333333333331</v>
      </c>
      <c r="I439" s="172"/>
      <c r="J439" s="169"/>
      <c r="K439" s="169"/>
      <c r="L439" s="169"/>
      <c r="M439" s="169"/>
      <c r="N439" s="169"/>
      <c r="O439" s="166" t="s">
        <v>78</v>
      </c>
      <c r="P439" s="166"/>
      <c r="Q439" s="170" t="e">
        <v>#REF!</v>
      </c>
      <c r="R439" s="171" t="e">
        <v>#REF!</v>
      </c>
      <c r="S439" s="170"/>
      <c r="V439" s="26">
        <f>VLOOKUP(Table2[[#This Row],[Course]],Data!$A$1:$E$56,4,FALSE)</f>
        <v>30</v>
      </c>
      <c r="W439" s="26">
        <f>VLOOKUP(Table2[[#This Row],[Course]],Data!$A$1:$E$56,5,FALSE)</f>
        <v>1</v>
      </c>
      <c r="X439" s="26">
        <v>0</v>
      </c>
      <c r="Y439" s="26"/>
      <c r="Z439" s="26"/>
      <c r="AA439" s="26"/>
      <c r="AB439" s="170"/>
      <c r="AC439" s="26"/>
      <c r="AD439" s="26"/>
      <c r="AE439" s="167"/>
      <c r="AF439" s="167"/>
      <c r="AG439" s="190">
        <f ca="1">Table2[[#This Row],[End Date]]+2-TODAY()</f>
        <v>22</v>
      </c>
      <c r="AH439" s="26">
        <f>IF(ISBLANK(Table2[[#This Row],[Roster Received By]]),1,0)</f>
        <v>1</v>
      </c>
      <c r="AI439" s="167">
        <f ca="1">IF(Table2[[#This Row],[Start Date]]&gt;TODAY(),1,)</f>
        <v>1</v>
      </c>
    </row>
    <row r="440" spans="1:35" s="301" customFormat="1" x14ac:dyDescent="0.25">
      <c r="A440" s="301" t="s">
        <v>528</v>
      </c>
      <c r="B440" s="307" t="s">
        <v>18</v>
      </c>
      <c r="C440" s="308" t="str">
        <f>VLOOKUP(Table2[[#This Row],[Course]],Data!$A$1:$E$56,2,FALSE)</f>
        <v>A-493-0013</v>
      </c>
      <c r="D440" s="308">
        <f>VLOOKUP(Table2[[#This Row],[Course]],Data!$A$1:$E$56,3,FALSE)</f>
        <v>3683</v>
      </c>
      <c r="E440" s="313" t="s">
        <v>147</v>
      </c>
      <c r="F440" s="312">
        <v>45553</v>
      </c>
      <c r="G440" s="312">
        <v>45555</v>
      </c>
      <c r="H440" s="311">
        <v>0.33333333333333331</v>
      </c>
      <c r="I440" s="311"/>
      <c r="J440" s="312"/>
      <c r="K440" s="312"/>
      <c r="L440" s="312"/>
      <c r="M440" s="312"/>
      <c r="N440" s="312"/>
      <c r="O440" s="299" t="s">
        <v>78</v>
      </c>
      <c r="P440" s="299"/>
      <c r="Q440" s="170" t="e">
        <v>#REF!</v>
      </c>
      <c r="R440" s="171" t="e">
        <v>#REF!</v>
      </c>
      <c r="S440" s="170"/>
      <c r="T440" s="101"/>
      <c r="U440" s="101"/>
      <c r="V440" s="296">
        <f>VLOOKUP(Table2[[#This Row],[Course]],Data!$A$1:$E$56,4,FALSE)</f>
        <v>40</v>
      </c>
      <c r="W440" s="296">
        <v>3</v>
      </c>
      <c r="X440" s="296">
        <v>21</v>
      </c>
      <c r="Y440" s="296"/>
      <c r="Z440" s="296"/>
      <c r="AA440" s="296"/>
      <c r="AB440" s="298"/>
      <c r="AC440" s="296"/>
      <c r="AD440" s="296"/>
      <c r="AE440" s="296"/>
      <c r="AF440" s="299"/>
      <c r="AG440" s="300">
        <f ca="1">Table2[[#This Row],[End Date]]+2-TODAY()</f>
        <v>25</v>
      </c>
      <c r="AH440" s="296">
        <f>IF(ISBLANK(Table2[[#This Row],[Roster Received By]]),1,0)</f>
        <v>1</v>
      </c>
      <c r="AI440" s="296">
        <f ca="1">IF(Table2[[#This Row],[Start Date]]&gt;TODAY(),1,)</f>
        <v>1</v>
      </c>
    </row>
    <row r="441" spans="1:35" s="301" customFormat="1" x14ac:dyDescent="0.25">
      <c r="B441" s="307" t="s">
        <v>26</v>
      </c>
      <c r="C441" s="308" t="str">
        <f>VLOOKUP(Table2[[#This Row],[Course]],Data!$A$1:$E$56,2,FALSE)</f>
        <v>A-493-2301</v>
      </c>
      <c r="D441" s="308" t="str">
        <f>VLOOKUP(Table2[[#This Row],[Course]],Data!$A$1:$E$56,3,FALSE)</f>
        <v>05ZD</v>
      </c>
      <c r="E441" s="307" t="s">
        <v>121</v>
      </c>
      <c r="F441" s="310">
        <v>45553</v>
      </c>
      <c r="G441" s="310">
        <v>45553</v>
      </c>
      <c r="H441" s="311">
        <v>0.33333333333333331</v>
      </c>
      <c r="I441" s="311"/>
      <c r="J441" s="312"/>
      <c r="K441" s="312"/>
      <c r="L441" s="312"/>
      <c r="M441" s="312"/>
      <c r="N441" s="312"/>
      <c r="O441" s="299" t="s">
        <v>78</v>
      </c>
      <c r="P441" s="299"/>
      <c r="Q441" s="170" t="e">
        <v>#REF!</v>
      </c>
      <c r="R441" s="171" t="e">
        <v>#REF!</v>
      </c>
      <c r="S441" s="170"/>
      <c r="T441" s="101"/>
      <c r="U441" s="101"/>
      <c r="V441" s="296">
        <f>VLOOKUP(Table2[[#This Row],[Course]],Data!$A$1:$E$56,4,FALSE)</f>
        <v>30</v>
      </c>
      <c r="W441" s="296">
        <f>VLOOKUP(Table2[[#This Row],[Course]],Data!$A$1:$E$56,5,FALSE)</f>
        <v>1</v>
      </c>
      <c r="X441" s="296">
        <v>10</v>
      </c>
      <c r="Y441" s="296"/>
      <c r="Z441" s="296"/>
      <c r="AA441" s="296"/>
      <c r="AB441" s="298"/>
      <c r="AC441" s="296"/>
      <c r="AD441" s="296"/>
      <c r="AE441" s="296"/>
      <c r="AF441" s="271"/>
      <c r="AG441" s="300">
        <f ca="1">Table2[[#This Row],[End Date]]+2-TODAY()</f>
        <v>23</v>
      </c>
      <c r="AH441" s="296">
        <f>IF(ISBLANK(Table2[[#This Row],[Roster Received By]]),1,0)</f>
        <v>1</v>
      </c>
      <c r="AI441" s="296">
        <f ca="1">IF(Table2[[#This Row],[Start Date]]&gt;TODAY(),1,)</f>
        <v>1</v>
      </c>
    </row>
    <row r="442" spans="1:35" s="301" customFormat="1" x14ac:dyDescent="0.25">
      <c r="A442" s="250"/>
      <c r="B442" s="383" t="s">
        <v>24</v>
      </c>
      <c r="C442" s="252" t="str">
        <f>VLOOKUP(Table2[[#This Row],[Course]],Data!$A$1:$E$56,2,FALSE)</f>
        <v>A-493-0083</v>
      </c>
      <c r="D442" s="252" t="str">
        <f>VLOOKUP(Table2[[#This Row],[Course]],Data!$A$1:$E$56,3,FALSE)</f>
        <v>339E</v>
      </c>
      <c r="E442" s="265" t="s">
        <v>116</v>
      </c>
      <c r="F442" s="253">
        <v>45554</v>
      </c>
      <c r="G442" s="253">
        <v>45554</v>
      </c>
      <c r="H442" s="254"/>
      <c r="I442" s="246">
        <v>0.45833333333333331</v>
      </c>
      <c r="J442" s="246">
        <v>0.33333333333333331</v>
      </c>
      <c r="K442" s="246">
        <v>0.75</v>
      </c>
      <c r="L442" s="246">
        <v>0.66666666666666663</v>
      </c>
      <c r="M442" s="246">
        <v>0.20833333333333334</v>
      </c>
      <c r="N442" s="246">
        <v>0</v>
      </c>
      <c r="O442" s="247" t="s">
        <v>78</v>
      </c>
      <c r="P442" s="251"/>
      <c r="Q442" s="179"/>
      <c r="R442" s="180"/>
      <c r="S442" s="179"/>
      <c r="T442" s="174"/>
      <c r="U442" s="174"/>
      <c r="V442" s="255"/>
      <c r="W442" s="256"/>
      <c r="X442" s="256">
        <v>0</v>
      </c>
      <c r="Y442" s="248"/>
      <c r="Z442" s="248"/>
      <c r="AA442" s="255"/>
      <c r="AB442" s="255"/>
      <c r="AC442" s="257"/>
      <c r="AD442" s="257"/>
      <c r="AE442" s="252"/>
      <c r="AF442" s="252"/>
      <c r="AG442" s="258">
        <f ca="1">Table2[[#This Row],[End Date]]+2-TODAY()</f>
        <v>24</v>
      </c>
      <c r="AH442" s="257">
        <f>IF(ISBLANK(Table2[[#This Row],[Roster Received By]]),1,0)</f>
        <v>1</v>
      </c>
      <c r="AI442" s="252">
        <f ca="1">IF(Table2[[#This Row],[Start Date]]&gt;TODAY(),1,)</f>
        <v>1</v>
      </c>
    </row>
    <row r="443" spans="1:35" s="301" customFormat="1" x14ac:dyDescent="0.25">
      <c r="A443" s="314"/>
      <c r="B443" s="320" t="s">
        <v>35</v>
      </c>
      <c r="C443" s="315" t="str">
        <f>VLOOKUP(Table2[[#This Row],[Course]],Data!$A$1:$E$56,2,FALSE)</f>
        <v>A-493-2501</v>
      </c>
      <c r="D443" s="315" t="str">
        <f>VLOOKUP(Table2[[#This Row],[Course]],Data!$A$1:$E$56,3,FALSE)</f>
        <v>05ZE</v>
      </c>
      <c r="E443" s="322" t="s">
        <v>121</v>
      </c>
      <c r="F443" s="316">
        <v>45554</v>
      </c>
      <c r="G443" s="316">
        <v>45554</v>
      </c>
      <c r="H443" s="311">
        <v>0.33333333333333331</v>
      </c>
      <c r="I443" s="317"/>
      <c r="J443" s="316"/>
      <c r="K443" s="316"/>
      <c r="L443" s="316"/>
      <c r="M443" s="316"/>
      <c r="N443" s="316"/>
      <c r="O443" s="305" t="s">
        <v>78</v>
      </c>
      <c r="P443" s="305"/>
      <c r="Q443" s="179"/>
      <c r="R443" s="180"/>
      <c r="S443" s="179"/>
      <c r="T443" s="174"/>
      <c r="U443" s="174"/>
      <c r="V443" s="303">
        <v>30</v>
      </c>
      <c r="W443" s="297">
        <v>1</v>
      </c>
      <c r="X443" s="297">
        <v>20</v>
      </c>
      <c r="Y443" s="297"/>
      <c r="Z443" s="297"/>
      <c r="AA443" s="303"/>
      <c r="AB443" s="303"/>
      <c r="AC443" s="304"/>
      <c r="AD443" s="304"/>
      <c r="AE443" s="315"/>
      <c r="AF443" s="315"/>
      <c r="AG443" s="319">
        <f ca="1">Table2[[#This Row],[End Date]]+2-TODAY()</f>
        <v>24</v>
      </c>
      <c r="AH443" s="304">
        <f>IF(ISBLANK(Table2[[#This Row],[Roster Received By]]),1,0)</f>
        <v>1</v>
      </c>
      <c r="AI443" s="315">
        <f ca="1">IF(Table2[[#This Row],[Start Date]]&gt;TODAY(),1,)</f>
        <v>1</v>
      </c>
    </row>
    <row r="444" spans="1:35" s="301" customFormat="1" x14ac:dyDescent="0.25">
      <c r="A444" s="250" t="s">
        <v>526</v>
      </c>
      <c r="B444" s="384" t="s">
        <v>38</v>
      </c>
      <c r="C444" s="252" t="str">
        <f>VLOOKUP(Table2[[#This Row],[Course]],Data!$A$1:$E$56,2,FALSE)</f>
        <v>A-493-0072</v>
      </c>
      <c r="D444" s="252" t="str">
        <f>VLOOKUP(Table2[[#This Row],[Course]],Data!$A$1:$E$56,3,FALSE)</f>
        <v>713U</v>
      </c>
      <c r="E444" s="251" t="s">
        <v>140</v>
      </c>
      <c r="F444" s="253">
        <v>45558</v>
      </c>
      <c r="G444" s="253">
        <v>45562</v>
      </c>
      <c r="H444" s="260">
        <v>800</v>
      </c>
      <c r="I444" s="254"/>
      <c r="J444" s="253"/>
      <c r="K444" s="253"/>
      <c r="L444" s="253"/>
      <c r="M444" s="253"/>
      <c r="N444" s="253"/>
      <c r="O444" s="251" t="s">
        <v>90</v>
      </c>
      <c r="P444" s="251" t="s">
        <v>198</v>
      </c>
      <c r="Q444" s="179"/>
      <c r="R444" s="180"/>
      <c r="S444" s="179"/>
      <c r="T444" s="174"/>
      <c r="U444" s="174"/>
      <c r="V444" s="255"/>
      <c r="W444" s="256">
        <v>5</v>
      </c>
      <c r="X444" s="256">
        <v>235</v>
      </c>
      <c r="Y444" s="248"/>
      <c r="Z444" s="248"/>
      <c r="AA444" s="255"/>
      <c r="AB444" s="255"/>
      <c r="AC444" s="257"/>
      <c r="AD444" s="257"/>
      <c r="AE444" s="252"/>
      <c r="AF444" s="252"/>
      <c r="AG444" s="258">
        <f ca="1">Table2[[#This Row],[End Date]]+2-TODAY()</f>
        <v>32</v>
      </c>
      <c r="AH444" s="257">
        <f>IF(ISBLANK(Table2[[#This Row],[Roster Received By]]),1,0)</f>
        <v>1</v>
      </c>
      <c r="AI444" s="252">
        <f ca="1">IF(Table2[[#This Row],[Start Date]]&gt;TODAY(),1,)</f>
        <v>1</v>
      </c>
    </row>
    <row r="445" spans="1:35" s="301" customFormat="1" x14ac:dyDescent="0.25">
      <c r="B445" s="307" t="s">
        <v>184</v>
      </c>
      <c r="C445" s="308" t="str">
        <f>VLOOKUP(Table2[[#This Row],[Course]],Data!$A$1:$E$56,2,FALSE)</f>
        <v>A-4J-0022</v>
      </c>
      <c r="D445" s="308" t="str">
        <f>VLOOKUP(Table2[[#This Row],[Course]],Data!$A$1:$E$56,3,FALSE)</f>
        <v>09ER</v>
      </c>
      <c r="E445" s="299" t="s">
        <v>116</v>
      </c>
      <c r="F445" s="323">
        <v>45558</v>
      </c>
      <c r="G445" s="312">
        <v>45562</v>
      </c>
      <c r="H445" s="312"/>
      <c r="I445" s="321">
        <v>0.54166666666666663</v>
      </c>
      <c r="J445" s="321">
        <v>0.41666666666666669</v>
      </c>
      <c r="K445" s="321">
        <v>0.83333333333333337</v>
      </c>
      <c r="L445" s="321">
        <v>0.75</v>
      </c>
      <c r="M445" s="321">
        <v>0.29166666666666669</v>
      </c>
      <c r="N445" s="321">
        <v>8.3333333333333329E-2</v>
      </c>
      <c r="O445" s="301" t="s">
        <v>89</v>
      </c>
      <c r="Q445" s="170" t="e">
        <v>#REF!</v>
      </c>
      <c r="R445" s="171" t="e">
        <v>#REF!</v>
      </c>
      <c r="S445" s="170"/>
      <c r="T445" s="101"/>
      <c r="U445" s="101"/>
      <c r="V445" s="296">
        <f>VLOOKUP(Table2[[#This Row],[Course]],Data!$A$1:$E$56,4,FALSE)</f>
        <v>45</v>
      </c>
      <c r="W445" s="296">
        <f>VLOOKUP(Table2[[#This Row],[Course]],Data!$A$1:$E$56,5,FALSE)</f>
        <v>5</v>
      </c>
      <c r="X445" s="296">
        <v>282</v>
      </c>
      <c r="Y445" s="296"/>
      <c r="Z445" s="296"/>
      <c r="AA445" s="296"/>
      <c r="AB445" s="298"/>
      <c r="AC445" s="296"/>
      <c r="AD445" s="296"/>
      <c r="AE445" s="308"/>
      <c r="AF445" s="308"/>
      <c r="AG445" s="318">
        <f ca="1">Table2[[#This Row],[End Date]]+2-TODAY()</f>
        <v>32</v>
      </c>
      <c r="AH445" s="296">
        <f>IF(ISBLANK(Table2[[#This Row],[Roster Received By]]),1,0)</f>
        <v>1</v>
      </c>
      <c r="AI445" s="308">
        <f ca="1">IF(Table2[[#This Row],[Start Date]]&gt;TODAY(),1,)</f>
        <v>1</v>
      </c>
    </row>
    <row r="446" spans="1:35" s="301" customFormat="1" x14ac:dyDescent="0.25">
      <c r="A446" s="299"/>
      <c r="B446" s="320" t="s">
        <v>236</v>
      </c>
      <c r="C446" s="308" t="str">
        <f>VLOOKUP(Table2[[#This Row],[Course]],Data!$A$1:$E$56,2,FALSE)</f>
        <v>A-493-0103</v>
      </c>
      <c r="D446" s="308" t="str">
        <f>VLOOKUP(Table2[[#This Row],[Course]],Data!$A$1:$E$56,3,FALSE)</f>
        <v>12JY</v>
      </c>
      <c r="E446" s="299" t="s">
        <v>141</v>
      </c>
      <c r="F446" s="312">
        <v>45558</v>
      </c>
      <c r="G446" s="312">
        <v>45562</v>
      </c>
      <c r="H446" s="311">
        <v>0.33333333333333331</v>
      </c>
      <c r="I446" s="311"/>
      <c r="J446" s="312"/>
      <c r="K446" s="312"/>
      <c r="L446" s="312"/>
      <c r="M446" s="312"/>
      <c r="N446" s="312"/>
      <c r="O446" s="299" t="s">
        <v>94</v>
      </c>
      <c r="P446" s="299"/>
      <c r="Q446" s="171" t="e">
        <v>#REF!</v>
      </c>
      <c r="R446" s="171" t="e">
        <v>#REF!</v>
      </c>
      <c r="S446" s="171"/>
      <c r="T446" s="101"/>
      <c r="U446" s="101"/>
      <c r="V446" s="296">
        <f>VLOOKUP(Table2[[#This Row],[Course]],Data!$A$1:$E$56,4,FALSE)</f>
        <v>25</v>
      </c>
      <c r="W446" s="296">
        <f>VLOOKUP(Table2[[#This Row],[Course]],Data!$A$1:$E$56,5,FALSE)</f>
        <v>5</v>
      </c>
      <c r="X446" s="296">
        <v>388</v>
      </c>
      <c r="Y446" s="296"/>
      <c r="Z446" s="296"/>
      <c r="AA446" s="296"/>
      <c r="AB446" s="298"/>
      <c r="AC446" s="296"/>
      <c r="AD446" s="296"/>
      <c r="AE446" s="308"/>
      <c r="AF446" s="308"/>
      <c r="AG446" s="318">
        <f ca="1">Table2[[#This Row],[End Date]]+2-TODAY()</f>
        <v>32</v>
      </c>
      <c r="AH446" s="296">
        <f>IF(ISBLANK(Table2[[#This Row],[Roster Received By]]),1,0)</f>
        <v>1</v>
      </c>
      <c r="AI446" s="308">
        <f ca="1">IF(Table2[[#This Row],[Start Date]]&gt;TODAY(),1,)</f>
        <v>1</v>
      </c>
    </row>
    <row r="447" spans="1:35" s="301" customFormat="1" x14ac:dyDescent="0.25">
      <c r="A447" s="314"/>
      <c r="B447" s="322" t="s">
        <v>15</v>
      </c>
      <c r="C447" s="315" t="str">
        <f>VLOOKUP(Table2[[#This Row],[Course]],Data!$A$1:$E$56,2,FALSE)</f>
        <v>A-493-0021</v>
      </c>
      <c r="D447" s="315" t="str">
        <f>VLOOKUP(Table2[[#This Row],[Course]],Data!$A$1:$E$56,3,FALSE)</f>
        <v>18BN</v>
      </c>
      <c r="E447" s="322" t="s">
        <v>140</v>
      </c>
      <c r="F447" s="316">
        <v>45558</v>
      </c>
      <c r="G447" s="316">
        <v>45562</v>
      </c>
      <c r="H447" s="311">
        <v>0.33333333333333331</v>
      </c>
      <c r="I447" s="317"/>
      <c r="J447" s="316"/>
      <c r="K447" s="316"/>
      <c r="L447" s="316"/>
      <c r="M447" s="316"/>
      <c r="N447" s="316"/>
      <c r="O447" s="305" t="s">
        <v>94</v>
      </c>
      <c r="P447" s="305"/>
      <c r="Q447" s="179"/>
      <c r="R447" s="180"/>
      <c r="S447" s="179"/>
      <c r="T447" s="174"/>
      <c r="U447" s="174"/>
      <c r="V447" s="303">
        <v>35</v>
      </c>
      <c r="W447" s="297">
        <v>5</v>
      </c>
      <c r="X447" s="297">
        <v>48</v>
      </c>
      <c r="Y447" s="297"/>
      <c r="Z447" s="297"/>
      <c r="AA447" s="303"/>
      <c r="AB447" s="303"/>
      <c r="AC447" s="304"/>
      <c r="AD447" s="304"/>
      <c r="AE447" s="315"/>
      <c r="AF447" s="315"/>
      <c r="AG447" s="319">
        <f ca="1">Table2[[#This Row],[End Date]]+2-TODAY()</f>
        <v>32</v>
      </c>
      <c r="AH447" s="304">
        <f>IF(ISBLANK(Table2[[#This Row],[Roster Received By]]),1,0)</f>
        <v>1</v>
      </c>
      <c r="AI447" s="315">
        <f ca="1">IF(Table2[[#This Row],[Start Date]]&gt;TODAY(),1,)</f>
        <v>1</v>
      </c>
    </row>
    <row r="448" spans="1:35" s="301" customFormat="1" x14ac:dyDescent="0.25">
      <c r="A448" s="101"/>
      <c r="B448" s="196" t="s">
        <v>243</v>
      </c>
      <c r="C448" s="167" t="str">
        <f>VLOOKUP(Table2[[#This Row],[Course]],Data!$A$1:$E$56,2,FALSE)</f>
        <v>A-493-0061</v>
      </c>
      <c r="D448" s="167" t="str">
        <f>VLOOKUP(Table2[[#This Row],[Course]],Data!$A$1:$E$56,3,FALSE)</f>
        <v>288E</v>
      </c>
      <c r="E448" s="278" t="s">
        <v>116</v>
      </c>
      <c r="F448" s="169">
        <v>45558</v>
      </c>
      <c r="G448" s="169">
        <v>45562</v>
      </c>
      <c r="H448" s="169"/>
      <c r="I448" s="168">
        <v>0.33333333333333331</v>
      </c>
      <c r="J448" s="168">
        <v>0.20833333333333334</v>
      </c>
      <c r="K448" s="168">
        <v>0.625</v>
      </c>
      <c r="L448" s="168">
        <v>0.54166666666666663</v>
      </c>
      <c r="M448" s="168">
        <v>8.3333333333333329E-2</v>
      </c>
      <c r="N448" s="168">
        <v>0.875</v>
      </c>
      <c r="O448" s="166" t="s">
        <v>92</v>
      </c>
      <c r="P448" s="166"/>
      <c r="Q448" s="171" t="e">
        <v>#REF!</v>
      </c>
      <c r="R448" s="171" t="e">
        <v>#REF!</v>
      </c>
      <c r="S448" s="173"/>
      <c r="T448" s="101"/>
      <c r="U448" s="101"/>
      <c r="V448" s="26">
        <f>VLOOKUP(Table2[[#This Row],[Course]],Data!$A$1:$E$56,4,FALSE)</f>
        <v>45</v>
      </c>
      <c r="W448" s="26">
        <f>VLOOKUP(Table2[[#This Row],[Course]],Data!$A$1:$E$56,5,FALSE)</f>
        <v>5</v>
      </c>
      <c r="X448" s="26">
        <v>480</v>
      </c>
      <c r="Y448" s="296"/>
      <c r="Z448" s="296"/>
      <c r="AA448" s="26"/>
      <c r="AB448" s="170"/>
      <c r="AC448" s="26"/>
      <c r="AD448" s="26"/>
      <c r="AE448" s="167"/>
      <c r="AF448" s="167"/>
      <c r="AG448" s="190">
        <f ca="1">Table2[[#This Row],[End Date]]+2-TODAY()</f>
        <v>32</v>
      </c>
      <c r="AH448" s="26">
        <f>IF(ISBLANK(Table2[[#This Row],[Roster Received By]]),1,0)</f>
        <v>1</v>
      </c>
      <c r="AI448" s="167">
        <f ca="1">IF(Table2[[#This Row],[Start Date]]&gt;TODAY(),1,)</f>
        <v>1</v>
      </c>
    </row>
    <row r="449" spans="1:35" s="301" customFormat="1" x14ac:dyDescent="0.25">
      <c r="B449" s="307" t="s">
        <v>249</v>
      </c>
      <c r="C449" s="308" t="str">
        <f>VLOOKUP(Table2[[#This Row],[Course]],Data!$A$1:$E$56,2,FALSE)</f>
        <v>A-322-2604</v>
      </c>
      <c r="D449" s="308" t="str">
        <f>VLOOKUP(Table2[[#This Row],[Course]],Data!$A$1:$E$56,3,FALSE)</f>
        <v>10ZZ</v>
      </c>
      <c r="E449" s="307" t="s">
        <v>116</v>
      </c>
      <c r="F449" s="310">
        <v>45558</v>
      </c>
      <c r="G449" s="310">
        <v>45562</v>
      </c>
      <c r="H449" s="312"/>
      <c r="I449" s="321">
        <v>0.54166666666666663</v>
      </c>
      <c r="J449" s="321">
        <v>0.41666666666666669</v>
      </c>
      <c r="K449" s="321">
        <v>0.83333333333333337</v>
      </c>
      <c r="L449" s="321">
        <v>0.75</v>
      </c>
      <c r="M449" s="321">
        <v>0.29166666666666669</v>
      </c>
      <c r="N449" s="321">
        <v>8.3333333333333329E-2</v>
      </c>
      <c r="O449" s="299" t="s">
        <v>269</v>
      </c>
      <c r="P449" s="299"/>
      <c r="Q449" s="170" t="e">
        <v>#REF!</v>
      </c>
      <c r="R449" s="171" t="e">
        <v>#REF!</v>
      </c>
      <c r="S449" s="170"/>
      <c r="T449" s="101"/>
      <c r="U449" s="101"/>
      <c r="V449" s="296">
        <f>VLOOKUP(Table2[[#This Row],[Course]],Data!$A$1:$E$56,4,FALSE)</f>
        <v>45</v>
      </c>
      <c r="W449" s="296">
        <f>VLOOKUP(Table2[[#This Row],[Course]],Data!$A$1:$E$56,5,FALSE)</f>
        <v>5</v>
      </c>
      <c r="X449" s="275">
        <v>653</v>
      </c>
      <c r="Y449" s="296"/>
      <c r="Z449" s="296"/>
      <c r="AA449" s="296"/>
      <c r="AB449" s="298"/>
      <c r="AC449" s="296"/>
      <c r="AD449" s="296"/>
      <c r="AE449" s="308"/>
      <c r="AF449" s="308"/>
      <c r="AG449" s="318">
        <f ca="1">Table2[[#This Row],[End Date]]+2-TODAY()</f>
        <v>32</v>
      </c>
      <c r="AH449" s="296">
        <f>IF(ISBLANK(Table2[[#This Row],[Roster Received By]]),1,0)</f>
        <v>1</v>
      </c>
      <c r="AI449" s="308">
        <f ca="1">IF(Table2[[#This Row],[Start Date]]&gt;TODAY(),1,)</f>
        <v>1</v>
      </c>
    </row>
    <row r="450" spans="1:35" s="301" customFormat="1" x14ac:dyDescent="0.25">
      <c r="B450" s="307" t="s">
        <v>26</v>
      </c>
      <c r="C450" s="308" t="str">
        <f>VLOOKUP(Table2[[#This Row],[Course]],Data!$A$1:$E$56,2,FALSE)</f>
        <v>A-493-2301</v>
      </c>
      <c r="D450" s="308" t="str">
        <f>VLOOKUP(Table2[[#This Row],[Course]],Data!$A$1:$E$56,3,FALSE)</f>
        <v>05ZD</v>
      </c>
      <c r="E450" s="307" t="s">
        <v>139</v>
      </c>
      <c r="F450" s="310">
        <v>45558</v>
      </c>
      <c r="G450" s="310">
        <v>45558</v>
      </c>
      <c r="H450" s="311">
        <v>0.33333333333333331</v>
      </c>
      <c r="I450" s="311"/>
      <c r="J450" s="312"/>
      <c r="K450" s="312"/>
      <c r="L450" s="312"/>
      <c r="M450" s="312"/>
      <c r="N450" s="312"/>
      <c r="O450" s="299" t="s">
        <v>78</v>
      </c>
      <c r="P450" s="299"/>
      <c r="Q450" s="170" t="e">
        <v>#REF!</v>
      </c>
      <c r="R450" s="171" t="e">
        <v>#REF!</v>
      </c>
      <c r="S450" s="170"/>
      <c r="T450" s="101"/>
      <c r="U450" s="101"/>
      <c r="V450" s="296">
        <f>VLOOKUP(Table2[[#This Row],[Course]],Data!$A$1:$E$56,4,FALSE)</f>
        <v>30</v>
      </c>
      <c r="W450" s="296">
        <f>VLOOKUP(Table2[[#This Row],[Course]],Data!$A$1:$E$56,5,FALSE)</f>
        <v>1</v>
      </c>
      <c r="X450" s="296">
        <v>11</v>
      </c>
      <c r="Y450" s="296"/>
      <c r="Z450" s="296"/>
      <c r="AA450" s="296"/>
      <c r="AB450" s="298"/>
      <c r="AC450" s="296"/>
      <c r="AD450" s="296"/>
      <c r="AE450" s="296"/>
      <c r="AF450" s="299"/>
      <c r="AG450" s="300">
        <f ca="1">Table2[[#This Row],[End Date]]+2-TODAY()</f>
        <v>28</v>
      </c>
      <c r="AH450" s="296">
        <f>IF(ISBLANK(Table2[[#This Row],[Roster Received By]]),1,0)</f>
        <v>1</v>
      </c>
      <c r="AI450" s="296">
        <f ca="1">IF(Table2[[#This Row],[Start Date]]&gt;TODAY(),1,)</f>
        <v>1</v>
      </c>
    </row>
    <row r="451" spans="1:35" s="301" customFormat="1" x14ac:dyDescent="0.25">
      <c r="A451" s="166"/>
      <c r="B451" s="278" t="s">
        <v>274</v>
      </c>
      <c r="C451" s="167" t="str">
        <f>VLOOKUP(Table2[[#This Row],[Course]],Data!$A$1:$E$56,2,FALSE)</f>
        <v>A-493-0335</v>
      </c>
      <c r="D451" s="167" t="str">
        <f>VLOOKUP(Table2[[#This Row],[Course]],Data!$A$1:$E$56,3,FALSE)</f>
        <v>09ND</v>
      </c>
      <c r="E451" s="166" t="s">
        <v>116</v>
      </c>
      <c r="F451" s="283">
        <v>45558</v>
      </c>
      <c r="G451" s="283">
        <v>45561</v>
      </c>
      <c r="H451" s="108"/>
      <c r="I451" s="168">
        <v>0.75</v>
      </c>
      <c r="J451" s="168">
        <v>0.625</v>
      </c>
      <c r="K451" s="168">
        <v>4.1666666666666664E-2</v>
      </c>
      <c r="L451" s="168">
        <v>0.95833333333333337</v>
      </c>
      <c r="M451" s="168">
        <v>0.5</v>
      </c>
      <c r="N451" s="168">
        <v>0.29166666666666669</v>
      </c>
      <c r="O451" s="166" t="s">
        <v>84</v>
      </c>
      <c r="P451" s="166"/>
      <c r="Q451" s="171" t="e">
        <v>#REF!</v>
      </c>
      <c r="R451" s="171" t="e">
        <v>#REF!</v>
      </c>
      <c r="S451" s="173"/>
      <c r="T451" s="101"/>
      <c r="U451" s="101"/>
      <c r="V451" s="26">
        <f>VLOOKUP(Table2[[#This Row],[Course]],Data!$A$1:$E$56,4,FALSE)</f>
        <v>30</v>
      </c>
      <c r="W451" s="26">
        <f>VLOOKUP(Table2[[#This Row],[Course]],Data!$A$1:$E$56,5,FALSE)</f>
        <v>4</v>
      </c>
      <c r="X451" s="26">
        <v>77</v>
      </c>
      <c r="Y451" s="26"/>
      <c r="Z451" s="26"/>
      <c r="AA451" s="26"/>
      <c r="AB451" s="170"/>
      <c r="AC451" s="26"/>
      <c r="AD451" s="26"/>
      <c r="AE451" s="167"/>
      <c r="AF451" s="167"/>
      <c r="AG451" s="190">
        <f ca="1">Table2[[#This Row],[End Date]]+2-TODAY()</f>
        <v>31</v>
      </c>
      <c r="AH451" s="26">
        <f>IF(ISBLANK(Table2[[#This Row],[Roster Received By]]),1,0)</f>
        <v>1</v>
      </c>
      <c r="AI451" s="167">
        <f ca="1">IF(Table2[[#This Row],[Start Date]]&gt;TODAY(),1,)</f>
        <v>1</v>
      </c>
    </row>
    <row r="452" spans="1:35" s="301" customFormat="1" x14ac:dyDescent="0.25">
      <c r="B452" s="307" t="s">
        <v>281</v>
      </c>
      <c r="C452" s="308" t="str">
        <f>VLOOKUP(Table2[[#This Row],[Course]],Data!$A$1:$E$56,2,FALSE)</f>
        <v>A-493-0550</v>
      </c>
      <c r="D452" s="308" t="str">
        <f>VLOOKUP(Table2[[#This Row],[Course]],Data!$A$1:$E$56,3,FALSE)</f>
        <v>09K5</v>
      </c>
      <c r="E452" s="307" t="s">
        <v>116</v>
      </c>
      <c r="F452" s="310">
        <v>45558</v>
      </c>
      <c r="G452" s="310">
        <v>45562</v>
      </c>
      <c r="H452" s="312"/>
      <c r="I452" s="321">
        <v>0.33333333333333331</v>
      </c>
      <c r="J452" s="321">
        <v>0.20833333333333334</v>
      </c>
      <c r="K452" s="321">
        <v>0.625</v>
      </c>
      <c r="L452" s="321">
        <v>0.54166666666666663</v>
      </c>
      <c r="M452" s="321">
        <v>8.3333333333333329E-2</v>
      </c>
      <c r="N452" s="321">
        <v>0.875</v>
      </c>
      <c r="O452" s="299" t="s">
        <v>88</v>
      </c>
      <c r="P452" s="299"/>
      <c r="Q452" s="171" t="e">
        <v>#REF!</v>
      </c>
      <c r="R452" s="171" t="e">
        <v>#REF!</v>
      </c>
      <c r="S452" s="173"/>
      <c r="T452" s="101"/>
      <c r="U452" s="101"/>
      <c r="V452" s="296">
        <f>VLOOKUP(Table2[[#This Row],[Course]],Data!$A$1:$E$56,4,FALSE)</f>
        <v>45</v>
      </c>
      <c r="W452" s="296">
        <f>VLOOKUP(Table2[[#This Row],[Course]],Data!$A$1:$E$56,5,FALSE)</f>
        <v>4</v>
      </c>
      <c r="X452" s="296">
        <v>480</v>
      </c>
      <c r="Y452" s="296"/>
      <c r="Z452" s="296"/>
      <c r="AA452" s="296"/>
      <c r="AB452" s="298"/>
      <c r="AC452" s="296"/>
      <c r="AD452" s="296"/>
      <c r="AE452" s="308"/>
      <c r="AF452" s="308"/>
      <c r="AG452" s="318">
        <f ca="1">Table2[[#This Row],[End Date]]+2-TODAY()</f>
        <v>32</v>
      </c>
      <c r="AH452" s="296">
        <f>IF(ISBLANK(Table2[[#This Row],[Roster Received By]]),1,0)</f>
        <v>1</v>
      </c>
      <c r="AI452" s="308">
        <f ca="1">IF(Table2[[#This Row],[Start Date]]&gt;TODAY(),1,)</f>
        <v>1</v>
      </c>
    </row>
    <row r="453" spans="1:35" s="101" customFormat="1" x14ac:dyDescent="0.25">
      <c r="A453" s="301"/>
      <c r="B453" s="307" t="s">
        <v>292</v>
      </c>
      <c r="C453" s="308" t="str">
        <f>VLOOKUP(Table2[[#This Row],[Course]],Data!$A$1:$E$56,2,FALSE)</f>
        <v>A-493-0078</v>
      </c>
      <c r="D453" s="308">
        <f>VLOOKUP(Table2[[#This Row],[Course]],Data!$A$1:$E$56,3,FALSE)</f>
        <v>1228</v>
      </c>
      <c r="E453" s="307" t="s">
        <v>116</v>
      </c>
      <c r="F453" s="310">
        <v>45558</v>
      </c>
      <c r="G453" s="310">
        <v>45562</v>
      </c>
      <c r="H453" s="312"/>
      <c r="I453" s="321">
        <v>0.33333333333333331</v>
      </c>
      <c r="J453" s="321">
        <v>0.20833333333333334</v>
      </c>
      <c r="K453" s="321">
        <v>0.625</v>
      </c>
      <c r="L453" s="321">
        <v>0.54166666666666663</v>
      </c>
      <c r="M453" s="321">
        <v>8.3333333333333329E-2</v>
      </c>
      <c r="N453" s="321">
        <v>0.875</v>
      </c>
      <c r="O453" s="299" t="s">
        <v>80</v>
      </c>
      <c r="P453" s="299"/>
      <c r="Q453" s="171" t="e">
        <v>#REF!</v>
      </c>
      <c r="R453" s="171" t="e">
        <v>#REF!</v>
      </c>
      <c r="S453" s="173"/>
      <c r="V453" s="296">
        <f>VLOOKUP(Table2[[#This Row],[Course]],Data!$A$1:$E$56,4,FALSE)</f>
        <v>45</v>
      </c>
      <c r="W453" s="296">
        <f>VLOOKUP(Table2[[#This Row],[Course]],Data!$A$1:$E$56,5,FALSE)</f>
        <v>5</v>
      </c>
      <c r="X453" s="275">
        <v>600</v>
      </c>
      <c r="Y453" s="296"/>
      <c r="Z453" s="296"/>
      <c r="AA453" s="296"/>
      <c r="AB453" s="298"/>
      <c r="AC453" s="296"/>
      <c r="AD453" s="296"/>
      <c r="AE453" s="308"/>
      <c r="AF453" s="308"/>
      <c r="AG453" s="318">
        <f ca="1">Table2[[#This Row],[End Date]]+2-TODAY()</f>
        <v>32</v>
      </c>
      <c r="AH453" s="296">
        <f>IF(ISBLANK(Table2[[#This Row],[Roster Received By]]),1,0)</f>
        <v>1</v>
      </c>
      <c r="AI453" s="308">
        <f ca="1">IF(Table2[[#This Row],[Start Date]]&gt;TODAY(),1,)</f>
        <v>1</v>
      </c>
    </row>
    <row r="454" spans="1:35" s="101" customFormat="1" x14ac:dyDescent="0.25">
      <c r="B454" s="166" t="s">
        <v>317</v>
      </c>
      <c r="C454" s="167" t="str">
        <f>VLOOKUP(Table2[[#This Row],[Course]],Data!$A$1:$E$56,2,FALSE)</f>
        <v>A-493-2098</v>
      </c>
      <c r="D454" s="167" t="str">
        <f>VLOOKUP(Table2[[#This Row],[Course]],Data!$A$1:$E$56,3,FALSE)</f>
        <v>09WW</v>
      </c>
      <c r="E454" s="166" t="s">
        <v>116</v>
      </c>
      <c r="F454" s="169">
        <v>45558</v>
      </c>
      <c r="G454" s="169">
        <v>45562</v>
      </c>
      <c r="H454" s="169"/>
      <c r="I454" s="168">
        <v>0.54166666666666663</v>
      </c>
      <c r="J454" s="168">
        <v>0.41666666666666669</v>
      </c>
      <c r="K454" s="168">
        <v>0.83333333333333337</v>
      </c>
      <c r="L454" s="168">
        <v>0.75</v>
      </c>
      <c r="M454" s="168">
        <v>0.29166666666666669</v>
      </c>
      <c r="N454" s="168">
        <v>8.3333333333333329E-2</v>
      </c>
      <c r="O454" s="166" t="s">
        <v>223</v>
      </c>
      <c r="P454" s="166"/>
      <c r="Q454" s="170" t="e">
        <v>#REF!</v>
      </c>
      <c r="R454" s="171" t="e">
        <v>#REF!</v>
      </c>
      <c r="S454" s="170"/>
      <c r="V454" s="26">
        <f>VLOOKUP(Table2[[#This Row],[Course]],Data!$A$1:$E$56,4,FALSE)</f>
        <v>100</v>
      </c>
      <c r="W454" s="26">
        <f>VLOOKUP(Table2[[#This Row],[Course]],Data!$A$1:$E$56,5,FALSE)</f>
        <v>5</v>
      </c>
      <c r="X454" s="26">
        <v>1257</v>
      </c>
      <c r="Y454" s="26"/>
      <c r="Z454" s="26"/>
      <c r="AA454" s="26"/>
      <c r="AB454" s="170"/>
      <c r="AC454" s="26"/>
      <c r="AD454" s="26"/>
      <c r="AE454" s="167"/>
      <c r="AF454" s="167"/>
      <c r="AG454" s="190">
        <f ca="1">Table2[[#This Row],[End Date]]+2-TODAY()</f>
        <v>32</v>
      </c>
      <c r="AH454" s="26">
        <f>IF(ISBLANK(Table2[[#This Row],[Roster Received By]]),1,0)</f>
        <v>1</v>
      </c>
      <c r="AI454" s="167">
        <f ca="1">IF(Table2[[#This Row],[Start Date]]&gt;TODAY(),1,)</f>
        <v>1</v>
      </c>
    </row>
    <row r="455" spans="1:35" s="101" customFormat="1" x14ac:dyDescent="0.25">
      <c r="A455" s="220" t="s">
        <v>521</v>
      </c>
      <c r="B455" s="279" t="s">
        <v>18</v>
      </c>
      <c r="C455" s="176" t="str">
        <f>VLOOKUP(Table2[[#This Row],[Course]],Data!$A$1:$E$56,2,FALSE)</f>
        <v>A-493-0013</v>
      </c>
      <c r="D455" s="176">
        <f>VLOOKUP(Table2[[#This Row],[Course]],Data!$A$1:$E$56,3,FALSE)</f>
        <v>3683</v>
      </c>
      <c r="E455" s="279" t="s">
        <v>224</v>
      </c>
      <c r="F455" s="177">
        <v>45559</v>
      </c>
      <c r="G455" s="177">
        <v>45560</v>
      </c>
      <c r="H455" s="172">
        <v>0.33333333333333331</v>
      </c>
      <c r="I455" s="178"/>
      <c r="J455" s="177"/>
      <c r="K455" s="177"/>
      <c r="L455" s="177"/>
      <c r="M455" s="177"/>
      <c r="N455" s="177"/>
      <c r="O455" s="175" t="s">
        <v>78</v>
      </c>
      <c r="P455" s="175"/>
      <c r="Q455" s="179"/>
      <c r="R455" s="180"/>
      <c r="S455" s="179"/>
      <c r="T455" s="174"/>
      <c r="U455" s="174"/>
      <c r="V455" s="179">
        <v>40</v>
      </c>
      <c r="W455" s="180">
        <v>2</v>
      </c>
      <c r="X455" s="180">
        <v>0</v>
      </c>
      <c r="Y455" s="180"/>
      <c r="Z455" s="180"/>
      <c r="AA455" s="179"/>
      <c r="AB455" s="179"/>
      <c r="AC455" s="181"/>
      <c r="AD455" s="181"/>
      <c r="AE455" s="176"/>
      <c r="AF455" s="176"/>
      <c r="AG455" s="192">
        <f ca="1">Table2[[#This Row],[End Date]]+2-TODAY()</f>
        <v>30</v>
      </c>
      <c r="AH455" s="181">
        <f>IF(ISBLANK(Table2[[#This Row],[Roster Received By]]),1,0)</f>
        <v>1</v>
      </c>
      <c r="AI455" s="176">
        <f ca="1">IF(Table2[[#This Row],[Start Date]]&gt;TODAY(),1,)</f>
        <v>1</v>
      </c>
    </row>
    <row r="456" spans="1:35" s="101" customFormat="1" x14ac:dyDescent="0.25">
      <c r="A456" s="166"/>
      <c r="B456" s="278" t="s">
        <v>288</v>
      </c>
      <c r="C456" s="167" t="str">
        <f>VLOOKUP(Table2[[#This Row],[Course]],Data!$A$1:$E$56,2,FALSE)</f>
        <v>A-493-0073</v>
      </c>
      <c r="D456" s="167" t="str">
        <f>VLOOKUP(Table2[[#This Row],[Course]],Data!$A$1:$E$56,3,FALSE)</f>
        <v>714S</v>
      </c>
      <c r="E456" s="278" t="s">
        <v>116</v>
      </c>
      <c r="F456" s="281">
        <v>45559</v>
      </c>
      <c r="G456" s="281">
        <v>45562</v>
      </c>
      <c r="H456" s="169"/>
      <c r="I456" s="168">
        <v>0.33333333333333331</v>
      </c>
      <c r="J456" s="168">
        <v>0.20833333333333334</v>
      </c>
      <c r="K456" s="168">
        <v>0.625</v>
      </c>
      <c r="L456" s="168">
        <v>0.54166666666666663</v>
      </c>
      <c r="M456" s="168">
        <v>8.3333333333333329E-2</v>
      </c>
      <c r="N456" s="168">
        <v>0.875</v>
      </c>
      <c r="O456" s="166" t="s">
        <v>94</v>
      </c>
      <c r="P456" s="166"/>
      <c r="Q456" s="171" t="e">
        <v>#REF!</v>
      </c>
      <c r="R456" s="171" t="e">
        <v>#REF!</v>
      </c>
      <c r="S456" s="173"/>
      <c r="V456" s="26">
        <f>VLOOKUP(Table2[[#This Row],[Course]],Data!$A$1:$E$56,4,FALSE)</f>
        <v>30</v>
      </c>
      <c r="W456" s="26">
        <f>VLOOKUP(Table2[[#This Row],[Course]],Data!$A$1:$E$56,5,FALSE)</f>
        <v>4</v>
      </c>
      <c r="X456" s="26">
        <v>361</v>
      </c>
      <c r="Y456" s="26"/>
      <c r="Z456" s="26"/>
      <c r="AA456" s="26"/>
      <c r="AB456" s="170"/>
      <c r="AC456" s="26"/>
      <c r="AD456" s="26"/>
      <c r="AE456" s="167"/>
      <c r="AF456" s="167"/>
      <c r="AG456" s="190">
        <f ca="1">Table2[[#This Row],[End Date]]+2-TODAY()</f>
        <v>32</v>
      </c>
      <c r="AH456" s="26">
        <f>IF(ISBLANK(Table2[[#This Row],[Roster Received By]]),1,0)</f>
        <v>1</v>
      </c>
      <c r="AI456" s="167">
        <f ca="1">IF(Table2[[#This Row],[Start Date]]&gt;TODAY(),1,)</f>
        <v>1</v>
      </c>
    </row>
    <row r="457" spans="1:35" s="101" customFormat="1" x14ac:dyDescent="0.25">
      <c r="A457" s="174"/>
      <c r="B457" s="278" t="s">
        <v>35</v>
      </c>
      <c r="C457" s="176" t="str">
        <f>VLOOKUP(Table2[[#This Row],[Course]],Data!$A$1:$E$56,2,FALSE)</f>
        <v>A-493-2501</v>
      </c>
      <c r="D457" s="176" t="str">
        <f>VLOOKUP(Table2[[#This Row],[Course]],Data!$A$1:$E$56,3,FALSE)</f>
        <v>05ZE</v>
      </c>
      <c r="E457" s="279" t="s">
        <v>139</v>
      </c>
      <c r="F457" s="177">
        <v>45559</v>
      </c>
      <c r="G457" s="177">
        <v>45559</v>
      </c>
      <c r="H457" s="172">
        <v>0.33333333333333331</v>
      </c>
      <c r="I457" s="178"/>
      <c r="J457" s="177"/>
      <c r="K457" s="177"/>
      <c r="L457" s="177"/>
      <c r="M457" s="177"/>
      <c r="N457" s="177"/>
      <c r="O457" s="175" t="s">
        <v>78</v>
      </c>
      <c r="P457" s="175"/>
      <c r="Q457" s="179"/>
      <c r="R457" s="180"/>
      <c r="S457" s="179"/>
      <c r="T457" s="174"/>
      <c r="U457" s="174"/>
      <c r="V457" s="179">
        <v>30</v>
      </c>
      <c r="W457" s="180">
        <v>1</v>
      </c>
      <c r="X457" s="180">
        <v>23</v>
      </c>
      <c r="Y457" s="180"/>
      <c r="Z457" s="180"/>
      <c r="AA457" s="179"/>
      <c r="AB457" s="179"/>
      <c r="AC457" s="181"/>
      <c r="AD457" s="181"/>
      <c r="AE457" s="176"/>
      <c r="AF457" s="176"/>
      <c r="AG457" s="192">
        <f ca="1">Table2[[#This Row],[End Date]]+2-TODAY()</f>
        <v>29</v>
      </c>
      <c r="AH457" s="181">
        <f>IF(ISBLANK(Table2[[#This Row],[Roster Received By]]),1,0)</f>
        <v>1</v>
      </c>
      <c r="AI457" s="176">
        <f ca="1">IF(Table2[[#This Row],[Start Date]]&gt;TODAY(),1,)</f>
        <v>1</v>
      </c>
    </row>
    <row r="458" spans="1:35" s="101" customFormat="1" x14ac:dyDescent="0.25">
      <c r="B458" s="278" t="s">
        <v>26</v>
      </c>
      <c r="C458" s="167" t="str">
        <f>VLOOKUP(Table2[[#This Row],[Course]],Data!$A$1:$E$56,2,FALSE)</f>
        <v>A-493-2301</v>
      </c>
      <c r="D458" s="167" t="str">
        <f>VLOOKUP(Table2[[#This Row],[Course]],Data!$A$1:$E$56,3,FALSE)</f>
        <v>05ZD</v>
      </c>
      <c r="E458" s="278" t="s">
        <v>147</v>
      </c>
      <c r="F458" s="281">
        <v>45560</v>
      </c>
      <c r="G458" s="281">
        <v>45560</v>
      </c>
      <c r="H458" s="172">
        <v>0.33333333333333331</v>
      </c>
      <c r="I458" s="172"/>
      <c r="J458" s="169"/>
      <c r="K458" s="169"/>
      <c r="L458" s="169"/>
      <c r="M458" s="169"/>
      <c r="N458" s="169"/>
      <c r="O458" s="166" t="s">
        <v>78</v>
      </c>
      <c r="P458" s="166"/>
      <c r="Q458" s="170" t="e">
        <v>#REF!</v>
      </c>
      <c r="R458" s="171" t="e">
        <v>#REF!</v>
      </c>
      <c r="S458" s="170"/>
      <c r="V458" s="26">
        <f>VLOOKUP(Table2[[#This Row],[Course]],Data!$A$1:$E$56,4,FALSE)</f>
        <v>30</v>
      </c>
      <c r="W458" s="26">
        <f>VLOOKUP(Table2[[#This Row],[Course]],Data!$A$1:$E$56,5,FALSE)</f>
        <v>1</v>
      </c>
      <c r="X458" s="26">
        <v>39</v>
      </c>
      <c r="Y458" s="26"/>
      <c r="Z458" s="26"/>
      <c r="AA458" s="26"/>
      <c r="AB458" s="170"/>
      <c r="AC458" s="26"/>
      <c r="AD458" s="26"/>
      <c r="AE458" s="167"/>
      <c r="AF458" s="167"/>
      <c r="AG458" s="190">
        <f ca="1">Table2[[#This Row],[End Date]]+2-TODAY()</f>
        <v>30</v>
      </c>
      <c r="AH458" s="26">
        <f>IF(ISBLANK(Table2[[#This Row],[Roster Received By]]),1,0)</f>
        <v>1</v>
      </c>
      <c r="AI458" s="167">
        <f ca="1">IF(Table2[[#This Row],[Start Date]]&gt;TODAY(),1,)</f>
        <v>1</v>
      </c>
    </row>
    <row r="459" spans="1:35" s="101" customFormat="1" x14ac:dyDescent="0.25">
      <c r="A459" s="174"/>
      <c r="B459" s="278" t="s">
        <v>35</v>
      </c>
      <c r="C459" s="176" t="str">
        <f>VLOOKUP(Table2[[#This Row],[Course]],Data!$A$1:$E$56,2,FALSE)</f>
        <v>A-493-2501</v>
      </c>
      <c r="D459" s="176" t="str">
        <f>VLOOKUP(Table2[[#This Row],[Course]],Data!$A$1:$E$56,3,FALSE)</f>
        <v>05ZE</v>
      </c>
      <c r="E459" s="279" t="s">
        <v>118</v>
      </c>
      <c r="F459" s="282">
        <v>45560</v>
      </c>
      <c r="G459" s="282">
        <v>45560</v>
      </c>
      <c r="H459" s="172">
        <v>0.33333333333333331</v>
      </c>
      <c r="I459" s="178"/>
      <c r="J459" s="177"/>
      <c r="K459" s="177"/>
      <c r="L459" s="177"/>
      <c r="M459" s="177"/>
      <c r="N459" s="177"/>
      <c r="O459" s="175" t="s">
        <v>78</v>
      </c>
      <c r="P459" s="175"/>
      <c r="Q459" s="179"/>
      <c r="R459" s="180"/>
      <c r="S459" s="179"/>
      <c r="T459" s="174"/>
      <c r="U459" s="174"/>
      <c r="V459" s="179">
        <v>30</v>
      </c>
      <c r="W459" s="180">
        <v>1</v>
      </c>
      <c r="X459" s="180">
        <v>5</v>
      </c>
      <c r="Y459" s="180"/>
      <c r="Z459" s="180"/>
      <c r="AA459" s="179"/>
      <c r="AB459" s="179"/>
      <c r="AC459" s="181"/>
      <c r="AD459" s="181"/>
      <c r="AE459" s="176"/>
      <c r="AF459" s="176"/>
      <c r="AG459" s="192">
        <f ca="1">Table2[[#This Row],[End Date]]+2-TODAY()</f>
        <v>30</v>
      </c>
      <c r="AH459" s="181">
        <f>IF(ISBLANK(Table2[[#This Row],[Roster Received By]]),1,0)</f>
        <v>1</v>
      </c>
      <c r="AI459" s="176">
        <f ca="1">IF(Table2[[#This Row],[Start Date]]&gt;TODAY(),1,)</f>
        <v>1</v>
      </c>
    </row>
    <row r="460" spans="1:35" s="101" customFormat="1" x14ac:dyDescent="0.25">
      <c r="A460" s="250"/>
      <c r="B460" s="284" t="s">
        <v>24</v>
      </c>
      <c r="C460" s="252" t="str">
        <f>VLOOKUP(Table2[[#This Row],[Course]],Data!$A$1:$E$56,2,FALSE)</f>
        <v>A-493-0083</v>
      </c>
      <c r="D460" s="252" t="str">
        <f>VLOOKUP(Table2[[#This Row],[Course]],Data!$A$1:$E$56,3,FALSE)</f>
        <v>339E</v>
      </c>
      <c r="E460" s="335" t="s">
        <v>116</v>
      </c>
      <c r="F460" s="337">
        <v>45561</v>
      </c>
      <c r="G460" s="337">
        <v>45561</v>
      </c>
      <c r="H460" s="254"/>
      <c r="I460" s="246">
        <v>0.33333333333333331</v>
      </c>
      <c r="J460" s="246">
        <v>0.20833333333333334</v>
      </c>
      <c r="K460" s="246">
        <v>0.625</v>
      </c>
      <c r="L460" s="246">
        <v>0.54166666666666663</v>
      </c>
      <c r="M460" s="246">
        <v>8.3333333333333329E-2</v>
      </c>
      <c r="N460" s="246">
        <v>0.875</v>
      </c>
      <c r="O460" s="247" t="s">
        <v>78</v>
      </c>
      <c r="P460" s="251"/>
      <c r="Q460" s="179"/>
      <c r="R460" s="180"/>
      <c r="S460" s="179"/>
      <c r="T460" s="174"/>
      <c r="U460" s="174"/>
      <c r="V460" s="255"/>
      <c r="W460" s="256"/>
      <c r="X460" s="256">
        <v>0</v>
      </c>
      <c r="Y460" s="248"/>
      <c r="Z460" s="248"/>
      <c r="AA460" s="255"/>
      <c r="AB460" s="255"/>
      <c r="AC460" s="257"/>
      <c r="AD460" s="257"/>
      <c r="AE460" s="252"/>
      <c r="AF460" s="252"/>
      <c r="AG460" s="258">
        <f ca="1">Table2[[#This Row],[End Date]]+2-TODAY()</f>
        <v>31</v>
      </c>
      <c r="AH460" s="257">
        <f>IF(ISBLANK(Table2[[#This Row],[Roster Received By]]),1,0)</f>
        <v>1</v>
      </c>
      <c r="AI460" s="252">
        <f ca="1">IF(Table2[[#This Row],[Start Date]]&gt;TODAY(),1,)</f>
        <v>1</v>
      </c>
    </row>
    <row r="461" spans="1:35" s="301" customFormat="1" x14ac:dyDescent="0.25">
      <c r="B461" s="307" t="s">
        <v>26</v>
      </c>
      <c r="C461" s="308" t="str">
        <f>VLOOKUP(Table2[[#This Row],[Course]],Data!$A$1:$E$56,2,FALSE)</f>
        <v>A-493-2301</v>
      </c>
      <c r="D461" s="308" t="str">
        <f>VLOOKUP(Table2[[#This Row],[Course]],Data!$A$1:$E$56,3,FALSE)</f>
        <v>05ZD</v>
      </c>
      <c r="E461" s="309" t="s">
        <v>151</v>
      </c>
      <c r="F461" s="310">
        <v>45561</v>
      </c>
      <c r="G461" s="310">
        <v>45561</v>
      </c>
      <c r="H461" s="311">
        <v>0.33333333333333331</v>
      </c>
      <c r="I461" s="311"/>
      <c r="J461" s="312"/>
      <c r="K461" s="312"/>
      <c r="L461" s="312"/>
      <c r="M461" s="312"/>
      <c r="N461" s="312"/>
      <c r="O461" s="299" t="s">
        <v>78</v>
      </c>
      <c r="P461" s="299"/>
      <c r="Q461" s="170" t="e">
        <v>#REF!</v>
      </c>
      <c r="R461" s="171" t="e">
        <v>#REF!</v>
      </c>
      <c r="S461" s="170"/>
      <c r="T461" s="101"/>
      <c r="U461" s="101"/>
      <c r="V461" s="296">
        <f>VLOOKUP(Table2[[#This Row],[Course]],Data!$A$1:$E$56,4,FALSE)</f>
        <v>30</v>
      </c>
      <c r="W461" s="296">
        <f>VLOOKUP(Table2[[#This Row],[Course]],Data!$A$1:$E$56,5,FALSE)</f>
        <v>1</v>
      </c>
      <c r="X461" s="296">
        <v>15</v>
      </c>
      <c r="Y461" s="296"/>
      <c r="Z461" s="296"/>
      <c r="AA461" s="296"/>
      <c r="AB461" s="298"/>
      <c r="AC461" s="296"/>
      <c r="AD461" s="296"/>
      <c r="AE461" s="296"/>
      <c r="AF461" s="299"/>
      <c r="AG461" s="300">
        <f ca="1">Table2[[#This Row],[End Date]]+2-TODAY()</f>
        <v>31</v>
      </c>
      <c r="AH461" s="296">
        <f>IF(ISBLANK(Table2[[#This Row],[Roster Received By]]),1,0)</f>
        <v>1</v>
      </c>
      <c r="AI461" s="296">
        <f ca="1">IF(Table2[[#This Row],[Start Date]]&gt;TODAY(),1,)</f>
        <v>1</v>
      </c>
    </row>
    <row r="462" spans="1:35" s="301" customFormat="1" x14ac:dyDescent="0.25">
      <c r="B462" s="307" t="s">
        <v>27</v>
      </c>
      <c r="C462" s="308" t="str">
        <f>VLOOKUP(Table2[[#This Row],[Course]],Data!$A$1:$E$56,2,FALSE)</f>
        <v>A-493-0216</v>
      </c>
      <c r="D462" s="308" t="str">
        <f>VLOOKUP(Table2[[#This Row],[Course]],Data!$A$1:$E$56,3,FALSE)</f>
        <v>12X8</v>
      </c>
      <c r="E462" s="299" t="s">
        <v>147</v>
      </c>
      <c r="F462" s="312">
        <v>45561</v>
      </c>
      <c r="G462" s="312">
        <v>45561</v>
      </c>
      <c r="H462" s="311">
        <v>0.33333333333333331</v>
      </c>
      <c r="I462" s="311"/>
      <c r="J462" s="312"/>
      <c r="K462" s="312"/>
      <c r="L462" s="312"/>
      <c r="M462" s="312"/>
      <c r="N462" s="312"/>
      <c r="O462" s="299" t="s">
        <v>78</v>
      </c>
      <c r="P462" s="299"/>
      <c r="Q462" s="170" t="e">
        <v>#REF!</v>
      </c>
      <c r="R462" s="171" t="e">
        <v>#REF!</v>
      </c>
      <c r="S462" s="170"/>
      <c r="T462" s="101"/>
      <c r="U462" s="101"/>
      <c r="V462" s="296">
        <f>VLOOKUP(Table2[[#This Row],[Course]],Data!$A$1:$E$56,4,FALSE)</f>
        <v>30</v>
      </c>
      <c r="W462" s="296">
        <f>VLOOKUP(Table2[[#This Row],[Course]],Data!$A$1:$E$56,5,FALSE)</f>
        <v>1</v>
      </c>
      <c r="X462" s="296">
        <v>57</v>
      </c>
      <c r="Y462" s="296"/>
      <c r="Z462" s="296"/>
      <c r="AA462" s="296"/>
      <c r="AB462" s="298"/>
      <c r="AC462" s="296"/>
      <c r="AD462" s="296"/>
      <c r="AE462" s="308"/>
      <c r="AF462" s="308"/>
      <c r="AG462" s="318">
        <f ca="1">Table2[[#This Row],[End Date]]+2-TODAY()</f>
        <v>31</v>
      </c>
      <c r="AH462" s="296">
        <f>IF(ISBLANK(Table2[[#This Row],[Roster Received By]]),1,0)</f>
        <v>1</v>
      </c>
      <c r="AI462" s="308">
        <f ca="1">IF(Table2[[#This Row],[Start Date]]&gt;TODAY(),1,)</f>
        <v>1</v>
      </c>
    </row>
    <row r="463" spans="1:35" s="301" customFormat="1" x14ac:dyDescent="0.25">
      <c r="B463" s="307" t="s">
        <v>35</v>
      </c>
      <c r="C463" s="308" t="str">
        <f>VLOOKUP(Table2[[#This Row],[Course]],Data!$A$1:$E$56,2,FALSE)</f>
        <v>A-493-2501</v>
      </c>
      <c r="D463" s="308" t="str">
        <f>VLOOKUP(Table2[[#This Row],[Course]],Data!$A$1:$E$56,3,FALSE)</f>
        <v>05ZE</v>
      </c>
      <c r="E463" s="313" t="s">
        <v>131</v>
      </c>
      <c r="F463" s="312">
        <v>45561</v>
      </c>
      <c r="G463" s="312">
        <v>45561</v>
      </c>
      <c r="H463" s="311">
        <v>0.33333333333333331</v>
      </c>
      <c r="I463" s="311"/>
      <c r="J463" s="312"/>
      <c r="K463" s="312"/>
      <c r="L463" s="312"/>
      <c r="M463" s="312"/>
      <c r="N463" s="312"/>
      <c r="O463" s="299" t="s">
        <v>78</v>
      </c>
      <c r="P463" s="299"/>
      <c r="Q463" s="170" t="e">
        <v>#REF!</v>
      </c>
      <c r="R463" s="171" t="e">
        <v>#REF!</v>
      </c>
      <c r="S463" s="170"/>
      <c r="T463" s="101"/>
      <c r="U463" s="101"/>
      <c r="V463" s="296">
        <f>VLOOKUP(Table2[[#This Row],[Course]],Data!$A$1:$E$56,4,FALSE)</f>
        <v>30</v>
      </c>
      <c r="W463" s="296">
        <f>VLOOKUP(Table2[[#This Row],[Course]],Data!$A$1:$E$56,5,FALSE)</f>
        <v>1</v>
      </c>
      <c r="X463" s="296">
        <v>25</v>
      </c>
      <c r="Y463" s="296"/>
      <c r="Z463" s="296"/>
      <c r="AA463" s="296"/>
      <c r="AB463" s="298"/>
      <c r="AC463" s="296"/>
      <c r="AD463" s="296"/>
      <c r="AE463" s="308"/>
      <c r="AF463" s="308"/>
      <c r="AG463" s="318">
        <f ca="1">Table2[[#This Row],[End Date]]+2-TODAY()</f>
        <v>31</v>
      </c>
      <c r="AH463" s="296">
        <f>IF(ISBLANK(Table2[[#This Row],[Roster Received By]]),1,0)</f>
        <v>1</v>
      </c>
      <c r="AI463" s="308">
        <f ca="1">IF(Table2[[#This Row],[Start Date]]&gt;TODAY(),1,)</f>
        <v>1</v>
      </c>
    </row>
    <row r="464" spans="1:35" s="301" customFormat="1" x14ac:dyDescent="0.25">
      <c r="A464" s="314"/>
      <c r="B464" s="307" t="s">
        <v>35</v>
      </c>
      <c r="C464" s="315" t="str">
        <f>VLOOKUP(Table2[[#This Row],[Course]],Data!$A$1:$E$56,2,FALSE)</f>
        <v>A-493-2501</v>
      </c>
      <c r="D464" s="315" t="str">
        <f>VLOOKUP(Table2[[#This Row],[Course]],Data!$A$1:$E$56,3,FALSE)</f>
        <v>05ZE</v>
      </c>
      <c r="E464" s="322" t="s">
        <v>151</v>
      </c>
      <c r="F464" s="316">
        <v>45562</v>
      </c>
      <c r="G464" s="316">
        <v>45562</v>
      </c>
      <c r="H464" s="311">
        <v>0.33333333333333331</v>
      </c>
      <c r="I464" s="317"/>
      <c r="J464" s="316"/>
      <c r="K464" s="316"/>
      <c r="L464" s="316"/>
      <c r="M464" s="316"/>
      <c r="N464" s="316"/>
      <c r="O464" s="305" t="s">
        <v>78</v>
      </c>
      <c r="P464" s="305"/>
      <c r="Q464" s="179"/>
      <c r="R464" s="180"/>
      <c r="S464" s="179"/>
      <c r="T464" s="174"/>
      <c r="U464" s="174"/>
      <c r="V464" s="303">
        <v>30</v>
      </c>
      <c r="W464" s="297">
        <v>1</v>
      </c>
      <c r="X464" s="297">
        <v>25</v>
      </c>
      <c r="Y464" s="297"/>
      <c r="Z464" s="297"/>
      <c r="AA464" s="303"/>
      <c r="AB464" s="303"/>
      <c r="AC464" s="304"/>
      <c r="AD464" s="304"/>
      <c r="AE464" s="315"/>
      <c r="AF464" s="315"/>
      <c r="AG464" s="319">
        <f ca="1">Table2[[#This Row],[End Date]]+2-TODAY()</f>
        <v>32</v>
      </c>
      <c r="AH464" s="304">
        <f>IF(ISBLANK(Table2[[#This Row],[Roster Received By]]),1,0)</f>
        <v>1</v>
      </c>
      <c r="AI464" s="315">
        <f ca="1">IF(Table2[[#This Row],[Start Date]]&gt;TODAY(),1,)</f>
        <v>1</v>
      </c>
    </row>
    <row r="465" spans="1:35" x14ac:dyDescent="0.25">
      <c r="A465" s="143" t="s">
        <v>58</v>
      </c>
      <c r="B465" s="143">
        <f>SUBTOTAL(103,Table2[Course])</f>
        <v>461</v>
      </c>
      <c r="C465" s="143"/>
      <c r="D465" s="143"/>
      <c r="E465" s="143"/>
      <c r="F465" s="144"/>
      <c r="G465" s="144"/>
      <c r="H465" s="143"/>
      <c r="I465" s="143"/>
      <c r="J465" s="143"/>
      <c r="K465" s="143"/>
      <c r="L465" s="143"/>
      <c r="M465" s="143"/>
      <c r="N465" s="143"/>
      <c r="O465" s="143"/>
      <c r="P465" s="143"/>
      <c r="Q465" s="113"/>
      <c r="R465" s="113"/>
      <c r="S465" s="113"/>
      <c r="T465" s="113"/>
      <c r="U465" s="113"/>
      <c r="V465" s="114">
        <f>SUBTOTAL(109,V4:V464)</f>
        <v>15965</v>
      </c>
      <c r="W465" s="114">
        <f>SUBTOTAL(109,Table2[Course Length (Days)])</f>
        <v>1564</v>
      </c>
      <c r="X465" s="114"/>
      <c r="Y465" s="114"/>
      <c r="Z465" s="114"/>
      <c r="AA465" s="114">
        <f>SUBTOTAL(109,AA4:AA464)</f>
        <v>8786</v>
      </c>
      <c r="AB465" s="114">
        <f>SUBTOTAL(109,AB4:AB464)</f>
        <v>184</v>
      </c>
      <c r="AC465" s="114">
        <f>SUBTOTAL(109,AC4:AC464)</f>
        <v>1787</v>
      </c>
      <c r="AD465" s="114">
        <f>SUBTOTAL(109,AD4:AD464)</f>
        <v>630</v>
      </c>
      <c r="AE465" s="114">
        <f>SUBTOTAL(109,AE4:AE464)</f>
        <v>211</v>
      </c>
      <c r="AF465" s="143">
        <f>SUBTOTAL(103,Table2[Roster Received By])</f>
        <v>367</v>
      </c>
      <c r="AG465" s="145"/>
      <c r="AH465" s="143"/>
      <c r="AI465" s="143"/>
    </row>
    <row r="483" spans="28:28" x14ac:dyDescent="0.25">
      <c r="AB483" s="72" t="s">
        <v>73</v>
      </c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4:D103 C109:D190 C192:D464" name="CIN CDP_1"/>
    <protectedRange algorithmName="SHA-512" hashValue="n6K25g9uzAcpntxjqTQaPVdKX1eij75CLB1gBuUNBybVL5B3VaxVW/Tcen54TXijIel0fCN9KO3xZiLZCJMSZw==" saltValue="89UdTK4UUElaUoKBccfOYw==" spinCount="100000" sqref="C104:D105" name="CIN CDP_1_1"/>
    <protectedRange algorithmName="SHA-512" hashValue="n6K25g9uzAcpntxjqTQaPVdKX1eij75CLB1gBuUNBybVL5B3VaxVW/Tcen54TXijIel0fCN9KO3xZiLZCJMSZw==" saltValue="89UdTK4UUElaUoKBccfOYw==" spinCount="100000" sqref="C106:D107" name="CIN CDP_2"/>
    <protectedRange algorithmName="SHA-512" hashValue="n6K25g9uzAcpntxjqTQaPVdKX1eij75CLB1gBuUNBybVL5B3VaxVW/Tcen54TXijIel0fCN9KO3xZiLZCJMSZw==" saltValue="89UdTK4UUElaUoKBccfOYw==" spinCount="100000" sqref="C108:D108" name="CIN CDP_3"/>
    <protectedRange algorithmName="SHA-512" hashValue="n6K25g9uzAcpntxjqTQaPVdKX1eij75CLB1gBuUNBybVL5B3VaxVW/Tcen54TXijIel0fCN9KO3xZiLZCJMSZw==" saltValue="89UdTK4UUElaUoKBccfOYw==" spinCount="100000" sqref="C191:D191" name="CIN CDP_1_1_2"/>
  </protectedRanges>
  <phoneticPr fontId="2" type="noConversion"/>
  <conditionalFormatting sqref="A34:A35 S34:S74 A36:B36 A37 A38:B39 J39:N44 A40:A43 F41:G44 P41:P57 A44:B54 E45:G45 F46:G46 E47:G48 F49:G49 F50:H50 J51:N51 F51:F52 E53:F53 J53:N53 E54:H54 A55:A57 E58 E59:F63 A59:A67 F64 E65:F66 A69:A71 B70 J75:P75 S75:U76 O76:P76 A76:A77 A86:A87 S88 A98:B98 E109:G109 A112 A122 A132:A137 S132:S145 A139:A145 A147:A149 S147:S149 J151:N151 A151:A159 J153:N154 E156:E160 P156:P162 J158:N158 B159:B160 A161:A180 B162:B164 B166 P167:P168 J167:N171 B168:B181 P170:P181 J174:N174 E176:E177 J176:N177 E179:E181 A182:B182 J183:N183 B183:B190 E183:E190 P183:P190 A184:A185 J185:N186 A187 J189:N190 A191:B191 J192:N195 E192:E199 P192:P199 B192:B200 S193:U199 A194:A198 F195:G195 F197:H199 E201:E207 S201:U208 A201:B209 P201:P211 E209 S209 B210:B211 A210:A223 S210:U232 B217 A225:A239 B226:B228 B231 S233 S234:U245 B235 A241:A245 J245:P245 A249 B252 A257 S257:U257 A276 B284 A286 A293 E294:E301 S301 E303:E316 F304:H304 F306:H306 P309 S315:S317 E318:E321 A321 A332 A372 E379:E385 E387:E394 M395:N395 E396:E398 E400:E403 S402 A411 E412:E419 A418 A423:A425 S432:S433">
    <cfRule type="expression" dxfId="209" priority="588">
      <formula>$AB34="McQueen, Jennifer"</formula>
    </cfRule>
    <cfRule type="expression" dxfId="208" priority="587">
      <formula>$AB34="Jenne, Richard"</formula>
    </cfRule>
    <cfRule type="expression" dxfId="207" priority="586">
      <formula>$AB34="Benzick, Sue"</formula>
    </cfRule>
  </conditionalFormatting>
  <conditionalFormatting sqref="E163 H406:I409 H419:I421 H422 H423:I431 I438:N438">
    <cfRule type="expression" dxfId="206" priority="45">
      <formula>#REF!="McQueen, Jennifer"</formula>
    </cfRule>
    <cfRule type="expression" dxfId="205" priority="44">
      <formula>#REF!="Jenne, Richard"</formula>
    </cfRule>
    <cfRule type="expression" dxfId="204" priority="43">
      <formula>#REF!="Benzick, Sue"</formula>
    </cfRule>
  </conditionalFormatting>
  <conditionalFormatting sqref="E461">
    <cfRule type="expression" dxfId="203" priority="8">
      <formula>$AB461="Jenne, Richard"</formula>
    </cfRule>
    <cfRule type="expression" dxfId="202" priority="7">
      <formula>$AB461="Benzick, Sue"</formula>
    </cfRule>
    <cfRule type="expression" dxfId="201" priority="9">
      <formula>$AB461="McQueen, Jennifer"</formula>
    </cfRule>
  </conditionalFormatting>
  <conditionalFormatting sqref="E110:G113 E114:H114 E124:H124 F125:G125">
    <cfRule type="expression" dxfId="200" priority="369">
      <formula>#REF!="McQueen, Jennifer"</formula>
    </cfRule>
    <cfRule type="expression" dxfId="199" priority="368">
      <formula>#REF!="Jenne, Richard"</formula>
    </cfRule>
    <cfRule type="expression" dxfId="198" priority="367">
      <formula>#REF!="Benzick, Sue"</formula>
    </cfRule>
  </conditionalFormatting>
  <conditionalFormatting sqref="E116:G117">
    <cfRule type="expression" dxfId="197" priority="359">
      <formula>#REF!="Jenne, Richard"</formula>
    </cfRule>
    <cfRule type="expression" dxfId="196" priority="360">
      <formula>#REF!="McQueen, Jennifer"</formula>
    </cfRule>
    <cfRule type="expression" dxfId="195" priority="358">
      <formula>#REF!="Benzick, Sue"</formula>
    </cfRule>
  </conditionalFormatting>
  <conditionalFormatting sqref="E119:G123 E208:G208 H228:I228 H229 H230:I235 I243 H244:I245 H248:I254 H264:I264 H266:I266 H280:I280 H281 H282:I286 H294:I294 I325:N326 I377:N382">
    <cfRule type="expression" dxfId="194" priority="353">
      <formula>#REF!="Jenne, Richard"</formula>
    </cfRule>
    <cfRule type="expression" dxfId="193" priority="354">
      <formula>#REF!="McQueen, Jennifer"</formula>
    </cfRule>
    <cfRule type="expression" dxfId="192" priority="352">
      <formula>#REF!="Benzick, Sue"</formula>
    </cfRule>
  </conditionalFormatting>
  <conditionalFormatting sqref="E129:G130">
    <cfRule type="expression" dxfId="191" priority="343">
      <formula>#REF!="Benzick, Sue"</formula>
    </cfRule>
    <cfRule type="expression" dxfId="190" priority="344">
      <formula>#REF!="Jenne, Richard"</formula>
    </cfRule>
    <cfRule type="expression" dxfId="189" priority="345">
      <formula>#REF!="McQueen, Jennifer"</formula>
    </cfRule>
  </conditionalFormatting>
  <conditionalFormatting sqref="E222:G226">
    <cfRule type="expression" dxfId="188" priority="322">
      <formula>#REF!="Benzick, Sue"</formula>
    </cfRule>
    <cfRule type="expression" dxfId="187" priority="323">
      <formula>#REF!="Jenne, Richard"</formula>
    </cfRule>
    <cfRule type="expression" dxfId="186" priority="324">
      <formula>#REF!="McQueen, Jennifer"</formula>
    </cfRule>
  </conditionalFormatting>
  <conditionalFormatting sqref="E449:G449">
    <cfRule type="expression" dxfId="185" priority="297">
      <formula>#REF!="McQueen, Jennifer"</formula>
    </cfRule>
    <cfRule type="expression" dxfId="184" priority="295">
      <formula>#REF!="Benzick, Sue"</formula>
    </cfRule>
    <cfRule type="expression" dxfId="183" priority="296">
      <formula>#REF!="Jenne, Richard"</formula>
    </cfRule>
  </conditionalFormatting>
  <conditionalFormatting sqref="E118:H118">
    <cfRule type="expression" dxfId="182" priority="362">
      <formula>#REF!="Jenne, Richard"</formula>
    </cfRule>
    <cfRule type="expression" dxfId="181" priority="361">
      <formula>#REF!="Benzick, Sue"</formula>
    </cfRule>
    <cfRule type="expression" dxfId="180" priority="363">
      <formula>#REF!="McQueen, Jennifer"</formula>
    </cfRule>
  </conditionalFormatting>
  <conditionalFormatting sqref="E127:H128">
    <cfRule type="expression" dxfId="179" priority="365">
      <formula>#REF!="Jenne, Richard"</formula>
    </cfRule>
    <cfRule type="expression" dxfId="178" priority="364">
      <formula>#REF!="Benzick, Sue"</formula>
    </cfRule>
    <cfRule type="expression" dxfId="177" priority="366">
      <formula>#REF!="McQueen, Jennifer"</formula>
    </cfRule>
  </conditionalFormatting>
  <conditionalFormatting sqref="E131:H132 E133:G133">
    <cfRule type="expression" dxfId="176" priority="348">
      <formula>#REF!="McQueen, Jennifer"</formula>
    </cfRule>
    <cfRule type="expression" dxfId="175" priority="347">
      <formula>#REF!="Jenne, Richard"</formula>
    </cfRule>
    <cfRule type="expression" dxfId="174" priority="346">
      <formula>#REF!="Benzick, Sue"</formula>
    </cfRule>
  </conditionalFormatting>
  <conditionalFormatting sqref="E134:H134 E139:H139 F140:I140 E141:I141 H142:I144 H147:I154 H156:I156 H158:I158 H163:I163 H170 H171:I171 H174:I174 H176:I177 H179:I179 H181:I183 H186:I186 I193 H194:I195 H196 H200">
    <cfRule type="expression" dxfId="173" priority="351">
      <formula>#REF!="McQueen, Jennifer"</formula>
    </cfRule>
    <cfRule type="expression" dxfId="172" priority="349">
      <formula>#REF!="Benzick, Sue"</formula>
    </cfRule>
    <cfRule type="expression" dxfId="171" priority="350">
      <formula>#REF!="Jenne, Richard"</formula>
    </cfRule>
  </conditionalFormatting>
  <conditionalFormatting sqref="E209:H209 E210:G214 F215:G215 E216:G216 E217:I219 E220:H220 H238:I242 H256:I257 H259:I259 H271:I272 H276:I276 H278:I278 H288:I288 H293:N293">
    <cfRule type="expression" dxfId="170" priority="339">
      <formula>#REF!="McQueen, Jennifer"</formula>
    </cfRule>
    <cfRule type="expression" dxfId="169" priority="338">
      <formula>#REF!="Jenne, Richard"</formula>
    </cfRule>
    <cfRule type="expression" dxfId="168" priority="337">
      <formula>#REF!="Benzick, Sue"</formula>
    </cfRule>
  </conditionalFormatting>
  <conditionalFormatting sqref="E227:H227">
    <cfRule type="expression" dxfId="167" priority="326">
      <formula>#REF!="Jenne, Richard"</formula>
    </cfRule>
    <cfRule type="expression" dxfId="166" priority="327">
      <formula>#REF!="McQueen, Jennifer"</formula>
    </cfRule>
    <cfRule type="expression" dxfId="165" priority="325">
      <formula>#REF!="Benzick, Sue"</formula>
    </cfRule>
  </conditionalFormatting>
  <conditionalFormatting sqref="E115:I115 H116:I116 H117 H121:I123">
    <cfRule type="expression" dxfId="164" priority="357">
      <formula>#REF!="McQueen, Jennifer"</formula>
    </cfRule>
    <cfRule type="expression" dxfId="163" priority="356">
      <formula>#REF!="Jenne, Richard"</formula>
    </cfRule>
    <cfRule type="expression" dxfId="162" priority="355">
      <formula>#REF!="Benzick, Sue"</formula>
    </cfRule>
  </conditionalFormatting>
  <conditionalFormatting sqref="F162 F168:F169 F172">
    <cfRule type="expression" dxfId="161" priority="252">
      <formula>$AA163="McQueen, Jennifer"</formula>
    </cfRule>
    <cfRule type="expression" dxfId="160" priority="250">
      <formula>$AA163="Benzick, Sue"</formula>
    </cfRule>
    <cfRule type="expression" dxfId="159" priority="251">
      <formula>$AA163="Jenne, Richard"</formula>
    </cfRule>
  </conditionalFormatting>
  <conditionalFormatting sqref="F163:F164 F173">
    <cfRule type="expression" dxfId="158" priority="249">
      <formula>$AA165="McQueen, Jennifer"</formula>
    </cfRule>
    <cfRule type="expression" dxfId="157" priority="248">
      <formula>$AA165="Jenne, Richard"</formula>
    </cfRule>
    <cfRule type="expression" dxfId="156" priority="247">
      <formula>$AA165="Benzick, Sue"</formula>
    </cfRule>
  </conditionalFormatting>
  <conditionalFormatting sqref="F171">
    <cfRule type="expression" dxfId="155" priority="233">
      <formula>#REF!="Jenne, Richard"</formula>
    </cfRule>
    <cfRule type="expression" dxfId="154" priority="234">
      <formula>#REF!="McQueen, Jennifer"</formula>
    </cfRule>
    <cfRule type="expression" dxfId="153" priority="232">
      <formula>#REF!="Benzick, Sue"</formula>
    </cfRule>
  </conditionalFormatting>
  <conditionalFormatting sqref="F175">
    <cfRule type="expression" dxfId="149" priority="231">
      <formula>$AA179="McQueen, Jennifer"</formula>
    </cfRule>
    <cfRule type="expression" dxfId="148" priority="230">
      <formula>$AA179="Jenne, Richard"</formula>
    </cfRule>
    <cfRule type="expression" dxfId="147" priority="229">
      <formula>$AA179="Benzick, Sue"</formula>
    </cfRule>
  </conditionalFormatting>
  <conditionalFormatting sqref="F202 F204">
    <cfRule type="expression" dxfId="146" priority="383">
      <formula>$AB203="Jenne, Richard"</formula>
    </cfRule>
    <cfRule type="expression" dxfId="145" priority="382">
      <formula>$AB203="Benzick, Sue"</formula>
    </cfRule>
    <cfRule type="expression" dxfId="144" priority="384">
      <formula>$AB203="McQueen, Jennifer"</formula>
    </cfRule>
  </conditionalFormatting>
  <conditionalFormatting sqref="F203">
    <cfRule type="expression" dxfId="143" priority="5767">
      <formula>#REF!="McQueen, Jennifer"</formula>
    </cfRule>
    <cfRule type="expression" dxfId="142" priority="5766">
      <formula>#REF!="Jenne, Richard"</formula>
    </cfRule>
    <cfRule type="expression" dxfId="141" priority="5765">
      <formula>#REF!="Benzick, Sue"</formula>
    </cfRule>
  </conditionalFormatting>
  <conditionalFormatting sqref="F307">
    <cfRule type="expression" dxfId="140" priority="4780">
      <formula>#REF!="McQueen, Jennifer"</formula>
    </cfRule>
    <cfRule type="expression" dxfId="139" priority="4778">
      <formula>#REF!="Benzick, Sue"</formula>
    </cfRule>
    <cfRule type="expression" dxfId="138" priority="4779">
      <formula>#REF!="Jenne, Richard"</formula>
    </cfRule>
  </conditionalFormatting>
  <conditionalFormatting sqref="F67:G67 E68:H68 E86:F86 F87 E89:F89 E97:F98 E104 F144:G144 F159:F160 J226:M226">
    <cfRule type="expression" dxfId="137" priority="514">
      <formula>$W67="Benzick, Sue"</formula>
    </cfRule>
    <cfRule type="expression" dxfId="136" priority="516">
      <formula>$W67="McQueen, Jennifer"</formula>
    </cfRule>
    <cfRule type="expression" dxfId="135" priority="515">
      <formula>$W67="Jenne, Richard"</formula>
    </cfRule>
  </conditionalFormatting>
  <conditionalFormatting sqref="F171:G171">
    <cfRule type="expression" dxfId="134" priority="244">
      <formula>#REF!="Benzick, Sue"</formula>
    </cfRule>
    <cfRule type="expression" dxfId="133" priority="245">
      <formula>#REF!="Jenne, Richard"</formula>
    </cfRule>
    <cfRule type="expression" dxfId="132" priority="246">
      <formula>#REF!="McQueen, Jennifer"</formula>
    </cfRule>
  </conditionalFormatting>
  <conditionalFormatting sqref="F302:H302 H403">
    <cfRule type="expression" dxfId="131" priority="320">
      <formula>#REF!="Jenne, Richard"</formula>
    </cfRule>
    <cfRule type="expression" dxfId="130" priority="321">
      <formula>#REF!="McQueen, Jennifer"</formula>
    </cfRule>
    <cfRule type="expression" dxfId="129" priority="319">
      <formula>#REF!="Benzick, Sue"</formula>
    </cfRule>
  </conditionalFormatting>
  <conditionalFormatting sqref="F303:H303 F380:H380 F382:H382 F383:G385">
    <cfRule type="expression" dxfId="128" priority="318">
      <formula>$P303="McQueen, Jennifer"</formula>
    </cfRule>
    <cfRule type="expression" dxfId="127" priority="317">
      <formula>$P303="Jenne, Richard"</formula>
    </cfRule>
    <cfRule type="expression" dxfId="126" priority="316">
      <formula>$P303="Benzick, Sue"</formula>
    </cfRule>
  </conditionalFormatting>
  <conditionalFormatting sqref="F379:H379 F381:H381 F386:H387 F388:G389 F390:H394 F395:I395 F396:H397 F398:G399 H404:I404">
    <cfRule type="expression" dxfId="125" priority="312">
      <formula>#REF!="McQueen, Jennifer"</formula>
    </cfRule>
    <cfRule type="expression" dxfId="124" priority="310">
      <formula>#REF!="Benzick, Sue"</formula>
    </cfRule>
    <cfRule type="expression" dxfId="123" priority="311">
      <formula>#REF!="Jenne, Richard"</formula>
    </cfRule>
  </conditionalFormatting>
  <conditionalFormatting sqref="G4:I4 H5:I11 H12:N12 J13:N13 H13:I16 H17:N17 H18:I31 G32:I35 G36:N36 G37:I37 F38:I38 F39:G40 O39:P40 H39:I44 H45:N49 I50:N50 H51:I53 I54:N54 I55 H56:I58 I61 H62:I67 J65:N65 J67:N68 I68:N69 H69 H70:I71 I72:N73 H74:I75 I76:N76 H77:I78 I79:N81 H82:I82 I83:N83 H84:I88 H89:N91 I92:N93 H93 H94:I98 H99 H100:I100 I101:N102 H103:I104 I105:N106 H107:I113 I114:N114 I124:N124 H125:I125 E126:I126 I127:N128 I131:N132 I134:N136 E135:G136 I139:N139 I145:N145 I155 I157:N157 I159:N162 I164:N166 H167:I169 I172:N173 H175:N175 I178:N178 H180:N180 I182:N182 I187:N188 H189:I190 H192:I192 I201:N201 I203:N207 H209:N209 H212 H215:N215 I220 H221:I226 I227 I236:N237 I246:N247 I258:N258 I260:N262 I263 I267:N270 I273:N275 I277:N277 I279:N279 I287:N287 I289:N290 I292:N292 I296:N296 I299:N300 H301:I301 I302:N304 H305:I305 I306:N306 I310:N310 H311:I312 H313:N313 I314:N317 H320:I320 I322:N322 I329:N329 I333:N334 I337:N337 I340:N340 I345:N345 I350:N350 I354:N354 I356:N356 I358:N358 I363:N363 H366:I366 I368:N370 I373:N373 I386:N387 I390:N390 I391:I393 I394:N394 I396:N397 H398:I402 I405:N405 I410:N411 H412:I412 I413:N414 H415:I417 I418:N418 I432:I433 I434:N436 H437:I437 H439:I440 H447:I453 F450:G460 I454 H455:I459 H460">
    <cfRule type="expression" dxfId="122" priority="372">
      <formula>#REF!="McQueen, Jennifer"</formula>
    </cfRule>
    <cfRule type="expression" dxfId="121" priority="370">
      <formula>#REF!="Benzick, Sue"</formula>
    </cfRule>
    <cfRule type="expression" dxfId="120" priority="371">
      <formula>#REF!="Jenne, Richard"</formula>
    </cfRule>
  </conditionalFormatting>
  <conditionalFormatting sqref="G191:N191">
    <cfRule type="expression" dxfId="119" priority="33">
      <formula>#REF!="McQueen, Jennifer"</formula>
    </cfRule>
    <cfRule type="expression" dxfId="118" priority="32">
      <formula>#REF!="Jenne, Richard"</formula>
    </cfRule>
    <cfRule type="expression" dxfId="117" priority="31">
      <formula>#REF!="Benzick, Sue"</formula>
    </cfRule>
  </conditionalFormatting>
  <conditionalFormatting sqref="H55 H61 H119:H120 H129:I130 H133:I133 H137:I138 H146 H178 H182 H184:H185 H193">
    <cfRule type="expression" dxfId="116" priority="342">
      <formula>#REF!="McQueen, Jennifer"</formula>
    </cfRule>
    <cfRule type="expression" dxfId="115" priority="341">
      <formula>#REF!="Jenne, Richard"</formula>
    </cfRule>
    <cfRule type="expression" dxfId="114" priority="340">
      <formula>#REF!="Benzick, Sue"</formula>
    </cfRule>
  </conditionalFormatting>
  <conditionalFormatting sqref="H135:H136">
    <cfRule type="expression" dxfId="113" priority="10">
      <formula>#REF!="Benzick, Sue"</formula>
    </cfRule>
    <cfRule type="expression" dxfId="112" priority="11">
      <formula>#REF!="Jenne, Richard"</formula>
    </cfRule>
    <cfRule type="expression" dxfId="111" priority="12">
      <formula>#REF!="McQueen, Jennifer"</formula>
    </cfRule>
  </conditionalFormatting>
  <conditionalFormatting sqref="H243">
    <cfRule type="expression" dxfId="110" priority="28">
      <formula>#REF!="Benzick, Sue"</formula>
    </cfRule>
    <cfRule type="expression" dxfId="109" priority="29">
      <formula>#REF!="Jenne, Richard"</formula>
    </cfRule>
    <cfRule type="expression" dxfId="108" priority="30">
      <formula>#REF!="McQueen, Jennifer"</formula>
    </cfRule>
  </conditionalFormatting>
  <conditionalFormatting sqref="I99">
    <cfRule type="expression" dxfId="107" priority="138">
      <formula>#REF!="McQueen, Jennifer"</formula>
    </cfRule>
    <cfRule type="expression" dxfId="106" priority="137">
      <formula>#REF!="Jenne, Richard"</formula>
    </cfRule>
    <cfRule type="expression" dxfId="105" priority="136">
      <formula>#REF!="Benzick, Sue"</formula>
    </cfRule>
  </conditionalFormatting>
  <conditionalFormatting sqref="I170">
    <cfRule type="expression" dxfId="104" priority="27">
      <formula>#REF!="McQueen, Jennifer"</formula>
    </cfRule>
    <cfRule type="expression" dxfId="103" priority="26">
      <formula>#REF!="Jenne, Richard"</formula>
    </cfRule>
    <cfRule type="expression" dxfId="102" priority="25">
      <formula>#REF!="Benzick, Sue"</formula>
    </cfRule>
  </conditionalFormatting>
  <conditionalFormatting sqref="I184:I185">
    <cfRule type="expression" dxfId="101" priority="48">
      <formula>#REF!="McQueen, Jennifer"</formula>
    </cfRule>
    <cfRule type="expression" dxfId="100" priority="47">
      <formula>#REF!="Jenne, Richard"</formula>
    </cfRule>
    <cfRule type="expression" dxfId="99" priority="46">
      <formula>#REF!="Benzick, Sue"</formula>
    </cfRule>
  </conditionalFormatting>
  <conditionalFormatting sqref="I212">
    <cfRule type="expression" dxfId="98" priority="133">
      <formula>#REF!="Benzick, Sue"</formula>
    </cfRule>
    <cfRule type="expression" dxfId="97" priority="134">
      <formula>#REF!="Jenne, Richard"</formula>
    </cfRule>
    <cfRule type="expression" dxfId="96" priority="135">
      <formula>#REF!="McQueen, Jennifer"</formula>
    </cfRule>
  </conditionalFormatting>
  <conditionalFormatting sqref="I229">
    <cfRule type="expression" dxfId="95" priority="76">
      <formula>#REF!="Benzick, Sue"</formula>
    </cfRule>
    <cfRule type="expression" dxfId="94" priority="77">
      <formula>#REF!="Jenne, Richard"</formula>
    </cfRule>
    <cfRule type="expression" dxfId="93" priority="78">
      <formula>#REF!="McQueen, Jennifer"</formula>
    </cfRule>
  </conditionalFormatting>
  <conditionalFormatting sqref="I255">
    <cfRule type="expression" dxfId="92" priority="70">
      <formula>#REF!="Benzick, Sue"</formula>
    </cfRule>
    <cfRule type="expression" dxfId="91" priority="71">
      <formula>#REF!="Jenne, Richard"</formula>
    </cfRule>
    <cfRule type="expression" dxfId="90" priority="72">
      <formula>#REF!="McQueen, Jennifer"</formula>
    </cfRule>
  </conditionalFormatting>
  <conditionalFormatting sqref="I291">
    <cfRule type="expression" dxfId="89" priority="117">
      <formula>#REF!="McQueen, Jennifer"</formula>
    </cfRule>
    <cfRule type="expression" dxfId="88" priority="116">
      <formula>#REF!="Jenne, Richard"</formula>
    </cfRule>
    <cfRule type="expression" dxfId="87" priority="115">
      <formula>#REF!="Benzick, Sue"</formula>
    </cfRule>
  </conditionalFormatting>
  <conditionalFormatting sqref="I336">
    <cfRule type="expression" dxfId="86" priority="119">
      <formula>#REF!="Jenne, Richard"</formula>
    </cfRule>
    <cfRule type="expression" dxfId="85" priority="118">
      <formula>#REF!="Benzick, Sue"</formula>
    </cfRule>
    <cfRule type="expression" dxfId="84" priority="120">
      <formula>#REF!="McQueen, Jennifer"</formula>
    </cfRule>
  </conditionalFormatting>
  <conditionalFormatting sqref="I442">
    <cfRule type="expression" dxfId="83" priority="1">
      <formula>#REF!="Benzick, Sue"</formula>
    </cfRule>
    <cfRule type="expression" dxfId="82" priority="3">
      <formula>#REF!="McQueen, Jennifer"</formula>
    </cfRule>
    <cfRule type="expression" dxfId="81" priority="2">
      <formula>#REF!="Jenne, Richard"</formula>
    </cfRule>
  </conditionalFormatting>
  <conditionalFormatting sqref="I460">
    <cfRule type="expression" dxfId="80" priority="5">
      <formula>#REF!="Jenne, Richard"</formula>
    </cfRule>
    <cfRule type="expression" dxfId="79" priority="6">
      <formula>#REF!="McQueen, Jennifer"</formula>
    </cfRule>
    <cfRule type="expression" dxfId="78" priority="4">
      <formula>#REF!="Benzick, Sue"</formula>
    </cfRule>
  </conditionalFormatting>
  <conditionalFormatting sqref="I117:N120">
    <cfRule type="expression" dxfId="77" priority="51">
      <formula>#REF!="McQueen, Jennifer"</formula>
    </cfRule>
    <cfRule type="expression" dxfId="76" priority="50">
      <formula>#REF!="Jenne, Richard"</formula>
    </cfRule>
    <cfRule type="expression" dxfId="75" priority="49">
      <formula>#REF!="Benzick, Sue"</formula>
    </cfRule>
  </conditionalFormatting>
  <conditionalFormatting sqref="I196:N199">
    <cfRule type="expression" dxfId="74" priority="96">
      <formula>#REF!="McQueen, Jennifer"</formula>
    </cfRule>
    <cfRule type="expression" dxfId="73" priority="95">
      <formula>#REF!="Jenne, Richard"</formula>
    </cfRule>
    <cfRule type="expression" dxfId="72" priority="94">
      <formula>#REF!="Benzick, Sue"</formula>
    </cfRule>
  </conditionalFormatting>
  <conditionalFormatting sqref="I265:N265">
    <cfRule type="expression" dxfId="71" priority="13">
      <formula>#REF!="Benzick, Sue"</formula>
    </cfRule>
    <cfRule type="expression" dxfId="70" priority="14">
      <formula>#REF!="Jenne, Richard"</formula>
    </cfRule>
    <cfRule type="expression" dxfId="69" priority="15">
      <formula>#REF!="McQueen, Jennifer"</formula>
    </cfRule>
  </conditionalFormatting>
  <conditionalFormatting sqref="I281:N281">
    <cfRule type="expression" dxfId="68" priority="20">
      <formula>#REF!="Jenne, Richard"</formula>
    </cfRule>
    <cfRule type="expression" dxfId="67" priority="19">
      <formula>#REF!="Benzick, Sue"</formula>
    </cfRule>
    <cfRule type="expression" dxfId="66" priority="21">
      <formula>#REF!="McQueen, Jennifer"</formula>
    </cfRule>
  </conditionalFormatting>
  <conditionalFormatting sqref="I403:N403">
    <cfRule type="expression" dxfId="65" priority="93">
      <formula>#REF!="McQueen, Jennifer"</formula>
    </cfRule>
    <cfRule type="expression" dxfId="64" priority="91">
      <formula>#REF!="Benzick, Sue"</formula>
    </cfRule>
    <cfRule type="expression" dxfId="63" priority="92">
      <formula>#REF!="Jenne, Richard"</formula>
    </cfRule>
  </conditionalFormatting>
  <conditionalFormatting sqref="I441:N441 I443:N446">
    <cfRule type="expression" dxfId="62" priority="141">
      <formula>#REF!="McQueen, Jennifer"</formula>
    </cfRule>
    <cfRule type="expression" dxfId="61" priority="140">
      <formula>#REF!="Jenne, Richard"</formula>
    </cfRule>
    <cfRule type="expression" dxfId="60" priority="139">
      <formula>#REF!="Benzick, Sue"</formula>
    </cfRule>
  </conditionalFormatting>
  <conditionalFormatting sqref="J62">
    <cfRule type="expression" dxfId="59" priority="112">
      <formula>#REF!="Benzick, Sue"</formula>
    </cfRule>
    <cfRule type="expression" dxfId="58" priority="113">
      <formula>#REF!="Jenne, Richard"</formula>
    </cfRule>
    <cfRule type="expression" dxfId="57" priority="114">
      <formula>#REF!="McQueen, Jennifer"</formula>
    </cfRule>
  </conditionalFormatting>
  <conditionalFormatting sqref="J229">
    <cfRule type="expression" dxfId="56" priority="73">
      <formula>$AB229="Benzick, Sue"</formula>
    </cfRule>
    <cfRule type="expression" dxfId="55" priority="75">
      <formula>$AB229="McQueen, Jennifer"</formula>
    </cfRule>
    <cfRule type="expression" dxfId="54" priority="74">
      <formula>$AB229="Jenne, Richard"</formula>
    </cfRule>
  </conditionalFormatting>
  <conditionalFormatting sqref="J255">
    <cfRule type="expression" dxfId="53" priority="69">
      <formula>$AB255="McQueen, Jennifer"</formula>
    </cfRule>
    <cfRule type="expression" dxfId="52" priority="68">
      <formula>$AB255="Jenne, Richard"</formula>
    </cfRule>
    <cfRule type="expression" dxfId="51" priority="67">
      <formula>$AB255="Benzick, Sue"</formula>
    </cfRule>
  </conditionalFormatting>
  <conditionalFormatting sqref="J263">
    <cfRule type="expression" dxfId="50" priority="65">
      <formula>$AB263="Jenne, Richard"</formula>
    </cfRule>
    <cfRule type="expression" dxfId="49" priority="64">
      <formula>$AB263="Benzick, Sue"</formula>
    </cfRule>
    <cfRule type="expression" dxfId="48" priority="66">
      <formula>$AB263="McQueen, Jennifer"</formula>
    </cfRule>
  </conditionalFormatting>
  <conditionalFormatting sqref="J391:J393">
    <cfRule type="expression" dxfId="47" priority="63">
      <formula>$AB391="McQueen, Jennifer"</formula>
    </cfRule>
    <cfRule type="expression" dxfId="46" priority="61">
      <formula>$AB391="Benzick, Sue"</formula>
    </cfRule>
    <cfRule type="expression" dxfId="45" priority="62">
      <formula>$AB391="Jenne, Richard"</formula>
    </cfRule>
  </conditionalFormatting>
  <conditionalFormatting sqref="J4:N11 AB4:AB81 J14:N16 J18:N35 A32:A33 Q32:U33 AA32:AA37 AA39:AA47 O41:O68 AA49 AA51:AA65 E55:F55 F69:G70 AA69:AA80 E71:G71 E72:H72 F73:H73 E74:G74 J74:N74 F75:G75 F76:H76 E76:E78 F77:G77 Q77:R87 J78:N78 F78:F79 A78:A81 E80:F81 AA82:AB130 J88:N88 R88 Q89:R98 J94:N94 B95 A96 J96:O97 A97:B97 E99:F99 E102:H102 P106 J107:N107 A108:A111 J112:N112 J115:N115 J121:N123 J125:N125 P126:P131 AB131 AA132:AB145 P134 A138 E142 J143:N143 E145:H145 O145:P145 E147:G147 AA147:AB147 J147:N148 E148 P148 AA148:AA149 AB148:AB155 F149 K149 M149:N149 F151:G154 AA151:AA155 F155:H155 J155:N156 F156:F157 F161 E161:E162 E164:E168 E170:E173 E175 O178:O181 E182 O183:O190 O192:O199 F195:F196 O201:O208 AA201:AB213 J209:O209 O210:O211 J211:N211 AB214:AB215 AA216:AB240 J218:N218 J220:N224 A224 J227:O228 O229:O244 J231:N231 J241:N241 AA241:AA245 AB241:AB254 J244:N244 AB256 J257:N257 AA257:AB257 AB258:AB460 A288 A335 J336:N336 A412 A426">
    <cfRule type="expression" dxfId="44" priority="589">
      <formula>$AA4="Benzick, Sue"</formula>
    </cfRule>
    <cfRule type="expression" dxfId="43" priority="590">
      <formula>$AA4="Jenne, Richard"</formula>
    </cfRule>
    <cfRule type="expression" dxfId="42" priority="591">
      <formula>$AA4="McQueen, Jennifer"</formula>
    </cfRule>
  </conditionalFormatting>
  <conditionalFormatting sqref="J37:N37">
    <cfRule type="expression" dxfId="41" priority="56">
      <formula>$AA37="Jenne, Richard"</formula>
    </cfRule>
    <cfRule type="expression" dxfId="40" priority="57">
      <formula>$AA37="McQueen, Jennifer"</formula>
    </cfRule>
    <cfRule type="expression" dxfId="39" priority="55">
      <formula>$AA37="Benzick, Sue"</formula>
    </cfRule>
  </conditionalFormatting>
  <conditionalFormatting sqref="J64:N64">
    <cfRule type="expression" dxfId="38" priority="87">
      <formula>$AB64="McQueen, Jennifer"</formula>
    </cfRule>
    <cfRule type="expression" dxfId="37" priority="86">
      <formula>$AB64="Jenne, Richard"</formula>
    </cfRule>
    <cfRule type="expression" dxfId="36" priority="85">
      <formula>$AB64="Benzick, Sue"</formula>
    </cfRule>
  </conditionalFormatting>
  <conditionalFormatting sqref="J71:N71">
    <cfRule type="expression" dxfId="35" priority="82">
      <formula>$AB71="Benzick, Sue"</formula>
    </cfRule>
    <cfRule type="expression" dxfId="34" priority="84">
      <formula>$AB71="McQueen, Jennifer"</formula>
    </cfRule>
    <cfRule type="expression" dxfId="33" priority="83">
      <formula>$AB71="Jenne, Richard"</formula>
    </cfRule>
  </conditionalFormatting>
  <conditionalFormatting sqref="K62">
    <cfRule type="expression" dxfId="32" priority="110">
      <formula>#REF!="Jenne, Richard"</formula>
    </cfRule>
    <cfRule type="expression" dxfId="31" priority="111">
      <formula>#REF!="McQueen, Jennifer"</formula>
    </cfRule>
    <cfRule type="expression" dxfId="30" priority="109">
      <formula>#REF!="Benzick, Sue"</formula>
    </cfRule>
  </conditionalFormatting>
  <conditionalFormatting sqref="L62">
    <cfRule type="expression" dxfId="29" priority="106">
      <formula>#REF!="Benzick, Sue"</formula>
    </cfRule>
    <cfRule type="expression" dxfId="28" priority="107">
      <formula>#REF!="Jenne, Richard"</formula>
    </cfRule>
    <cfRule type="expression" dxfId="27" priority="108">
      <formula>#REF!="McQueen, Jennifer"</formula>
    </cfRule>
  </conditionalFormatting>
  <conditionalFormatting sqref="M62">
    <cfRule type="expression" dxfId="26" priority="103">
      <formula>#REF!="Benzick, Sue"</formula>
    </cfRule>
    <cfRule type="expression" dxfId="25" priority="104">
      <formula>#REF!="Jenne, Richard"</formula>
    </cfRule>
    <cfRule type="expression" dxfId="24" priority="105">
      <formula>#REF!="McQueen, Jennifer"</formula>
    </cfRule>
  </conditionalFormatting>
  <conditionalFormatting sqref="N62">
    <cfRule type="expression" dxfId="23" priority="101">
      <formula>#REF!="Jenne, Richard"</formula>
    </cfRule>
    <cfRule type="expression" dxfId="22" priority="102">
      <formula>#REF!="McQueen, Jennifer"</formula>
    </cfRule>
    <cfRule type="expression" dxfId="21" priority="100">
      <formula>#REF!="Benzick, Sue"</formula>
    </cfRule>
  </conditionalFormatting>
  <conditionalFormatting sqref="P169">
    <cfRule type="expression" dxfId="20" priority="24">
      <formula>$AA169="McQueen, Jennifer"</formula>
    </cfRule>
    <cfRule type="expression" dxfId="19" priority="23">
      <formula>$AA169="Jenne, Richard"</formula>
    </cfRule>
    <cfRule type="expression" dxfId="18" priority="22">
      <formula>$AA169="Benzick, Sue"</formula>
    </cfRule>
  </conditionalFormatting>
  <conditionalFormatting sqref="S151:S192">
    <cfRule type="expression" dxfId="17" priority="36">
      <formula>$AB151="McQueen, Jennifer"</formula>
    </cfRule>
    <cfRule type="expression" dxfId="16" priority="35">
      <formula>$AB151="Jenne, Richard"</formula>
    </cfRule>
    <cfRule type="expression" dxfId="15" priority="34">
      <formula>$AB151="Benzick, Sue"</formula>
    </cfRule>
  </conditionalFormatting>
  <conditionalFormatting sqref="AA156:AB199">
    <cfRule type="expression" dxfId="14" priority="39">
      <formula>$AA156="McQueen, Jennifer"</formula>
    </cfRule>
    <cfRule type="expression" dxfId="13" priority="38">
      <formula>$AA156="Jenne, Richard"</formula>
    </cfRule>
    <cfRule type="expression" dxfId="12" priority="37">
      <formula>$AA156="Benzick, Sue"</formula>
    </cfRule>
  </conditionalFormatting>
  <conditionalFormatting sqref="AE339:AE341">
    <cfRule type="expression" dxfId="11" priority="991">
      <formula>$AG339="Benzick, Sue"</formula>
    </cfRule>
    <cfRule type="expression" dxfId="10" priority="992">
      <formula>$AG339="Jenne, Richard"</formula>
    </cfRule>
    <cfRule type="expression" dxfId="9" priority="993">
      <formula>$AG339="McQueen, Jennifer"</formula>
    </cfRule>
  </conditionalFormatting>
  <conditionalFormatting sqref="AE15:AF36 AE37 AF37:AF38 J38:N38 AE39:AE47 AF40:AF43 AF46:AF50 AE49 AE51:AE64 AF53:AF64 AE65:AF65 AF66:AF69 AE69:AE80 AF71:AF82 AE82:AE85 AF84:AF85 AE86:AG130 AF131:AG136 AE132:AE136 AE137:AG145 AE147:AG166 AF167:AG190 AE191:AG191 AF192:AG199 AF201:AG254 AF255 AF256:AG257 AF258:AF265 AG258:AG310 AF267:AF293 AF295:AF308 AF310 AF311:AG336 AF337:AF341 AG337:AG460">
    <cfRule type="expression" dxfId="8" priority="42">
      <formula>$AF15="McQueen, Jennifer"</formula>
    </cfRule>
    <cfRule type="expression" dxfId="7" priority="41">
      <formula>$AF15="Jenne, Richard"</formula>
    </cfRule>
    <cfRule type="expression" dxfId="6" priority="40">
      <formula>$AF15="Benzick, Sue"</formula>
    </cfRule>
  </conditionalFormatting>
  <conditionalFormatting sqref="AF200">
    <cfRule type="expression" dxfId="5" priority="16">
      <formula>$AF200="Benzick, Sue"</formula>
    </cfRule>
    <cfRule type="expression" dxfId="4" priority="18">
      <formula>$AF200="McQueen, Jennifer"</formula>
    </cfRule>
    <cfRule type="expression" dxfId="3" priority="17">
      <formula>$AF200="Jenne, Richard"</formula>
    </cfRule>
  </conditionalFormatting>
  <conditionalFormatting sqref="AG4:AG85">
    <cfRule type="expression" dxfId="2" priority="1658">
      <formula>$AF4="Benzick, Sue"</formula>
    </cfRule>
    <cfRule type="expression" dxfId="1" priority="1659">
      <formula>$AF4="Jenne, Richard"</formula>
    </cfRule>
    <cfRule type="expression" dxfId="0" priority="1660">
      <formula>$AF4="McQueen, Jennifer"</formula>
    </cfRule>
  </conditionalFormatting>
  <dataValidations count="4">
    <dataValidation type="list" allowBlank="1" showInputMessage="1" showErrorMessage="1" sqref="O466:O688" xr:uid="{00000000-0002-0000-0900-000000000000}">
      <formula1>Instructor</formula1>
    </dataValidation>
    <dataValidation type="list" allowBlank="1" showInputMessage="1" showErrorMessage="1" sqref="B466:B472 B474:B744 B4:B464" xr:uid="{00000000-0002-0000-0900-000001000000}">
      <formula1>Class</formula1>
    </dataValidation>
    <dataValidation type="list" allowBlank="1" showInputMessage="1" showErrorMessage="1" sqref="A72:A74 A188:A190 A192" xr:uid="{00000000-0002-0000-0900-000002000000}">
      <formula1>Location</formula1>
    </dataValidation>
    <dataValidation allowBlank="1" showInputMessage="1" showErrorMessage="1" sqref="AA4:AA145 AA147:AA199 AA201:AA254 AA256:AA460" xr:uid="{00000000-0002-0000-0900-000003000000}"/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986" id="{FAE8564C-E0B5-4D4C-BA71-E356065A4687}">
            <xm:f>'FY24 Canceled'!#REF!="McQueen, Jennifer"</xm:f>
            <x14:dxf>
              <font>
                <b/>
                <i val="0"/>
              </font>
            </x14:dxf>
          </x14:cfRule>
          <x14:cfRule type="expression" priority="5984" id="{AE3F98C1-A40C-4988-9104-8BFD6EEF7747}">
            <xm:f>'FY24 Canceled'!#REF!="Benzick, Sue"</xm:f>
            <x14:dxf>
              <font>
                <b/>
                <i val="0"/>
              </font>
            </x14:dxf>
          </x14:cfRule>
          <x14:cfRule type="expression" priority="5985" id="{6B641A83-B6D8-4AD4-A45E-42408EE57EA7}">
            <xm:f>'FY24 Canceled'!#REF!="Jenne, Richard"</xm:f>
            <x14:dxf>
              <font>
                <b/>
                <i val="0"/>
              </font>
            </x14:dxf>
          </x14:cfRule>
          <xm:sqref>F174 F201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900-000005000000}">
          <x14:formula1>
            <xm:f>Data!$L$2:$L$13</xm:f>
          </x14:formula1>
          <xm:sqref>AF4:AF145 AF147:AF460</xm:sqref>
        </x14:dataValidation>
        <x14:dataValidation type="list" allowBlank="1" showInputMessage="1" showErrorMessage="1" xr:uid="{00000000-0002-0000-0900-000004000000}">
          <x14:formula1>
            <xm:f>Data!$F$2:$F$35</xm:f>
          </x14:formula1>
          <xm:sqref>O4:P199 O201:P254 O256:O464 P256:P463</xm:sqref>
        </x14:dataValidation>
        <x14:dataValidation type="list" allowBlank="1" showInputMessage="1" showErrorMessage="1" xr:uid="{00000000-0002-0000-0900-000006000000}">
          <x14:formula1>
            <xm:f>Data!$J$2:$J$125</xm:f>
          </x14:formula1>
          <xm:sqref>E466:E929</xm:sqref>
        </x14:dataValidation>
        <x14:dataValidation type="list" allowBlank="1" showInputMessage="1" showErrorMessage="1" xr:uid="{00000000-0002-0000-0900-000007000000}">
          <x14:formula1>
            <xm:f>Data!$J$2:$J$130</xm:f>
          </x14:formula1>
          <xm:sqref>E179:E199 E4:E145 E147:E177 E201:E254 E256:E311 E313:E464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E577-63B9-4F94-BD7C-FD1C53B2F6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4C7FA5466C94E8517B32B1AE5CACC" ma:contentTypeVersion="8" ma:contentTypeDescription="Create a new document." ma:contentTypeScope="" ma:versionID="c460c2c8bdbef585d0dd74f48c9bab19">
  <xsd:schema xmlns:xsd="http://www.w3.org/2001/XMLSchema" xmlns:xs="http://www.w3.org/2001/XMLSchema" xmlns:p="http://schemas.microsoft.com/office/2006/metadata/properties" xmlns:ns2="3898f6d4-6cb0-4920-8d93-0dc904493100" targetNamespace="http://schemas.microsoft.com/office/2006/metadata/properties" ma:root="true" ma:fieldsID="80703ff1cd77d7f3d1b05ac9a79fd7e0" ns2:_="">
    <xsd:import namespace="3898f6d4-6cb0-4920-8d93-0dc904493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f6d4-6cb0-4920-8d93-0dc904493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EF0B72-28F0-4EAA-8E88-7C8117EAF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8f6d4-6cb0-4920-8d93-0dc904493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BEE3DD-688F-43CC-82E9-CDBAA99AEC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7AA037-0C6E-4E4C-AEA2-4C281CFC06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11</vt:i4>
      </vt:variant>
    </vt:vector>
  </HeadingPairs>
  <TitlesOfParts>
    <vt:vector size="29" baseType="lpstr">
      <vt:lpstr>Course Counts</vt:lpstr>
      <vt:lpstr>Plan vs Need v1</vt:lpstr>
      <vt:lpstr>Instructor Totals- Days</vt:lpstr>
      <vt:lpstr>Instructor Totals-Weeks</vt:lpstr>
      <vt:lpstr>Location Count</vt:lpstr>
      <vt:lpstr>Data</vt:lpstr>
      <vt:lpstr>Sheet2</vt:lpstr>
      <vt:lpstr>FY24 Status</vt:lpstr>
      <vt:lpstr>Sheet1</vt:lpstr>
      <vt:lpstr>Sheet4</vt:lpstr>
      <vt:lpstr>Sheet3</vt:lpstr>
      <vt:lpstr>Bi-Weekly</vt:lpstr>
      <vt:lpstr>%</vt:lpstr>
      <vt:lpstr>FY24 Canceled</vt:lpstr>
      <vt:lpstr>Sheet5</vt:lpstr>
      <vt:lpstr>Sheet6</vt:lpstr>
      <vt:lpstr>FY 2024 Chron</vt:lpstr>
      <vt:lpstr>Sheet7</vt:lpstr>
      <vt:lpstr>CIN</vt:lpstr>
      <vt:lpstr>Class</vt:lpstr>
      <vt:lpstr>Courses</vt:lpstr>
      <vt:lpstr>Instructor</vt:lpstr>
      <vt:lpstr>Location</vt:lpstr>
      <vt:lpstr>'FY 2024 Chron'!Print_Area</vt:lpstr>
      <vt:lpstr>'FY24 Status'!Print_Area</vt:lpstr>
      <vt:lpstr>'Instructor Totals- Days'!Print_Area</vt:lpstr>
      <vt:lpstr>'Instructor Totals-Weeks'!Print_Area</vt:lpstr>
      <vt:lpstr>'Plan vs Need v1'!Print_Area</vt:lpstr>
      <vt:lpstr>Roster</vt:lpstr>
    </vt:vector>
  </TitlesOfParts>
  <Manager/>
  <Company>HPES NMCI 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McQueen, Jennifer A CIV NAVOSHENVTRACEN, N7TS4</dc:creator>
  <cp:keywords/>
  <dc:description/>
  <cp:lastModifiedBy>Mohler, Hallock N (Hal) CIV USN NAVSAFENVTRACEN NOR (U</cp:lastModifiedBy>
  <cp:revision/>
  <dcterms:created xsi:type="dcterms:W3CDTF">2020-09-15T15:26:38Z</dcterms:created>
  <dcterms:modified xsi:type="dcterms:W3CDTF">2024-08-28T09:24:09Z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0x0101000514C7FA5466C94E8517B32B1AE5CACC</vt:lpwstr>
  </property>
</Properties>
</file>