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ivotTables/pivotTable2.xml" ContentType="application/vnd.openxmlformats-officedocument.spreadsheetml.pivotTable+xml"/>
  <Override PartName="/xl/tables/table7.xml" ContentType="application/vnd.openxmlformats-officedocument.spreadsheetml.table+xml"/>
  <Override PartName="/xl/pivotTables/pivotTable3.xml" ContentType="application/vnd.openxmlformats-officedocument.spreadsheetml.pivot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hallock_n_mohler_civ_us_navy_mil/Documents/Desktop/"/>
    </mc:Choice>
  </mc:AlternateContent>
  <xr:revisionPtr revIDLastSave="0" documentId="13_ncr:1_{ECBAF57E-5D33-41A1-8EA9-ABEF3AA6D9E9}" xr6:coauthVersionLast="47" xr6:coauthVersionMax="47" xr10:uidLastSave="{00000000-0000-0000-0000-000000000000}"/>
  <bookViews>
    <workbookView xWindow="-120" yWindow="90" windowWidth="29040" windowHeight="15630" firstSheet="4" activeTab="4" xr2:uid="{00000000-000D-0000-FFFF-FFFF00000000}"/>
  </bookViews>
  <sheets>
    <sheet name="Sheet3" sheetId="26" state="hidden" r:id="rId1"/>
    <sheet name="TSD-Bi-Weekly" sheetId="25" state="hidden" r:id="rId2"/>
    <sheet name="TSD-Data" sheetId="3" state="hidden" r:id="rId3"/>
    <sheet name="TSD-%" sheetId="20" state="hidden" r:id="rId4"/>
    <sheet name="FY25 Status" sheetId="17" r:id="rId5"/>
    <sheet name="FY 2025 Schedule" sheetId="1" r:id="rId6"/>
    <sheet name="Planning-Need vs Planned" sheetId="32" state="hidden" r:id="rId7"/>
    <sheet name="Planning-Hours tabulation" sheetId="33" state="hidden" r:id="rId8"/>
    <sheet name="FY25 Needs Assessment" sheetId="36" r:id="rId9"/>
    <sheet name="Detail1" sheetId="37" state="hidden" r:id="rId10"/>
    <sheet name="Detail2" sheetId="38" state="hidden" r:id="rId11"/>
    <sheet name="2025 Resident Need Totals" sheetId="35" r:id="rId12"/>
    <sheet name="Detail3" sheetId="39" state="hidden" r:id="rId13"/>
    <sheet name="2025 Global Online Need Totals" sheetId="34" r:id="rId14"/>
    <sheet name="FLT" sheetId="31" state="hidden" r:id="rId15"/>
    <sheet name="OH" sheetId="28" state="hidden" r:id="rId16"/>
    <sheet name="SAF" sheetId="27" state="hidden" r:id="rId17"/>
    <sheet name="ENV" sheetId="29" state="hidden" r:id="rId18"/>
  </sheets>
  <externalReferences>
    <externalReference r:id="rId19"/>
  </externalReferences>
  <definedNames>
    <definedName name="_xlnm._FilterDatabase" localSheetId="6" hidden="1">'Planning-Need vs Planned'!$B$2:$L$39</definedName>
    <definedName name="CIN">'TSD-Data'!$B$2:$B$53</definedName>
    <definedName name="Class" localSheetId="17">#REF!</definedName>
    <definedName name="Class" localSheetId="14">#REF!</definedName>
    <definedName name="Class" localSheetId="15">#REF!</definedName>
    <definedName name="Class" localSheetId="16">#REF!</definedName>
    <definedName name="Class">'TSD-Data'!$A$2:$A$53</definedName>
    <definedName name="Courses">'TSD-Data'!$A$2:$C$53</definedName>
    <definedName name="HighlightRow" localSheetId="17">2</definedName>
    <definedName name="HighlightRow" localSheetId="14">2</definedName>
    <definedName name="HighlightRow" localSheetId="5">2</definedName>
    <definedName name="HighlightRow" localSheetId="15">2</definedName>
    <definedName name="HighlightRow" localSheetId="16">2</definedName>
    <definedName name="HighlightRow">10</definedName>
    <definedName name="Instructor" localSheetId="17">#REF!</definedName>
    <definedName name="Instructor" localSheetId="14">#REF!</definedName>
    <definedName name="Instructor" localSheetId="15">#REF!</definedName>
    <definedName name="Instructor" localSheetId="16">#REF!</definedName>
    <definedName name="Instructor">'TSD-Data'!$G$2:$G$37</definedName>
    <definedName name="Location" localSheetId="13">[1]Data!$J$2:$J$112</definedName>
    <definedName name="Location" localSheetId="11">[1]Data!$J$2:$J$112</definedName>
    <definedName name="Location" localSheetId="17">#REF!</definedName>
    <definedName name="Location" localSheetId="14">#REF!</definedName>
    <definedName name="Location" localSheetId="8">[1]Data!$J$2:$J$112</definedName>
    <definedName name="Location" localSheetId="15">#REF!</definedName>
    <definedName name="Location" localSheetId="16">#REF!</definedName>
    <definedName name="Location">'TSD-Data'!$K$2:$K$91</definedName>
    <definedName name="_xlnm.Print_Area" localSheetId="17">ENV!$A$1:$X$164</definedName>
    <definedName name="_xlnm.Print_Area" localSheetId="14">FLT!$A$1:$X$99</definedName>
    <definedName name="_xlnm.Print_Area" localSheetId="5">'FY 2025 Schedule'!$A$1:$AB$545</definedName>
    <definedName name="_xlnm.Print_Area" localSheetId="8">Table1[#All]</definedName>
    <definedName name="_xlnm.Print_Area" localSheetId="4">'FY25 Status'!$B$3:$AA$41</definedName>
    <definedName name="_xlnm.Print_Area" localSheetId="15">OH!$A$1:$X$460</definedName>
    <definedName name="_xlnm.Print_Area" localSheetId="16">SAF!$A$1:$X$460</definedName>
    <definedName name="Roster" localSheetId="17">#REF!</definedName>
    <definedName name="Roster" localSheetId="14">#REF!</definedName>
    <definedName name="Roster" localSheetId="15">#REF!</definedName>
    <definedName name="Roster" localSheetId="16">#REF!</definedName>
    <definedName name="Roster">'TSD-Data'!$M$2:$M$5</definedName>
  </definedNames>
  <calcPr calcId="191028"/>
  <pivotCaches>
    <pivotCache cacheId="0" r:id="rId20"/>
    <pivotCache cacheId="1" r:id="rId21"/>
    <pivotCache cacheId="2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Q32" i="1"/>
  <c r="R32" i="1"/>
  <c r="S32" i="1"/>
  <c r="AC32" i="1"/>
  <c r="AD32" i="1"/>
  <c r="AE32" i="1"/>
  <c r="C27" i="1"/>
  <c r="D27" i="1"/>
  <c r="Q27" i="1"/>
  <c r="R27" i="1"/>
  <c r="S27" i="1"/>
  <c r="AC27" i="1"/>
  <c r="AD27" i="1"/>
  <c r="AE27" i="1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K5" i="17"/>
  <c r="D11" i="1"/>
  <c r="C12" i="1"/>
  <c r="D12" i="1"/>
  <c r="Q12" i="1"/>
  <c r="R12" i="1"/>
  <c r="S12" i="1"/>
  <c r="AC12" i="1"/>
  <c r="AD12" i="1"/>
  <c r="AE12" i="1"/>
  <c r="C11" i="1"/>
  <c r="Q11" i="1"/>
  <c r="R11" i="1"/>
  <c r="S11" i="1"/>
  <c r="AC11" i="1"/>
  <c r="AD11" i="1"/>
  <c r="AE11" i="1"/>
  <c r="J41" i="36"/>
  <c r="R41" i="36"/>
  <c r="X41" i="36"/>
  <c r="AA41" i="36"/>
  <c r="AF41" i="36"/>
  <c r="AJ41" i="36"/>
  <c r="W13" i="36"/>
  <c r="C4" i="1"/>
  <c r="D4" i="1"/>
  <c r="C25" i="1"/>
  <c r="D25" i="1"/>
  <c r="C35" i="1"/>
  <c r="D35" i="1"/>
  <c r="AN41" i="36"/>
  <c r="AL41" i="36"/>
  <c r="AK41" i="36"/>
  <c r="AI41" i="36"/>
  <c r="AD41" i="36"/>
  <c r="AC41" i="36"/>
  <c r="AB41" i="36"/>
  <c r="V41" i="36"/>
  <c r="U41" i="36"/>
  <c r="S41" i="36"/>
  <c r="P41" i="36"/>
  <c r="O41" i="36"/>
  <c r="F41" i="36"/>
  <c r="N40" i="36"/>
  <c r="H40" i="36"/>
  <c r="I40" i="36" s="1"/>
  <c r="M40" i="36" s="1"/>
  <c r="AO21" i="36"/>
  <c r="AM21" i="36"/>
  <c r="AG21" i="36"/>
  <c r="AE21" i="36"/>
  <c r="Y21" i="36"/>
  <c r="W21" i="36"/>
  <c r="N21" i="36"/>
  <c r="L21" i="36"/>
  <c r="H21" i="36"/>
  <c r="I21" i="36" s="1"/>
  <c r="M21" i="36" s="1"/>
  <c r="AO35" i="36"/>
  <c r="AM35" i="36"/>
  <c r="AG35" i="36"/>
  <c r="AE35" i="36"/>
  <c r="Y35" i="36"/>
  <c r="W35" i="36"/>
  <c r="N35" i="36"/>
  <c r="L35" i="36"/>
  <c r="H35" i="36"/>
  <c r="I35" i="36" s="1"/>
  <c r="M35" i="36" s="1"/>
  <c r="AO2" i="36"/>
  <c r="AM2" i="36"/>
  <c r="AG2" i="36"/>
  <c r="AE2" i="36"/>
  <c r="Y2" i="36"/>
  <c r="W2" i="36"/>
  <c r="N2" i="36"/>
  <c r="L2" i="36"/>
  <c r="H2" i="36"/>
  <c r="I2" i="36" s="1"/>
  <c r="M2" i="36" s="1"/>
  <c r="N39" i="36"/>
  <c r="H39" i="36"/>
  <c r="I39" i="36" s="1"/>
  <c r="M39" i="36" s="1"/>
  <c r="AO16" i="36"/>
  <c r="AM16" i="36"/>
  <c r="AG16" i="36"/>
  <c r="AE16" i="36"/>
  <c r="Y16" i="36"/>
  <c r="W16" i="36"/>
  <c r="N16" i="36"/>
  <c r="L16" i="36"/>
  <c r="H16" i="36"/>
  <c r="I16" i="36" s="1"/>
  <c r="M16" i="36" s="1"/>
  <c r="AO14" i="36"/>
  <c r="AM14" i="36"/>
  <c r="AG14" i="36"/>
  <c r="AE14" i="36"/>
  <c r="Y14" i="36"/>
  <c r="W14" i="36"/>
  <c r="N14" i="36"/>
  <c r="L14" i="36"/>
  <c r="H14" i="36"/>
  <c r="I14" i="36" s="1"/>
  <c r="M14" i="36" s="1"/>
  <c r="AO18" i="36"/>
  <c r="AM18" i="36"/>
  <c r="AG18" i="36"/>
  <c r="AE18" i="36"/>
  <c r="Y18" i="36"/>
  <c r="W18" i="36"/>
  <c r="N18" i="36"/>
  <c r="L18" i="36"/>
  <c r="H18" i="36"/>
  <c r="I18" i="36" s="1"/>
  <c r="M18" i="36" s="1"/>
  <c r="N38" i="36"/>
  <c r="H38" i="36"/>
  <c r="I38" i="36" s="1"/>
  <c r="M38" i="36" s="1"/>
  <c r="AO11" i="36"/>
  <c r="AM11" i="36"/>
  <c r="AG11" i="36"/>
  <c r="AE11" i="36"/>
  <c r="Y11" i="36"/>
  <c r="W11" i="36"/>
  <c r="N11" i="36"/>
  <c r="L11" i="36"/>
  <c r="H11" i="36"/>
  <c r="I11" i="36" s="1"/>
  <c r="M11" i="36" s="1"/>
  <c r="AO6" i="36"/>
  <c r="AM6" i="36"/>
  <c r="AG6" i="36"/>
  <c r="AE6" i="36"/>
  <c r="Y6" i="36"/>
  <c r="W6" i="36"/>
  <c r="N6" i="36"/>
  <c r="L6" i="36"/>
  <c r="H6" i="36"/>
  <c r="I6" i="36" s="1"/>
  <c r="M6" i="36" s="1"/>
  <c r="AO23" i="36"/>
  <c r="AM23" i="36"/>
  <c r="AG23" i="36"/>
  <c r="AE23" i="36"/>
  <c r="Y23" i="36"/>
  <c r="W23" i="36"/>
  <c r="N23" i="36"/>
  <c r="L23" i="36"/>
  <c r="H23" i="36"/>
  <c r="I23" i="36" s="1"/>
  <c r="M23" i="36" s="1"/>
  <c r="AO4" i="36"/>
  <c r="AM4" i="36"/>
  <c r="AF4" i="36"/>
  <c r="AE4" i="36"/>
  <c r="Y4" i="36"/>
  <c r="W4" i="36"/>
  <c r="N4" i="36"/>
  <c r="L4" i="36"/>
  <c r="H4" i="36"/>
  <c r="I4" i="36" s="1"/>
  <c r="M4" i="36" s="1"/>
  <c r="AO10" i="36"/>
  <c r="AM10" i="36"/>
  <c r="AF10" i="36"/>
  <c r="AG10" i="36" s="1"/>
  <c r="AE10" i="36"/>
  <c r="Y10" i="36"/>
  <c r="W10" i="36"/>
  <c r="N10" i="36"/>
  <c r="L10" i="36"/>
  <c r="H10" i="36"/>
  <c r="I10" i="36" s="1"/>
  <c r="M10" i="36" s="1"/>
  <c r="AO5" i="36"/>
  <c r="AM5" i="36"/>
  <c r="AG5" i="36"/>
  <c r="AE5" i="36"/>
  <c r="Y5" i="36"/>
  <c r="W5" i="36"/>
  <c r="N5" i="36"/>
  <c r="L5" i="36"/>
  <c r="H5" i="36"/>
  <c r="I5" i="36" s="1"/>
  <c r="M5" i="36" s="1"/>
  <c r="AO33" i="36"/>
  <c r="AM33" i="36"/>
  <c r="AG33" i="36"/>
  <c r="AE33" i="36"/>
  <c r="Y33" i="36"/>
  <c r="W33" i="36"/>
  <c r="N33" i="36"/>
  <c r="L33" i="36"/>
  <c r="H33" i="36"/>
  <c r="I33" i="36" s="1"/>
  <c r="M33" i="36" s="1"/>
  <c r="AO13" i="36"/>
  <c r="AM13" i="36"/>
  <c r="AG13" i="36"/>
  <c r="AE13" i="36"/>
  <c r="Y13" i="36"/>
  <c r="N13" i="36"/>
  <c r="L13" i="36"/>
  <c r="H13" i="36"/>
  <c r="I13" i="36" s="1"/>
  <c r="M13" i="36" s="1"/>
  <c r="AO27" i="36"/>
  <c r="AM27" i="36"/>
  <c r="AG27" i="36"/>
  <c r="AE27" i="36"/>
  <c r="Y27" i="36"/>
  <c r="W27" i="36"/>
  <c r="N27" i="36"/>
  <c r="L27" i="36"/>
  <c r="H27" i="36"/>
  <c r="I27" i="36" s="1"/>
  <c r="M27" i="36" s="1"/>
  <c r="AO19" i="36"/>
  <c r="AM19" i="36"/>
  <c r="AG19" i="36"/>
  <c r="AE19" i="36"/>
  <c r="Y19" i="36"/>
  <c r="W19" i="36"/>
  <c r="N19" i="36"/>
  <c r="L19" i="36"/>
  <c r="H19" i="36"/>
  <c r="I19" i="36" s="1"/>
  <c r="M19" i="36" s="1"/>
  <c r="AO15" i="36"/>
  <c r="AM15" i="36"/>
  <c r="AG15" i="36"/>
  <c r="AE15" i="36"/>
  <c r="Y15" i="36"/>
  <c r="W15" i="36"/>
  <c r="N15" i="36"/>
  <c r="L15" i="36"/>
  <c r="H15" i="36"/>
  <c r="I15" i="36" s="1"/>
  <c r="M15" i="36" s="1"/>
  <c r="AO30" i="36"/>
  <c r="AM30" i="36"/>
  <c r="AG30" i="36"/>
  <c r="AE30" i="36"/>
  <c r="Y30" i="36"/>
  <c r="W30" i="36"/>
  <c r="N30" i="36"/>
  <c r="L30" i="36"/>
  <c r="H30" i="36"/>
  <c r="I30" i="36" s="1"/>
  <c r="M30" i="36" s="1"/>
  <c r="AO3" i="36"/>
  <c r="AM3" i="36"/>
  <c r="AF3" i="36"/>
  <c r="AG3" i="36" s="1"/>
  <c r="AE3" i="36"/>
  <c r="Y3" i="36"/>
  <c r="W3" i="36"/>
  <c r="N3" i="36"/>
  <c r="L3" i="36"/>
  <c r="H3" i="36"/>
  <c r="I3" i="36" s="1"/>
  <c r="M3" i="36" s="1"/>
  <c r="AO12" i="36"/>
  <c r="AM12" i="36"/>
  <c r="AG12" i="36"/>
  <c r="AE12" i="36"/>
  <c r="Y12" i="36"/>
  <c r="W12" i="36"/>
  <c r="N12" i="36"/>
  <c r="L12" i="36"/>
  <c r="H12" i="36"/>
  <c r="I12" i="36" s="1"/>
  <c r="M12" i="36" s="1"/>
  <c r="AO31" i="36"/>
  <c r="AM31" i="36"/>
  <c r="AG31" i="36"/>
  <c r="AE31" i="36"/>
  <c r="Y31" i="36"/>
  <c r="W31" i="36"/>
  <c r="N31" i="36"/>
  <c r="L31" i="36"/>
  <c r="H31" i="36"/>
  <c r="I31" i="36" s="1"/>
  <c r="M31" i="36" s="1"/>
  <c r="AO8" i="36"/>
  <c r="AM8" i="36"/>
  <c r="AG8" i="36"/>
  <c r="AE8" i="36"/>
  <c r="Y8" i="36"/>
  <c r="W8" i="36"/>
  <c r="N8" i="36"/>
  <c r="L8" i="36"/>
  <c r="H8" i="36"/>
  <c r="I8" i="36" s="1"/>
  <c r="M8" i="36" s="1"/>
  <c r="AG22" i="36"/>
  <c r="AE22" i="36"/>
  <c r="Y22" i="36"/>
  <c r="W22" i="36"/>
  <c r="N22" i="36"/>
  <c r="L22" i="36"/>
  <c r="H22" i="36"/>
  <c r="I22" i="36" s="1"/>
  <c r="M22" i="36" s="1"/>
  <c r="AG9" i="36"/>
  <c r="AE9" i="36"/>
  <c r="Y9" i="36"/>
  <c r="W9" i="36"/>
  <c r="N9" i="36"/>
  <c r="L9" i="36"/>
  <c r="H9" i="36"/>
  <c r="I9" i="36" s="1"/>
  <c r="M9" i="36" s="1"/>
  <c r="AG37" i="36"/>
  <c r="AE37" i="36"/>
  <c r="Y37" i="36"/>
  <c r="N37" i="36"/>
  <c r="L37" i="36"/>
  <c r="H37" i="36"/>
  <c r="I37" i="36" s="1"/>
  <c r="M37" i="36" s="1"/>
  <c r="AO26" i="36"/>
  <c r="AM26" i="36"/>
  <c r="AG26" i="36"/>
  <c r="AE26" i="36"/>
  <c r="Y26" i="36"/>
  <c r="W26" i="36"/>
  <c r="N26" i="36"/>
  <c r="L26" i="36"/>
  <c r="H26" i="36"/>
  <c r="I26" i="36" s="1"/>
  <c r="M26" i="36" s="1"/>
  <c r="AO29" i="36"/>
  <c r="AM29" i="36"/>
  <c r="AG29" i="36"/>
  <c r="AE29" i="36"/>
  <c r="Y29" i="36"/>
  <c r="W29" i="36"/>
  <c r="N29" i="36"/>
  <c r="L29" i="36"/>
  <c r="H29" i="36"/>
  <c r="I29" i="36" s="1"/>
  <c r="M29" i="36" s="1"/>
  <c r="AO24" i="36"/>
  <c r="AM24" i="36"/>
  <c r="AG24" i="36"/>
  <c r="AE24" i="36"/>
  <c r="Y24" i="36"/>
  <c r="W24" i="36"/>
  <c r="N24" i="36"/>
  <c r="L24" i="36"/>
  <c r="H24" i="36"/>
  <c r="I24" i="36" s="1"/>
  <c r="M24" i="36" s="1"/>
  <c r="AO7" i="36"/>
  <c r="AM7" i="36"/>
  <c r="AF7" i="36"/>
  <c r="AG7" i="36" s="1"/>
  <c r="AE7" i="36"/>
  <c r="Y7" i="36"/>
  <c r="W7" i="36"/>
  <c r="N7" i="36"/>
  <c r="L7" i="36"/>
  <c r="H7" i="36"/>
  <c r="I7" i="36" s="1"/>
  <c r="M7" i="36" s="1"/>
  <c r="AO25" i="36"/>
  <c r="AM25" i="36"/>
  <c r="AG25" i="36"/>
  <c r="AE25" i="36"/>
  <c r="Y25" i="36"/>
  <c r="W25" i="36"/>
  <c r="N25" i="36"/>
  <c r="L25" i="36"/>
  <c r="H25" i="36"/>
  <c r="I25" i="36" s="1"/>
  <c r="M25" i="36" s="1"/>
  <c r="AO36" i="36"/>
  <c r="AM36" i="36"/>
  <c r="AG36" i="36"/>
  <c r="AE36" i="36"/>
  <c r="Y36" i="36"/>
  <c r="W36" i="36"/>
  <c r="N36" i="36"/>
  <c r="L36" i="36"/>
  <c r="H36" i="36"/>
  <c r="I36" i="36" s="1"/>
  <c r="M36" i="36" s="1"/>
  <c r="AO32" i="36"/>
  <c r="AM32" i="36"/>
  <c r="AG32" i="36"/>
  <c r="AE32" i="36"/>
  <c r="Y32" i="36"/>
  <c r="W32" i="36"/>
  <c r="N32" i="36"/>
  <c r="L32" i="36"/>
  <c r="H32" i="36"/>
  <c r="I32" i="36" s="1"/>
  <c r="M32" i="36" s="1"/>
  <c r="AO34" i="36"/>
  <c r="AM34" i="36"/>
  <c r="AG34" i="36"/>
  <c r="AE34" i="36"/>
  <c r="Y34" i="36"/>
  <c r="W34" i="36"/>
  <c r="N34" i="36"/>
  <c r="L34" i="36"/>
  <c r="H34" i="36"/>
  <c r="I34" i="36" s="1"/>
  <c r="M34" i="36" s="1"/>
  <c r="AO17" i="36"/>
  <c r="AM17" i="36"/>
  <c r="AG17" i="36"/>
  <c r="AE17" i="36"/>
  <c r="Y17" i="36"/>
  <c r="W17" i="36"/>
  <c r="N17" i="36"/>
  <c r="L17" i="36"/>
  <c r="H17" i="36"/>
  <c r="I17" i="36" s="1"/>
  <c r="M17" i="36" s="1"/>
  <c r="AO28" i="36"/>
  <c r="AM28" i="36"/>
  <c r="AG28" i="36"/>
  <c r="AE28" i="36"/>
  <c r="Y28" i="36"/>
  <c r="W28" i="36"/>
  <c r="N28" i="36"/>
  <c r="L28" i="36"/>
  <c r="H28" i="36"/>
  <c r="I28" i="36" s="1"/>
  <c r="M28" i="36" s="1"/>
  <c r="AO20" i="36"/>
  <c r="AM20" i="36"/>
  <c r="AG20" i="36"/>
  <c r="AE20" i="36"/>
  <c r="Y20" i="36"/>
  <c r="W20" i="36"/>
  <c r="N20" i="36"/>
  <c r="L20" i="36"/>
  <c r="H20" i="36"/>
  <c r="I20" i="36" s="1"/>
  <c r="DC27" i="35"/>
  <c r="DB27" i="35"/>
  <c r="DA27" i="35"/>
  <c r="CZ27" i="35"/>
  <c r="CY27" i="35"/>
  <c r="CX27" i="35"/>
  <c r="CW27" i="35"/>
  <c r="CV27" i="35"/>
  <c r="CU27" i="35"/>
  <c r="CT27" i="35"/>
  <c r="CS27" i="35"/>
  <c r="CR27" i="35"/>
  <c r="CQ27" i="35"/>
  <c r="CP27" i="35"/>
  <c r="CO27" i="35"/>
  <c r="CN27" i="35"/>
  <c r="CM27" i="35"/>
  <c r="CL27" i="35"/>
  <c r="CK27" i="35"/>
  <c r="CJ27" i="35"/>
  <c r="CI27" i="35"/>
  <c r="CH27" i="35"/>
  <c r="CG27" i="35"/>
  <c r="CF27" i="35"/>
  <c r="CE27" i="35"/>
  <c r="CD27" i="35"/>
  <c r="CC27" i="35"/>
  <c r="CB27" i="35"/>
  <c r="CA27" i="35"/>
  <c r="BZ27" i="35"/>
  <c r="BY27" i="35"/>
  <c r="BX27" i="35"/>
  <c r="BW27" i="35"/>
  <c r="BV27" i="35"/>
  <c r="BU27" i="35"/>
  <c r="BT27" i="35"/>
  <c r="BS27" i="35"/>
  <c r="BR27" i="35"/>
  <c r="BQ27" i="35"/>
  <c r="BP27" i="35"/>
  <c r="BO27" i="35"/>
  <c r="BN27" i="35"/>
  <c r="BM27" i="35"/>
  <c r="BL27" i="35"/>
  <c r="BK27" i="35"/>
  <c r="BJ27" i="35"/>
  <c r="BI27" i="35"/>
  <c r="BH27" i="35"/>
  <c r="BG27" i="35"/>
  <c r="BF27" i="35"/>
  <c r="BE27" i="35"/>
  <c r="BD27" i="35"/>
  <c r="BC27" i="35"/>
  <c r="BB27" i="35"/>
  <c r="BA27" i="35"/>
  <c r="AZ27" i="35"/>
  <c r="AY27" i="35"/>
  <c r="AX27" i="35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AG4" i="36" l="1"/>
  <c r="I41" i="36"/>
  <c r="M41" i="36" s="1"/>
  <c r="M20" i="36"/>
  <c r="E38" i="17" l="1"/>
  <c r="G38" i="17" s="1"/>
  <c r="K38" i="17"/>
  <c r="U38" i="17" s="1"/>
  <c r="O38" i="17"/>
  <c r="C509" i="1"/>
  <c r="D509" i="1"/>
  <c r="Q509" i="1"/>
  <c r="R509" i="1"/>
  <c r="S509" i="1"/>
  <c r="AC509" i="1"/>
  <c r="AD509" i="1"/>
  <c r="AE509" i="1"/>
  <c r="C477" i="1"/>
  <c r="D477" i="1"/>
  <c r="Q477" i="1"/>
  <c r="R477" i="1"/>
  <c r="S477" i="1"/>
  <c r="AC477" i="1"/>
  <c r="AD477" i="1"/>
  <c r="AE477" i="1"/>
  <c r="C271" i="1"/>
  <c r="D271" i="1"/>
  <c r="Q271" i="1"/>
  <c r="R271" i="1"/>
  <c r="S271" i="1"/>
  <c r="AC271" i="1"/>
  <c r="AD271" i="1"/>
  <c r="AE271" i="1"/>
  <c r="C224" i="1"/>
  <c r="D224" i="1"/>
  <c r="Q224" i="1"/>
  <c r="R224" i="1"/>
  <c r="S224" i="1"/>
  <c r="AC224" i="1"/>
  <c r="AD224" i="1"/>
  <c r="AE224" i="1"/>
  <c r="C67" i="1"/>
  <c r="D67" i="1"/>
  <c r="Q67" i="1"/>
  <c r="R67" i="1"/>
  <c r="S67" i="1"/>
  <c r="AC67" i="1"/>
  <c r="AD67" i="1"/>
  <c r="AE67" i="1"/>
  <c r="C48" i="1"/>
  <c r="D48" i="1"/>
  <c r="Q48" i="1"/>
  <c r="R48" i="1"/>
  <c r="S48" i="1"/>
  <c r="AC48" i="1"/>
  <c r="AD48" i="1"/>
  <c r="AE48" i="1"/>
  <c r="C42" i="1"/>
  <c r="D42" i="1"/>
  <c r="Q42" i="1"/>
  <c r="R42" i="1"/>
  <c r="S42" i="1"/>
  <c r="AC42" i="1"/>
  <c r="AD42" i="1"/>
  <c r="AE42" i="1"/>
  <c r="C377" i="1"/>
  <c r="D377" i="1"/>
  <c r="Q377" i="1"/>
  <c r="R377" i="1"/>
  <c r="S377" i="1"/>
  <c r="AC377" i="1"/>
  <c r="AD377" i="1"/>
  <c r="AE377" i="1"/>
  <c r="C366" i="1"/>
  <c r="D366" i="1"/>
  <c r="Q366" i="1"/>
  <c r="R366" i="1"/>
  <c r="S366" i="1"/>
  <c r="AC366" i="1"/>
  <c r="AD366" i="1"/>
  <c r="AE366" i="1"/>
  <c r="C72" i="1"/>
  <c r="D72" i="1"/>
  <c r="Q72" i="1"/>
  <c r="R72" i="1"/>
  <c r="S72" i="1"/>
  <c r="AC72" i="1"/>
  <c r="AD72" i="1"/>
  <c r="AE72" i="1"/>
  <c r="C60" i="1"/>
  <c r="D60" i="1"/>
  <c r="Q60" i="1"/>
  <c r="R60" i="1"/>
  <c r="S60" i="1"/>
  <c r="AC60" i="1"/>
  <c r="AD60" i="1"/>
  <c r="AE60" i="1"/>
  <c r="C45" i="1"/>
  <c r="D45" i="1"/>
  <c r="Q45" i="1"/>
  <c r="R45" i="1"/>
  <c r="S45" i="1"/>
  <c r="AC45" i="1"/>
  <c r="AD45" i="1"/>
  <c r="AE45" i="1"/>
  <c r="C349" i="1"/>
  <c r="D349" i="1"/>
  <c r="Q349" i="1"/>
  <c r="R349" i="1"/>
  <c r="S349" i="1"/>
  <c r="AC349" i="1"/>
  <c r="AD349" i="1"/>
  <c r="AE349" i="1"/>
  <c r="C400" i="1"/>
  <c r="D400" i="1"/>
  <c r="Q400" i="1"/>
  <c r="R400" i="1"/>
  <c r="S400" i="1"/>
  <c r="AC400" i="1"/>
  <c r="AD400" i="1"/>
  <c r="AE400" i="1"/>
  <c r="C291" i="1"/>
  <c r="D291" i="1"/>
  <c r="Q291" i="1"/>
  <c r="R291" i="1"/>
  <c r="S291" i="1"/>
  <c r="AC291" i="1"/>
  <c r="AD291" i="1"/>
  <c r="AE291" i="1"/>
  <c r="C357" i="1"/>
  <c r="D357" i="1"/>
  <c r="Q357" i="1"/>
  <c r="R357" i="1"/>
  <c r="S357" i="1"/>
  <c r="AC357" i="1"/>
  <c r="AD357" i="1"/>
  <c r="AE357" i="1"/>
  <c r="C457" i="1"/>
  <c r="D457" i="1"/>
  <c r="Q457" i="1"/>
  <c r="R457" i="1"/>
  <c r="S457" i="1"/>
  <c r="AC457" i="1"/>
  <c r="AD457" i="1"/>
  <c r="AE457" i="1"/>
  <c r="C524" i="1"/>
  <c r="Q524" i="1"/>
  <c r="R524" i="1"/>
  <c r="S524" i="1"/>
  <c r="AC524" i="1"/>
  <c r="AD524" i="1"/>
  <c r="AE524" i="1"/>
  <c r="C347" i="1"/>
  <c r="Q347" i="1"/>
  <c r="R347" i="1"/>
  <c r="S347" i="1"/>
  <c r="AC347" i="1"/>
  <c r="AD347" i="1"/>
  <c r="AE347" i="1"/>
  <c r="C213" i="1"/>
  <c r="Q213" i="1"/>
  <c r="R213" i="1"/>
  <c r="S213" i="1"/>
  <c r="AC213" i="1"/>
  <c r="AD213" i="1"/>
  <c r="AE213" i="1"/>
  <c r="C78" i="1"/>
  <c r="Q78" i="1"/>
  <c r="R78" i="1"/>
  <c r="S78" i="1"/>
  <c r="AC78" i="1"/>
  <c r="AD78" i="1"/>
  <c r="AE78" i="1"/>
  <c r="S6" i="1"/>
  <c r="S7" i="1"/>
  <c r="S9" i="1"/>
  <c r="S10" i="1"/>
  <c r="S13" i="1"/>
  <c r="S14" i="1"/>
  <c r="S15" i="1"/>
  <c r="S16" i="1"/>
  <c r="S17" i="1"/>
  <c r="S18" i="1"/>
  <c r="S19" i="1"/>
  <c r="S20" i="1"/>
  <c r="S21" i="1"/>
  <c r="S22" i="1"/>
  <c r="S65" i="1"/>
  <c r="S64" i="1"/>
  <c r="S47" i="1"/>
  <c r="S24" i="1"/>
  <c r="S25" i="1"/>
  <c r="S26" i="1"/>
  <c r="S28" i="1"/>
  <c r="S29" i="1"/>
  <c r="S532" i="1"/>
  <c r="S75" i="1"/>
  <c r="S30" i="1"/>
  <c r="S31" i="1"/>
  <c r="S33" i="1"/>
  <c r="S34" i="1"/>
  <c r="S35" i="1"/>
  <c r="S36" i="1"/>
  <c r="S37" i="1"/>
  <c r="S38" i="1"/>
  <c r="S39" i="1"/>
  <c r="S40" i="1"/>
  <c r="S41" i="1"/>
  <c r="S43" i="1"/>
  <c r="S44" i="1"/>
  <c r="S46" i="1"/>
  <c r="S49" i="1"/>
  <c r="S50" i="1"/>
  <c r="S51" i="1"/>
  <c r="S52" i="1"/>
  <c r="S53" i="1"/>
  <c r="S54" i="1"/>
  <c r="S55" i="1"/>
  <c r="S56" i="1"/>
  <c r="S57" i="1"/>
  <c r="S58" i="1"/>
  <c r="S59" i="1"/>
  <c r="S61" i="1"/>
  <c r="S62" i="1"/>
  <c r="S63" i="1"/>
  <c r="S508" i="1"/>
  <c r="S507" i="1"/>
  <c r="S66" i="1"/>
  <c r="S68" i="1"/>
  <c r="S69" i="1"/>
  <c r="S70" i="1"/>
  <c r="S71" i="1"/>
  <c r="S73" i="1"/>
  <c r="S74" i="1"/>
  <c r="S533" i="1"/>
  <c r="S76" i="1"/>
  <c r="S77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50" i="1"/>
  <c r="S149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447" i="1"/>
  <c r="S188" i="1"/>
  <c r="S189" i="1"/>
  <c r="S190" i="1"/>
  <c r="S191" i="1"/>
  <c r="S192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5" i="1"/>
  <c r="S214" i="1"/>
  <c r="S216" i="1"/>
  <c r="S217" i="1"/>
  <c r="S218" i="1"/>
  <c r="S219" i="1"/>
  <c r="S220" i="1"/>
  <c r="S221" i="1"/>
  <c r="S222" i="1"/>
  <c r="S225" i="1"/>
  <c r="S226" i="1"/>
  <c r="S227" i="1"/>
  <c r="S223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8" i="1"/>
  <c r="S247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5" i="1"/>
  <c r="S304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8" i="1"/>
  <c r="S350" i="1"/>
  <c r="S351" i="1"/>
  <c r="S352" i="1"/>
  <c r="S353" i="1"/>
  <c r="S354" i="1"/>
  <c r="S355" i="1"/>
  <c r="S356" i="1"/>
  <c r="S358" i="1"/>
  <c r="S359" i="1"/>
  <c r="S360" i="1"/>
  <c r="S361" i="1"/>
  <c r="S362" i="1"/>
  <c r="S363" i="1"/>
  <c r="S364" i="1"/>
  <c r="S365" i="1"/>
  <c r="S367" i="1"/>
  <c r="S368" i="1"/>
  <c r="S369" i="1"/>
  <c r="S370" i="1"/>
  <c r="S193" i="1"/>
  <c r="S371" i="1"/>
  <c r="S372" i="1"/>
  <c r="S373" i="1"/>
  <c r="S374" i="1"/>
  <c r="S375" i="1"/>
  <c r="S376" i="1"/>
  <c r="S378" i="1"/>
  <c r="S379" i="1"/>
  <c r="S380" i="1"/>
  <c r="S381" i="1"/>
  <c r="S382" i="1"/>
  <c r="S383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84" i="1"/>
  <c r="S399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187" i="1"/>
  <c r="S448" i="1"/>
  <c r="S449" i="1"/>
  <c r="S450" i="1"/>
  <c r="S451" i="1"/>
  <c r="S452" i="1"/>
  <c r="S453" i="1"/>
  <c r="S454" i="1"/>
  <c r="S455" i="1"/>
  <c r="S456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5" i="1"/>
  <c r="S526" i="1"/>
  <c r="S527" i="1"/>
  <c r="S528" i="1"/>
  <c r="S529" i="1"/>
  <c r="S530" i="1"/>
  <c r="S531" i="1"/>
  <c r="S534" i="1"/>
  <c r="S535" i="1"/>
  <c r="S536" i="1"/>
  <c r="S537" i="1"/>
  <c r="S538" i="1"/>
  <c r="S539" i="1"/>
  <c r="S540" i="1"/>
  <c r="S541" i="1"/>
  <c r="S542" i="1"/>
  <c r="S543" i="1"/>
  <c r="S8" i="1"/>
  <c r="S23" i="1"/>
  <c r="S4" i="1"/>
  <c r="Y26" i="27"/>
  <c r="Z26" i="27"/>
  <c r="AA26" i="27"/>
  <c r="Y18" i="27"/>
  <c r="Z18" i="27"/>
  <c r="AA18" i="27"/>
  <c r="Y17" i="27"/>
  <c r="Z17" i="27"/>
  <c r="AA17" i="27"/>
  <c r="Y14" i="27"/>
  <c r="Z14" i="27"/>
  <c r="AA14" i="27"/>
  <c r="Y11" i="27"/>
  <c r="Z11" i="27"/>
  <c r="AA11" i="27"/>
  <c r="Y12" i="27"/>
  <c r="Z12" i="27"/>
  <c r="AA12" i="27"/>
  <c r="Y9" i="27"/>
  <c r="Z9" i="27"/>
  <c r="AA9" i="27"/>
  <c r="C421" i="1"/>
  <c r="D421" i="1"/>
  <c r="Q421" i="1"/>
  <c r="R421" i="1"/>
  <c r="AC421" i="1"/>
  <c r="AD421" i="1"/>
  <c r="AE421" i="1"/>
  <c r="C233" i="1"/>
  <c r="D233" i="1"/>
  <c r="Q233" i="1"/>
  <c r="R233" i="1"/>
  <c r="AC233" i="1"/>
  <c r="AD233" i="1"/>
  <c r="AE233" i="1"/>
  <c r="C210" i="1"/>
  <c r="D210" i="1"/>
  <c r="Q210" i="1"/>
  <c r="R210" i="1"/>
  <c r="AC210" i="1"/>
  <c r="AD210" i="1"/>
  <c r="AE210" i="1"/>
  <c r="C137" i="1"/>
  <c r="D137" i="1"/>
  <c r="Q137" i="1"/>
  <c r="R137" i="1"/>
  <c r="AC137" i="1"/>
  <c r="AD137" i="1"/>
  <c r="AE137" i="1"/>
  <c r="C85" i="1"/>
  <c r="D85" i="1"/>
  <c r="Q85" i="1"/>
  <c r="R85" i="1"/>
  <c r="AC85" i="1"/>
  <c r="AD85" i="1"/>
  <c r="AE85" i="1"/>
  <c r="C521" i="1"/>
  <c r="D521" i="1"/>
  <c r="Q521" i="1"/>
  <c r="R521" i="1"/>
  <c r="AC521" i="1"/>
  <c r="AD521" i="1"/>
  <c r="AE521" i="1"/>
  <c r="C535" i="1"/>
  <c r="D535" i="1"/>
  <c r="Q535" i="1"/>
  <c r="R535" i="1"/>
  <c r="AC535" i="1"/>
  <c r="AD535" i="1"/>
  <c r="AE535" i="1"/>
  <c r="C511" i="1"/>
  <c r="D511" i="1"/>
  <c r="Q511" i="1"/>
  <c r="R511" i="1"/>
  <c r="AC511" i="1"/>
  <c r="AD511" i="1"/>
  <c r="AE511" i="1"/>
  <c r="C491" i="1"/>
  <c r="D491" i="1"/>
  <c r="Q491" i="1"/>
  <c r="R491" i="1"/>
  <c r="AC491" i="1"/>
  <c r="AD491" i="1"/>
  <c r="AE491" i="1"/>
  <c r="C364" i="1"/>
  <c r="D364" i="1"/>
  <c r="Q364" i="1"/>
  <c r="R364" i="1"/>
  <c r="AC364" i="1"/>
  <c r="AD364" i="1"/>
  <c r="AE364" i="1"/>
  <c r="C313" i="1"/>
  <c r="D313" i="1"/>
  <c r="Q313" i="1"/>
  <c r="R313" i="1"/>
  <c r="AC313" i="1"/>
  <c r="AD313" i="1"/>
  <c r="AE313" i="1"/>
  <c r="C207" i="1"/>
  <c r="D207" i="1"/>
  <c r="Q207" i="1"/>
  <c r="R207" i="1"/>
  <c r="AC207" i="1"/>
  <c r="AD207" i="1"/>
  <c r="AE207" i="1"/>
  <c r="C158" i="1"/>
  <c r="D158" i="1"/>
  <c r="Q158" i="1"/>
  <c r="R158" i="1"/>
  <c r="AC158" i="1"/>
  <c r="AD158" i="1"/>
  <c r="AE158" i="1"/>
  <c r="C135" i="1"/>
  <c r="D135" i="1"/>
  <c r="Q135" i="1"/>
  <c r="R135" i="1"/>
  <c r="AC135" i="1"/>
  <c r="AD135" i="1"/>
  <c r="AE135" i="1"/>
  <c r="Y82" i="27"/>
  <c r="Z82" i="27"/>
  <c r="AA82" i="27"/>
  <c r="Y83" i="27"/>
  <c r="Z83" i="27"/>
  <c r="AA83" i="27"/>
  <c r="Y84" i="27"/>
  <c r="Z84" i="27"/>
  <c r="AA84" i="27"/>
  <c r="Y85" i="27"/>
  <c r="Z85" i="27"/>
  <c r="AA85" i="27"/>
  <c r="Y80" i="27"/>
  <c r="Z80" i="27"/>
  <c r="AA80" i="27"/>
  <c r="Y78" i="27"/>
  <c r="Z78" i="27"/>
  <c r="AA78" i="27"/>
  <c r="Y68" i="27"/>
  <c r="Z68" i="27"/>
  <c r="AA68" i="27"/>
  <c r="Y70" i="27"/>
  <c r="Z70" i="27"/>
  <c r="AA70" i="27"/>
  <c r="Y71" i="27"/>
  <c r="Z71" i="27"/>
  <c r="AA71" i="27"/>
  <c r="Y72" i="27"/>
  <c r="Z72" i="27"/>
  <c r="AA72" i="27"/>
  <c r="Y73" i="27"/>
  <c r="Z73" i="27"/>
  <c r="AA73" i="27"/>
  <c r="Y74" i="27"/>
  <c r="Z74" i="27"/>
  <c r="AA74" i="27"/>
  <c r="Y75" i="27"/>
  <c r="Z75" i="27"/>
  <c r="AA75" i="27"/>
  <c r="Y76" i="27"/>
  <c r="Z76" i="27"/>
  <c r="AA76" i="27"/>
  <c r="C543" i="1"/>
  <c r="D543" i="1"/>
  <c r="Q543" i="1"/>
  <c r="R543" i="1"/>
  <c r="AC543" i="1"/>
  <c r="AD543" i="1"/>
  <c r="AE543" i="1"/>
  <c r="C526" i="1"/>
  <c r="D526" i="1"/>
  <c r="Q526" i="1"/>
  <c r="R526" i="1"/>
  <c r="AC526" i="1"/>
  <c r="AD526" i="1"/>
  <c r="AE526" i="1"/>
  <c r="C501" i="1"/>
  <c r="D501" i="1"/>
  <c r="Q501" i="1"/>
  <c r="R501" i="1"/>
  <c r="AC501" i="1"/>
  <c r="AD501" i="1"/>
  <c r="AE501" i="1"/>
  <c r="C484" i="1"/>
  <c r="D484" i="1"/>
  <c r="Q484" i="1"/>
  <c r="R484" i="1"/>
  <c r="AC484" i="1"/>
  <c r="AD484" i="1"/>
  <c r="AE484" i="1"/>
  <c r="C426" i="1"/>
  <c r="D426" i="1"/>
  <c r="Q426" i="1"/>
  <c r="R426" i="1"/>
  <c r="AC426" i="1"/>
  <c r="AD426" i="1"/>
  <c r="AE426" i="1"/>
  <c r="C372" i="1"/>
  <c r="D372" i="1"/>
  <c r="Q372" i="1"/>
  <c r="R372" i="1"/>
  <c r="AC372" i="1"/>
  <c r="AD372" i="1"/>
  <c r="AE372" i="1"/>
  <c r="C320" i="1"/>
  <c r="D320" i="1"/>
  <c r="Q320" i="1"/>
  <c r="R320" i="1"/>
  <c r="AC320" i="1"/>
  <c r="AD320" i="1"/>
  <c r="AE320" i="1"/>
  <c r="C306" i="1"/>
  <c r="D306" i="1"/>
  <c r="Q306" i="1"/>
  <c r="R306" i="1"/>
  <c r="AC306" i="1"/>
  <c r="AD306" i="1"/>
  <c r="AE306" i="1"/>
  <c r="C276" i="1"/>
  <c r="D276" i="1"/>
  <c r="Q276" i="1"/>
  <c r="R276" i="1"/>
  <c r="AC276" i="1"/>
  <c r="AD276" i="1"/>
  <c r="AE276" i="1"/>
  <c r="C236" i="1"/>
  <c r="D236" i="1"/>
  <c r="Q236" i="1"/>
  <c r="R236" i="1"/>
  <c r="AC236" i="1"/>
  <c r="AD236" i="1"/>
  <c r="AE236" i="1"/>
  <c r="C216" i="1"/>
  <c r="D216" i="1"/>
  <c r="Q216" i="1"/>
  <c r="R216" i="1"/>
  <c r="AC216" i="1"/>
  <c r="AD216" i="1"/>
  <c r="AE216" i="1"/>
  <c r="C189" i="1"/>
  <c r="D189" i="1"/>
  <c r="Q189" i="1"/>
  <c r="R189" i="1"/>
  <c r="AC189" i="1"/>
  <c r="AD189" i="1"/>
  <c r="AE189" i="1"/>
  <c r="C157" i="1"/>
  <c r="D157" i="1"/>
  <c r="Q157" i="1"/>
  <c r="R157" i="1"/>
  <c r="AC157" i="1"/>
  <c r="AD157" i="1"/>
  <c r="AE157" i="1"/>
  <c r="C127" i="1"/>
  <c r="D127" i="1"/>
  <c r="Q127" i="1"/>
  <c r="R127" i="1"/>
  <c r="AC127" i="1"/>
  <c r="AD127" i="1"/>
  <c r="AE127" i="1"/>
  <c r="Y50" i="27"/>
  <c r="Z50" i="27"/>
  <c r="AA50" i="27"/>
  <c r="Y51" i="27"/>
  <c r="Z51" i="27"/>
  <c r="AA51" i="27"/>
  <c r="Y52" i="27"/>
  <c r="Z52" i="27"/>
  <c r="AA52" i="27"/>
  <c r="C275" i="1"/>
  <c r="D275" i="1"/>
  <c r="Q275" i="1"/>
  <c r="R275" i="1"/>
  <c r="AC275" i="1"/>
  <c r="AD275" i="1"/>
  <c r="AE275" i="1"/>
  <c r="C40" i="1"/>
  <c r="D40" i="1"/>
  <c r="Q40" i="1"/>
  <c r="R40" i="1"/>
  <c r="AC40" i="1"/>
  <c r="AD40" i="1"/>
  <c r="AE40" i="1"/>
  <c r="C30" i="1"/>
  <c r="D30" i="1"/>
  <c r="Q30" i="1"/>
  <c r="R30" i="1"/>
  <c r="AC30" i="1"/>
  <c r="AD30" i="1"/>
  <c r="AE30" i="1"/>
  <c r="C232" i="1"/>
  <c r="D232" i="1"/>
  <c r="Q232" i="1"/>
  <c r="R232" i="1"/>
  <c r="AC232" i="1"/>
  <c r="AD232" i="1"/>
  <c r="AE232" i="1"/>
  <c r="C230" i="1"/>
  <c r="D230" i="1"/>
  <c r="Q230" i="1"/>
  <c r="R230" i="1"/>
  <c r="AC230" i="1"/>
  <c r="AD230" i="1"/>
  <c r="AE230" i="1"/>
  <c r="P38" i="17" l="1"/>
  <c r="Q38" i="17" s="1"/>
  <c r="S38" i="17"/>
  <c r="T38" i="17"/>
  <c r="I38" i="17"/>
  <c r="J38" i="17"/>
  <c r="R38" i="17"/>
  <c r="Z38" i="17"/>
  <c r="C417" i="1"/>
  <c r="D417" i="1"/>
  <c r="Q417" i="1"/>
  <c r="R417" i="1"/>
  <c r="AC417" i="1"/>
  <c r="AD417" i="1"/>
  <c r="AE417" i="1"/>
  <c r="C8" i="1"/>
  <c r="D8" i="1"/>
  <c r="Q8" i="1"/>
  <c r="R8" i="1"/>
  <c r="AC8" i="1"/>
  <c r="AD8" i="1"/>
  <c r="AE8" i="1"/>
  <c r="C279" i="1"/>
  <c r="D279" i="1"/>
  <c r="Q279" i="1"/>
  <c r="R279" i="1"/>
  <c r="AC279" i="1"/>
  <c r="AD279" i="1"/>
  <c r="AE279" i="1"/>
  <c r="C405" i="1"/>
  <c r="D405" i="1"/>
  <c r="Q405" i="1"/>
  <c r="R405" i="1"/>
  <c r="AC405" i="1"/>
  <c r="AD405" i="1"/>
  <c r="AE405" i="1"/>
  <c r="C23" i="1"/>
  <c r="D23" i="1"/>
  <c r="Q23" i="1"/>
  <c r="R23" i="1"/>
  <c r="AC23" i="1"/>
  <c r="AD23" i="1"/>
  <c r="AE23" i="1"/>
  <c r="C101" i="1"/>
  <c r="D101" i="1"/>
  <c r="Q101" i="1"/>
  <c r="R101" i="1"/>
  <c r="AC101" i="1"/>
  <c r="AD101" i="1"/>
  <c r="AE101" i="1"/>
  <c r="C439" i="1"/>
  <c r="D439" i="1"/>
  <c r="Q439" i="1"/>
  <c r="R439" i="1"/>
  <c r="AC439" i="1"/>
  <c r="AD439" i="1"/>
  <c r="AE439" i="1"/>
  <c r="C489" i="1"/>
  <c r="D489" i="1"/>
  <c r="Q489" i="1"/>
  <c r="R489" i="1"/>
  <c r="AC489" i="1"/>
  <c r="AD489" i="1"/>
  <c r="AE489" i="1"/>
  <c r="K39" i="32"/>
  <c r="AD73" i="1"/>
  <c r="AE73" i="1"/>
  <c r="AD97" i="1"/>
  <c r="AE97" i="1"/>
  <c r="AD143" i="1"/>
  <c r="AE143" i="1"/>
  <c r="AD298" i="1"/>
  <c r="AE298" i="1"/>
  <c r="AD362" i="1"/>
  <c r="AE362" i="1"/>
  <c r="AD415" i="1"/>
  <c r="AE415" i="1"/>
  <c r="AD436" i="1"/>
  <c r="AE436" i="1"/>
  <c r="AD29" i="1"/>
  <c r="AE29" i="1"/>
  <c r="AD401" i="1"/>
  <c r="AE401" i="1"/>
  <c r="AD19" i="1"/>
  <c r="AE19" i="1"/>
  <c r="AD152" i="1"/>
  <c r="AE152" i="1"/>
  <c r="AD467" i="1"/>
  <c r="AE467" i="1"/>
  <c r="AD423" i="1"/>
  <c r="AE423" i="1"/>
  <c r="AD34" i="1"/>
  <c r="AE34" i="1"/>
  <c r="AD413" i="1"/>
  <c r="AE413" i="1"/>
  <c r="AD153" i="1"/>
  <c r="AE153" i="1"/>
  <c r="AD20" i="1"/>
  <c r="AE20" i="1"/>
  <c r="AD470" i="1"/>
  <c r="AE470" i="1"/>
  <c r="AD424" i="1"/>
  <c r="AE424" i="1"/>
  <c r="AD22" i="1"/>
  <c r="AE22" i="1"/>
  <c r="AD381" i="1"/>
  <c r="AE381" i="1"/>
  <c r="AD15" i="1"/>
  <c r="AE15" i="1"/>
  <c r="AD144" i="1"/>
  <c r="AE144" i="1"/>
  <c r="AD455" i="1"/>
  <c r="AE455" i="1"/>
  <c r="AD416" i="1"/>
  <c r="AE416" i="1"/>
  <c r="AD46" i="1"/>
  <c r="AE46" i="1"/>
  <c r="AD74" i="1"/>
  <c r="AE74" i="1"/>
  <c r="AD98" i="1"/>
  <c r="AE98" i="1"/>
  <c r="AD131" i="1"/>
  <c r="AE131" i="1"/>
  <c r="AD220" i="1"/>
  <c r="AE220" i="1"/>
  <c r="AD268" i="1"/>
  <c r="AE268" i="1"/>
  <c r="AD310" i="1"/>
  <c r="AE310" i="1"/>
  <c r="AD361" i="1"/>
  <c r="AE361" i="1"/>
  <c r="AD402" i="1"/>
  <c r="AE402" i="1"/>
  <c r="AD456" i="1"/>
  <c r="AE456" i="1"/>
  <c r="AD531" i="1"/>
  <c r="AE531" i="1"/>
  <c r="AD13" i="1"/>
  <c r="AE13" i="1"/>
  <c r="AD61" i="1"/>
  <c r="AE61" i="1"/>
  <c r="AD82" i="1"/>
  <c r="AE82" i="1"/>
  <c r="AD129" i="1"/>
  <c r="AE129" i="1"/>
  <c r="AD252" i="1"/>
  <c r="AE252" i="1"/>
  <c r="AD376" i="1"/>
  <c r="AE376" i="1"/>
  <c r="AD472" i="1"/>
  <c r="AE472" i="1"/>
  <c r="AD237" i="1"/>
  <c r="AE237" i="1"/>
  <c r="AD254" i="1"/>
  <c r="AE254" i="1"/>
  <c r="AD203" i="1"/>
  <c r="AE203" i="1"/>
  <c r="AD221" i="1"/>
  <c r="AE221" i="1"/>
  <c r="AD430" i="1"/>
  <c r="AE430" i="1"/>
  <c r="AD437" i="1"/>
  <c r="AE437" i="1"/>
  <c r="AD65" i="1"/>
  <c r="AE65" i="1"/>
  <c r="AD64" i="1"/>
  <c r="AE64" i="1"/>
  <c r="AD119" i="1"/>
  <c r="AE119" i="1"/>
  <c r="AD132" i="1"/>
  <c r="AE132" i="1"/>
  <c r="AD532" i="1"/>
  <c r="AE532" i="1"/>
  <c r="AD75" i="1"/>
  <c r="AE75" i="1"/>
  <c r="AD508" i="1"/>
  <c r="AE508" i="1"/>
  <c r="AD89" i="1"/>
  <c r="AE89" i="1"/>
  <c r="AD99" i="1"/>
  <c r="AE99" i="1"/>
  <c r="AD162" i="1"/>
  <c r="AE162" i="1"/>
  <c r="AD181" i="1"/>
  <c r="AE181" i="1"/>
  <c r="AD238" i="1"/>
  <c r="AE238" i="1"/>
  <c r="AD255" i="1"/>
  <c r="AE255" i="1"/>
  <c r="AD382" i="1"/>
  <c r="AE382" i="1"/>
  <c r="AD403" i="1"/>
  <c r="AE403" i="1"/>
  <c r="AD431" i="1"/>
  <c r="AE431" i="1"/>
  <c r="AD438" i="1"/>
  <c r="AE438" i="1"/>
  <c r="AD475" i="1"/>
  <c r="AE475" i="1"/>
  <c r="AD487" i="1"/>
  <c r="AE487" i="1"/>
  <c r="AD90" i="1"/>
  <c r="AE90" i="1"/>
  <c r="AD100" i="1"/>
  <c r="AE100" i="1"/>
  <c r="AD325" i="1"/>
  <c r="AE325" i="1"/>
  <c r="AD337" i="1"/>
  <c r="AE337" i="1"/>
  <c r="AD476" i="1"/>
  <c r="AE476" i="1"/>
  <c r="AD488" i="1"/>
  <c r="AE488" i="1"/>
  <c r="AD507" i="1"/>
  <c r="AE507" i="1"/>
  <c r="AD533" i="1"/>
  <c r="AE533" i="1"/>
  <c r="AD76" i="1"/>
  <c r="AE76" i="1"/>
  <c r="AD120" i="1"/>
  <c r="AE120" i="1"/>
  <c r="AD133" i="1"/>
  <c r="AE133" i="1"/>
  <c r="AD204" i="1"/>
  <c r="AE204" i="1"/>
  <c r="AD222" i="1"/>
  <c r="AE222" i="1"/>
  <c r="AD269" i="1"/>
  <c r="AE269" i="1"/>
  <c r="AD281" i="1"/>
  <c r="AE281" i="1"/>
  <c r="AD270" i="1"/>
  <c r="AE270" i="1"/>
  <c r="AD282" i="1"/>
  <c r="AE282" i="1"/>
  <c r="AD383" i="1"/>
  <c r="AE383" i="1"/>
  <c r="AD404" i="1"/>
  <c r="AE404" i="1"/>
  <c r="AD163" i="1"/>
  <c r="AE163" i="1"/>
  <c r="AD182" i="1"/>
  <c r="AE182" i="1"/>
  <c r="AD326" i="1"/>
  <c r="AE326" i="1"/>
  <c r="AD338" i="1"/>
  <c r="AE338" i="1"/>
  <c r="AD83" i="1"/>
  <c r="AE83" i="1"/>
  <c r="AD84" i="1"/>
  <c r="AE84" i="1"/>
  <c r="AD299" i="1"/>
  <c r="AE299" i="1"/>
  <c r="AD205" i="1"/>
  <c r="AE205" i="1"/>
  <c r="AD327" i="1"/>
  <c r="AE327" i="1"/>
  <c r="AD432" i="1"/>
  <c r="AE432" i="1"/>
  <c r="AD164" i="1"/>
  <c r="AE164" i="1"/>
  <c r="AD91" i="1"/>
  <c r="AE91" i="1"/>
  <c r="AD102" i="1"/>
  <c r="AE102" i="1"/>
  <c r="AD134" i="1"/>
  <c r="AE134" i="1"/>
  <c r="AD165" i="1"/>
  <c r="AE165" i="1"/>
  <c r="AD47" i="1"/>
  <c r="AE47" i="1"/>
  <c r="AD206" i="1"/>
  <c r="AE206" i="1"/>
  <c r="AD231" i="1"/>
  <c r="AE231" i="1"/>
  <c r="AD239" i="1"/>
  <c r="AE239" i="1"/>
  <c r="AD240" i="1"/>
  <c r="AE240" i="1"/>
  <c r="AD256" i="1"/>
  <c r="AE256" i="1"/>
  <c r="AD264" i="1"/>
  <c r="AE264" i="1"/>
  <c r="AD311" i="1"/>
  <c r="AE311" i="1"/>
  <c r="AD339" i="1"/>
  <c r="AE339" i="1"/>
  <c r="AD340" i="1"/>
  <c r="AE340" i="1"/>
  <c r="AD363" i="1"/>
  <c r="AE363" i="1"/>
  <c r="AD384" i="1"/>
  <c r="AE384" i="1"/>
  <c r="AD418" i="1"/>
  <c r="AE418" i="1"/>
  <c r="AD440" i="1"/>
  <c r="AE440" i="1"/>
  <c r="AD441" i="1"/>
  <c r="AE441" i="1"/>
  <c r="AD458" i="1"/>
  <c r="AE458" i="1"/>
  <c r="AD490" i="1"/>
  <c r="AE490" i="1"/>
  <c r="AD510" i="1"/>
  <c r="AE510" i="1"/>
  <c r="AD534" i="1"/>
  <c r="AE534" i="1"/>
  <c r="AD126" i="1"/>
  <c r="AE126" i="1"/>
  <c r="AD223" i="1"/>
  <c r="AE223" i="1"/>
  <c r="AD257" i="1"/>
  <c r="AE257" i="1"/>
  <c r="AD266" i="1"/>
  <c r="AE266" i="1"/>
  <c r="AD272" i="1"/>
  <c r="AE272" i="1"/>
  <c r="AD278" i="1"/>
  <c r="AE278" i="1"/>
  <c r="AD292" i="1"/>
  <c r="AE292" i="1"/>
  <c r="AD293" i="1"/>
  <c r="AE293" i="1"/>
  <c r="AD300" i="1"/>
  <c r="AE300" i="1"/>
  <c r="AD332" i="1"/>
  <c r="AE332" i="1"/>
  <c r="AD371" i="1"/>
  <c r="AE371" i="1"/>
  <c r="AD373" i="1"/>
  <c r="AE373" i="1"/>
  <c r="AD392" i="1"/>
  <c r="AE392" i="1"/>
  <c r="AD410" i="1"/>
  <c r="AE410" i="1"/>
  <c r="AD411" i="1"/>
  <c r="AE411" i="1"/>
  <c r="AD425" i="1"/>
  <c r="AE425" i="1"/>
  <c r="AD496" i="1"/>
  <c r="AE496" i="1"/>
  <c r="AD500" i="1"/>
  <c r="AE500" i="1"/>
  <c r="AD529" i="1"/>
  <c r="AE529" i="1"/>
  <c r="AD541" i="1"/>
  <c r="AE541" i="1"/>
  <c r="AD110" i="1"/>
  <c r="AE110" i="1"/>
  <c r="AD141" i="1"/>
  <c r="AE141" i="1"/>
  <c r="AD350" i="1"/>
  <c r="AE350" i="1"/>
  <c r="AD393" i="1"/>
  <c r="AE393" i="1"/>
  <c r="AD449" i="1"/>
  <c r="AE449" i="1"/>
  <c r="AD57" i="1"/>
  <c r="AE57" i="1"/>
  <c r="AD71" i="1"/>
  <c r="AE71" i="1"/>
  <c r="AD228" i="1"/>
  <c r="AE228" i="1"/>
  <c r="AD128" i="1"/>
  <c r="AE128" i="1"/>
  <c r="AD351" i="1"/>
  <c r="AE351" i="1"/>
  <c r="AD267" i="1"/>
  <c r="AE267" i="1"/>
  <c r="AD394" i="1"/>
  <c r="AE394" i="1"/>
  <c r="AD527" i="1"/>
  <c r="AE527" i="1"/>
  <c r="AD497" i="1"/>
  <c r="AE497" i="1"/>
  <c r="AD174" i="1"/>
  <c r="AE174" i="1"/>
  <c r="AD466" i="1"/>
  <c r="AE466" i="1"/>
  <c r="AD183" i="1"/>
  <c r="AE183" i="1"/>
  <c r="AD301" i="1"/>
  <c r="AE301" i="1"/>
  <c r="AD312" i="1"/>
  <c r="AE312" i="1"/>
  <c r="AD58" i="1"/>
  <c r="AE58" i="1"/>
  <c r="AD80" i="1"/>
  <c r="AE80" i="1"/>
  <c r="AD24" i="1"/>
  <c r="AE24" i="1"/>
  <c r="AD103" i="1"/>
  <c r="AE103" i="1"/>
  <c r="AD184" i="1"/>
  <c r="AE184" i="1"/>
  <c r="AD283" i="1"/>
  <c r="AE283" i="1"/>
  <c r="AD341" i="1"/>
  <c r="AE341" i="1"/>
  <c r="AD406" i="1"/>
  <c r="AE406" i="1"/>
  <c r="AD459" i="1"/>
  <c r="AE459" i="1"/>
  <c r="AD37" i="1"/>
  <c r="AE37" i="1"/>
  <c r="AD63" i="1"/>
  <c r="AE63" i="1"/>
  <c r="AD4" i="1"/>
  <c r="AE4" i="1"/>
  <c r="AD25" i="1"/>
  <c r="AE25" i="1"/>
  <c r="AD35" i="1"/>
  <c r="AE35" i="1"/>
  <c r="AD66" i="1"/>
  <c r="AE66" i="1"/>
  <c r="AD92" i="1"/>
  <c r="AE92" i="1"/>
  <c r="AD121" i="1"/>
  <c r="AE121" i="1"/>
  <c r="AD145" i="1"/>
  <c r="AE145" i="1"/>
  <c r="AD161" i="1"/>
  <c r="AE161" i="1"/>
  <c r="AD194" i="1"/>
  <c r="AE194" i="1"/>
  <c r="AD241" i="1"/>
  <c r="AE241" i="1"/>
  <c r="AD284" i="1"/>
  <c r="AE284" i="1"/>
  <c r="AD309" i="1"/>
  <c r="AE309" i="1"/>
  <c r="AD365" i="1"/>
  <c r="AE365" i="1"/>
  <c r="AD385" i="1"/>
  <c r="AE385" i="1"/>
  <c r="AD433" i="1"/>
  <c r="AE433" i="1"/>
  <c r="AD474" i="1"/>
  <c r="AE474" i="1"/>
  <c r="AD520" i="1"/>
  <c r="AE520" i="1"/>
  <c r="AD104" i="1"/>
  <c r="AE104" i="1"/>
  <c r="AD419" i="1"/>
  <c r="AE419" i="1"/>
  <c r="AD146" i="1"/>
  <c r="AE146" i="1"/>
  <c r="AD185" i="1"/>
  <c r="AE185" i="1"/>
  <c r="AD166" i="1"/>
  <c r="AE166" i="1"/>
  <c r="AD285" i="1"/>
  <c r="AE285" i="1"/>
  <c r="AD225" i="1"/>
  <c r="AE225" i="1"/>
  <c r="AD512" i="1"/>
  <c r="AE512" i="1"/>
  <c r="AD442" i="1"/>
  <c r="AE442" i="1"/>
  <c r="AD136" i="1"/>
  <c r="AE136" i="1"/>
  <c r="AD302" i="1"/>
  <c r="AE302" i="1"/>
  <c r="AD443" i="1"/>
  <c r="AE443" i="1"/>
  <c r="AD242" i="1"/>
  <c r="AE242" i="1"/>
  <c r="AD513" i="1"/>
  <c r="AE513" i="1"/>
  <c r="AD407" i="1"/>
  <c r="AE407" i="1"/>
  <c r="AD342" i="1"/>
  <c r="AE342" i="1"/>
  <c r="AD502" i="1"/>
  <c r="AE502" i="1"/>
  <c r="AD478" i="1"/>
  <c r="AE478" i="1"/>
  <c r="AD111" i="1"/>
  <c r="AE111" i="1"/>
  <c r="AD428" i="1"/>
  <c r="AE428" i="1"/>
  <c r="AD154" i="1"/>
  <c r="AE154" i="1"/>
  <c r="AD155" i="1"/>
  <c r="AE155" i="1"/>
  <c r="AD192" i="1"/>
  <c r="AE192" i="1"/>
  <c r="AD177" i="1"/>
  <c r="AE177" i="1"/>
  <c r="AD179" i="1"/>
  <c r="AE179" i="1"/>
  <c r="AD295" i="1"/>
  <c r="AE295" i="1"/>
  <c r="AD105" i="1"/>
  <c r="AE105" i="1"/>
  <c r="AD175" i="1"/>
  <c r="AE175" i="1"/>
  <c r="AD208" i="1"/>
  <c r="AE208" i="1"/>
  <c r="AD243" i="1"/>
  <c r="AE243" i="1"/>
  <c r="AD352" i="1"/>
  <c r="AE352" i="1"/>
  <c r="AD444" i="1"/>
  <c r="AE444" i="1"/>
  <c r="AD540" i="1"/>
  <c r="AE540" i="1"/>
  <c r="AD229" i="1"/>
  <c r="AE229" i="1"/>
  <c r="AD142" i="1"/>
  <c r="AE142" i="1"/>
  <c r="AD308" i="1"/>
  <c r="AE308" i="1"/>
  <c r="AD453" i="1"/>
  <c r="AE453" i="1"/>
  <c r="AD250" i="1"/>
  <c r="AE250" i="1"/>
  <c r="AD519" i="1"/>
  <c r="AE519" i="1"/>
  <c r="AD414" i="1"/>
  <c r="AE414" i="1"/>
  <c r="AD356" i="1"/>
  <c r="AE356" i="1"/>
  <c r="AD506" i="1"/>
  <c r="AE506" i="1"/>
  <c r="AD486" i="1"/>
  <c r="AE486" i="1"/>
  <c r="AD14" i="1"/>
  <c r="AE14" i="1"/>
  <c r="AD41" i="1"/>
  <c r="AE41" i="1"/>
  <c r="AD62" i="1"/>
  <c r="AE62" i="1"/>
  <c r="AD86" i="1"/>
  <c r="AE86" i="1"/>
  <c r="AD87" i="1"/>
  <c r="AE87" i="1"/>
  <c r="AD112" i="1"/>
  <c r="AE112" i="1"/>
  <c r="AD156" i="1"/>
  <c r="AE156" i="1"/>
  <c r="AD319" i="1"/>
  <c r="AE319" i="1"/>
  <c r="AD360" i="1"/>
  <c r="AE360" i="1"/>
  <c r="AD380" i="1"/>
  <c r="AE380" i="1"/>
  <c r="AD499" i="1"/>
  <c r="AE499" i="1"/>
  <c r="AD195" i="1"/>
  <c r="AE195" i="1"/>
  <c r="AD258" i="1"/>
  <c r="AE258" i="1"/>
  <c r="AD386" i="1"/>
  <c r="AE386" i="1"/>
  <c r="AD167" i="1"/>
  <c r="AE167" i="1"/>
  <c r="AD460" i="1"/>
  <c r="AE460" i="1"/>
  <c r="AD286" i="1"/>
  <c r="AE286" i="1"/>
  <c r="AD113" i="1"/>
  <c r="AE113" i="1"/>
  <c r="AD244" i="1"/>
  <c r="AE244" i="1"/>
  <c r="AD209" i="1"/>
  <c r="AE209" i="1"/>
  <c r="AD387" i="1"/>
  <c r="AE387" i="1"/>
  <c r="AD199" i="1"/>
  <c r="AE199" i="1"/>
  <c r="AD261" i="1"/>
  <c r="AE261" i="1"/>
  <c r="AD374" i="1"/>
  <c r="AE374" i="1"/>
  <c r="AD396" i="1"/>
  <c r="AE396" i="1"/>
  <c r="AD445" i="1"/>
  <c r="AE445" i="1"/>
  <c r="AD176" i="1"/>
  <c r="AE176" i="1"/>
  <c r="AD333" i="1"/>
  <c r="AE333" i="1"/>
  <c r="AD492" i="1"/>
  <c r="AE492" i="1"/>
  <c r="AD343" i="1"/>
  <c r="AE343" i="1"/>
  <c r="AD294" i="1"/>
  <c r="AE294" i="1"/>
  <c r="AD335" i="1"/>
  <c r="AE335" i="1"/>
  <c r="AD452" i="1"/>
  <c r="AE452" i="1"/>
  <c r="AD471" i="1"/>
  <c r="AE471" i="1"/>
  <c r="AD249" i="1"/>
  <c r="AE249" i="1"/>
  <c r="AD201" i="1"/>
  <c r="AE201" i="1"/>
  <c r="AD262" i="1"/>
  <c r="AE262" i="1"/>
  <c r="AD178" i="1"/>
  <c r="AE178" i="1"/>
  <c r="AD296" i="1"/>
  <c r="AE296" i="1"/>
  <c r="AD117" i="1"/>
  <c r="AE117" i="1"/>
  <c r="AD251" i="1"/>
  <c r="AE251" i="1"/>
  <c r="AD147" i="1"/>
  <c r="AE147" i="1"/>
  <c r="AD218" i="1"/>
  <c r="AE218" i="1"/>
  <c r="AD321" i="1"/>
  <c r="AE321" i="1"/>
  <c r="AD378" i="1"/>
  <c r="AE378" i="1"/>
  <c r="AD287" i="1"/>
  <c r="AE287" i="1"/>
  <c r="AD359" i="1"/>
  <c r="AE359" i="1"/>
  <c r="AD514" i="1"/>
  <c r="AE514" i="1"/>
  <c r="AD427" i="1"/>
  <c r="AE427" i="1"/>
  <c r="AD200" i="1"/>
  <c r="AE200" i="1"/>
  <c r="AD530" i="1"/>
  <c r="AE530" i="1"/>
  <c r="AD468" i="1"/>
  <c r="AE468" i="1"/>
  <c r="AD160" i="1"/>
  <c r="AE160" i="1"/>
  <c r="AD44" i="1"/>
  <c r="AE44" i="1"/>
  <c r="AD96" i="1"/>
  <c r="AE96" i="1"/>
  <c r="AD116" i="1"/>
  <c r="AE116" i="1"/>
  <c r="AD159" i="1"/>
  <c r="AE159" i="1"/>
  <c r="AD190" i="1"/>
  <c r="AE190" i="1"/>
  <c r="AD217" i="1"/>
  <c r="AE217" i="1"/>
  <c r="AD277" i="1"/>
  <c r="AE277" i="1"/>
  <c r="AD307" i="1"/>
  <c r="AE307" i="1"/>
  <c r="AD322" i="1"/>
  <c r="AE322" i="1"/>
  <c r="AD353" i="1"/>
  <c r="AE353" i="1"/>
  <c r="AD375" i="1"/>
  <c r="AE375" i="1"/>
  <c r="AD412" i="1"/>
  <c r="AE412" i="1"/>
  <c r="AD450" i="1"/>
  <c r="AE450" i="1"/>
  <c r="AD485" i="1"/>
  <c r="AE485" i="1"/>
  <c r="AD503" i="1"/>
  <c r="AE503" i="1"/>
  <c r="AD528" i="1"/>
  <c r="AE528" i="1"/>
  <c r="AD16" i="1"/>
  <c r="AE16" i="1"/>
  <c r="AD33" i="1"/>
  <c r="AE33" i="1"/>
  <c r="AD43" i="1"/>
  <c r="AE43" i="1"/>
  <c r="AD81" i="1"/>
  <c r="AE81" i="1"/>
  <c r="AD93" i="1"/>
  <c r="AE93" i="1"/>
  <c r="AD114" i="1"/>
  <c r="AE114" i="1"/>
  <c r="AD168" i="1"/>
  <c r="AE168" i="1"/>
  <c r="AD226" i="1"/>
  <c r="AE226" i="1"/>
  <c r="AD273" i="1"/>
  <c r="AE273" i="1"/>
  <c r="AD314" i="1"/>
  <c r="AE314" i="1"/>
  <c r="AD328" i="1"/>
  <c r="AE328" i="1"/>
  <c r="AD367" i="1"/>
  <c r="AE367" i="1"/>
  <c r="AD388" i="1"/>
  <c r="AE388" i="1"/>
  <c r="AD420" i="1"/>
  <c r="AE420" i="1"/>
  <c r="AD479" i="1"/>
  <c r="AE479" i="1"/>
  <c r="AD504" i="1"/>
  <c r="AE504" i="1"/>
  <c r="AD536" i="1"/>
  <c r="AE536" i="1"/>
  <c r="AD17" i="1"/>
  <c r="AE17" i="1"/>
  <c r="AD38" i="1"/>
  <c r="AE38" i="1"/>
  <c r="AD49" i="1"/>
  <c r="AE49" i="1"/>
  <c r="AD68" i="1"/>
  <c r="AE68" i="1"/>
  <c r="AD106" i="1"/>
  <c r="AE106" i="1"/>
  <c r="AD115" i="1"/>
  <c r="AE115" i="1"/>
  <c r="AD169" i="1"/>
  <c r="AE169" i="1"/>
  <c r="AD191" i="1"/>
  <c r="AE191" i="1"/>
  <c r="AD260" i="1"/>
  <c r="AE260" i="1"/>
  <c r="AD274" i="1"/>
  <c r="AE274" i="1"/>
  <c r="AD303" i="1"/>
  <c r="AE303" i="1"/>
  <c r="AD323" i="1"/>
  <c r="AE323" i="1"/>
  <c r="AD329" i="1"/>
  <c r="AE329" i="1"/>
  <c r="AD368" i="1"/>
  <c r="AE368" i="1"/>
  <c r="AD389" i="1"/>
  <c r="AE389" i="1"/>
  <c r="AD446" i="1"/>
  <c r="AE446" i="1"/>
  <c r="AD461" i="1"/>
  <c r="AE461" i="1"/>
  <c r="AD480" i="1"/>
  <c r="AE480" i="1"/>
  <c r="AD505" i="1"/>
  <c r="AE505" i="1"/>
  <c r="AD542" i="1"/>
  <c r="AE542" i="1"/>
  <c r="AD9" i="1"/>
  <c r="AE9" i="1"/>
  <c r="AD26" i="1"/>
  <c r="AE26" i="1"/>
  <c r="AD39" i="1"/>
  <c r="AE39" i="1"/>
  <c r="AD50" i="1"/>
  <c r="AE50" i="1"/>
  <c r="AD107" i="1"/>
  <c r="AE107" i="1"/>
  <c r="AD148" i="1"/>
  <c r="AE148" i="1"/>
  <c r="AD211" i="1"/>
  <c r="AE211" i="1"/>
  <c r="AD245" i="1"/>
  <c r="AE245" i="1"/>
  <c r="AD315" i="1"/>
  <c r="AE315" i="1"/>
  <c r="AD330" i="1"/>
  <c r="AE330" i="1"/>
  <c r="AD422" i="1"/>
  <c r="AE422" i="1"/>
  <c r="AD481" i="1"/>
  <c r="AE481" i="1"/>
  <c r="AD522" i="1"/>
  <c r="AE522" i="1"/>
  <c r="AD59" i="1"/>
  <c r="AE59" i="1"/>
  <c r="AD122" i="1"/>
  <c r="AE122" i="1"/>
  <c r="AD150" i="1"/>
  <c r="AE150" i="1"/>
  <c r="AD170" i="1"/>
  <c r="AE170" i="1"/>
  <c r="AD196" i="1"/>
  <c r="AE196" i="1"/>
  <c r="AD227" i="1"/>
  <c r="AE227" i="1"/>
  <c r="AD246" i="1"/>
  <c r="AE246" i="1"/>
  <c r="AD288" i="1"/>
  <c r="AE288" i="1"/>
  <c r="AD316" i="1"/>
  <c r="AE316" i="1"/>
  <c r="AD344" i="1"/>
  <c r="AE344" i="1"/>
  <c r="AD369" i="1"/>
  <c r="AE369" i="1"/>
  <c r="AD408" i="1"/>
  <c r="AE408" i="1"/>
  <c r="AD434" i="1"/>
  <c r="AE434" i="1"/>
  <c r="AD462" i="1"/>
  <c r="AE462" i="1"/>
  <c r="AD493" i="1"/>
  <c r="AE493" i="1"/>
  <c r="AD515" i="1"/>
  <c r="AE515" i="1"/>
  <c r="AD537" i="1"/>
  <c r="AE537" i="1"/>
  <c r="AD7" i="1"/>
  <c r="AE7" i="1"/>
  <c r="AD18" i="1"/>
  <c r="AE18" i="1"/>
  <c r="AD51" i="1"/>
  <c r="AE51" i="1"/>
  <c r="AD77" i="1"/>
  <c r="AE77" i="1"/>
  <c r="AD108" i="1"/>
  <c r="AE108" i="1"/>
  <c r="AD138" i="1"/>
  <c r="AE138" i="1"/>
  <c r="AD171" i="1"/>
  <c r="AE171" i="1"/>
  <c r="AD197" i="1"/>
  <c r="AE197" i="1"/>
  <c r="AD234" i="1"/>
  <c r="AE234" i="1"/>
  <c r="AD289" i="1"/>
  <c r="AE289" i="1"/>
  <c r="AD324" i="1"/>
  <c r="AE324" i="1"/>
  <c r="AD345" i="1"/>
  <c r="AE345" i="1"/>
  <c r="AD370" i="1"/>
  <c r="AE370" i="1"/>
  <c r="AD435" i="1"/>
  <c r="AE435" i="1"/>
  <c r="AD463" i="1"/>
  <c r="AE463" i="1"/>
  <c r="AD494" i="1"/>
  <c r="AE494" i="1"/>
  <c r="AD516" i="1"/>
  <c r="AE516" i="1"/>
  <c r="AD538" i="1"/>
  <c r="AE538" i="1"/>
  <c r="AD10" i="1"/>
  <c r="AE10" i="1"/>
  <c r="AD52" i="1"/>
  <c r="AE52" i="1"/>
  <c r="AD395" i="1"/>
  <c r="AE395" i="1"/>
  <c r="AD202" i="1"/>
  <c r="AE202" i="1"/>
  <c r="AD263" i="1"/>
  <c r="AE263" i="1"/>
  <c r="AD379" i="1"/>
  <c r="AE379" i="1"/>
  <c r="AD398" i="1"/>
  <c r="AE398" i="1"/>
  <c r="AD397" i="1"/>
  <c r="AE397" i="1"/>
  <c r="AD451" i="1"/>
  <c r="AE451" i="1"/>
  <c r="AD180" i="1"/>
  <c r="AE180" i="1"/>
  <c r="AD469" i="1"/>
  <c r="AE469" i="1"/>
  <c r="AD334" i="1"/>
  <c r="AE334" i="1"/>
  <c r="AD355" i="1"/>
  <c r="AE355" i="1"/>
  <c r="AD498" i="1"/>
  <c r="AE498" i="1"/>
  <c r="AD354" i="1"/>
  <c r="AE354" i="1"/>
  <c r="AD297" i="1"/>
  <c r="AE297" i="1"/>
  <c r="AD336" i="1"/>
  <c r="AE336" i="1"/>
  <c r="AD118" i="1"/>
  <c r="AE118" i="1"/>
  <c r="AD454" i="1"/>
  <c r="AE454" i="1"/>
  <c r="AD473" i="1"/>
  <c r="AE473" i="1"/>
  <c r="AD253" i="1"/>
  <c r="AE253" i="1"/>
  <c r="AD151" i="1"/>
  <c r="AE151" i="1"/>
  <c r="AD219" i="1"/>
  <c r="AE219" i="1"/>
  <c r="AD358" i="1"/>
  <c r="AE358" i="1"/>
  <c r="AD5" i="1"/>
  <c r="AE5" i="1"/>
  <c r="AD21" i="1"/>
  <c r="AE21" i="1"/>
  <c r="AD53" i="1"/>
  <c r="AE53" i="1"/>
  <c r="AD69" i="1"/>
  <c r="AE69" i="1"/>
  <c r="AD94" i="1"/>
  <c r="AE94" i="1"/>
  <c r="AD123" i="1"/>
  <c r="AE123" i="1"/>
  <c r="AD130" i="1"/>
  <c r="AE130" i="1"/>
  <c r="AD172" i="1"/>
  <c r="AE172" i="1"/>
  <c r="AD186" i="1"/>
  <c r="AE186" i="1"/>
  <c r="AD212" i="1"/>
  <c r="AE212" i="1"/>
  <c r="AD235" i="1"/>
  <c r="AE235" i="1"/>
  <c r="AD280" i="1"/>
  <c r="AE280" i="1"/>
  <c r="AD317" i="1"/>
  <c r="AE317" i="1"/>
  <c r="AD346" i="1"/>
  <c r="AE346" i="1"/>
  <c r="AD390" i="1"/>
  <c r="AE390" i="1"/>
  <c r="AD429" i="1"/>
  <c r="AE429" i="1"/>
  <c r="AD464" i="1"/>
  <c r="AE464" i="1"/>
  <c r="AD517" i="1"/>
  <c r="AE517" i="1"/>
  <c r="AD259" i="1"/>
  <c r="AE259" i="1"/>
  <c r="AD265" i="1"/>
  <c r="AE265" i="1"/>
  <c r="AD305" i="1"/>
  <c r="AE305" i="1"/>
  <c r="AD109" i="1"/>
  <c r="AE109" i="1"/>
  <c r="AD495" i="1"/>
  <c r="AE495" i="1"/>
  <c r="AD318" i="1"/>
  <c r="AE318" i="1"/>
  <c r="AD391" i="1"/>
  <c r="AE391" i="1"/>
  <c r="AD124" i="1"/>
  <c r="AE124" i="1"/>
  <c r="AD193" i="1"/>
  <c r="AE193" i="1"/>
  <c r="AD409" i="1"/>
  <c r="AE409" i="1"/>
  <c r="AD447" i="1"/>
  <c r="AE447" i="1"/>
  <c r="AD248" i="1"/>
  <c r="AE248" i="1"/>
  <c r="AD187" i="1"/>
  <c r="AE187" i="1"/>
  <c r="AD95" i="1"/>
  <c r="AE95" i="1"/>
  <c r="AD523" i="1"/>
  <c r="AE523" i="1"/>
  <c r="AD139" i="1"/>
  <c r="AE139" i="1"/>
  <c r="AD215" i="1"/>
  <c r="AE215" i="1"/>
  <c r="AD518" i="1"/>
  <c r="AE518" i="1"/>
  <c r="AD539" i="1"/>
  <c r="AE539" i="1"/>
  <c r="AD482" i="1"/>
  <c r="AE482" i="1"/>
  <c r="AD173" i="1"/>
  <c r="AE173" i="1"/>
  <c r="AD31" i="1"/>
  <c r="AE31" i="1"/>
  <c r="AD54" i="1"/>
  <c r="AE54" i="1"/>
  <c r="AD70" i="1"/>
  <c r="AE70" i="1"/>
  <c r="AD6" i="1"/>
  <c r="AE6" i="1"/>
  <c r="AD28" i="1"/>
  <c r="AE28" i="1"/>
  <c r="AD55" i="1"/>
  <c r="AE55" i="1"/>
  <c r="AD79" i="1"/>
  <c r="AE79" i="1"/>
  <c r="AD88" i="1"/>
  <c r="AE88" i="1"/>
  <c r="AD125" i="1"/>
  <c r="AE125" i="1"/>
  <c r="AD149" i="1"/>
  <c r="AE149" i="1"/>
  <c r="AD188" i="1"/>
  <c r="AE188" i="1"/>
  <c r="AD214" i="1"/>
  <c r="AE214" i="1"/>
  <c r="AD247" i="1"/>
  <c r="AE247" i="1"/>
  <c r="AD290" i="1"/>
  <c r="AE290" i="1"/>
  <c r="AD348" i="1"/>
  <c r="AE348" i="1"/>
  <c r="AD399" i="1"/>
  <c r="AE399" i="1"/>
  <c r="AD448" i="1"/>
  <c r="AE448" i="1"/>
  <c r="AD483" i="1"/>
  <c r="AE483" i="1"/>
  <c r="AD525" i="1"/>
  <c r="AE525" i="1"/>
  <c r="AD56" i="1"/>
  <c r="AE56" i="1"/>
  <c r="AD140" i="1"/>
  <c r="AE140" i="1"/>
  <c r="AD304" i="1"/>
  <c r="AE304" i="1"/>
  <c r="AD465" i="1"/>
  <c r="AE465" i="1"/>
  <c r="AD331" i="1"/>
  <c r="AE331" i="1"/>
  <c r="AD198" i="1"/>
  <c r="AE198" i="1"/>
  <c r="AC73" i="1"/>
  <c r="AC97" i="1"/>
  <c r="AC143" i="1"/>
  <c r="AC298" i="1"/>
  <c r="AC362" i="1"/>
  <c r="AC415" i="1"/>
  <c r="AC436" i="1"/>
  <c r="AC29" i="1"/>
  <c r="AC401" i="1"/>
  <c r="AC19" i="1"/>
  <c r="AC152" i="1"/>
  <c r="AC467" i="1"/>
  <c r="AC423" i="1"/>
  <c r="AC34" i="1"/>
  <c r="AC413" i="1"/>
  <c r="AC153" i="1"/>
  <c r="AC20" i="1"/>
  <c r="AC470" i="1"/>
  <c r="AC424" i="1"/>
  <c r="AC22" i="1"/>
  <c r="AC381" i="1"/>
  <c r="AC15" i="1"/>
  <c r="AC144" i="1"/>
  <c r="AC455" i="1"/>
  <c r="AC416" i="1"/>
  <c r="AC46" i="1"/>
  <c r="AC74" i="1"/>
  <c r="AC98" i="1"/>
  <c r="AC131" i="1"/>
  <c r="AC220" i="1"/>
  <c r="AC268" i="1"/>
  <c r="AC310" i="1"/>
  <c r="AC361" i="1"/>
  <c r="AC402" i="1"/>
  <c r="AC456" i="1"/>
  <c r="AC531" i="1"/>
  <c r="AC13" i="1"/>
  <c r="AC61" i="1"/>
  <c r="AC82" i="1"/>
  <c r="AC129" i="1"/>
  <c r="AC252" i="1"/>
  <c r="AC376" i="1"/>
  <c r="AC472" i="1"/>
  <c r="AC237" i="1"/>
  <c r="AC254" i="1"/>
  <c r="AC203" i="1"/>
  <c r="AC221" i="1"/>
  <c r="AC430" i="1"/>
  <c r="AC437" i="1"/>
  <c r="AC65" i="1"/>
  <c r="AC64" i="1"/>
  <c r="AC119" i="1"/>
  <c r="AC132" i="1"/>
  <c r="AC532" i="1"/>
  <c r="AC75" i="1"/>
  <c r="AC508" i="1"/>
  <c r="AC89" i="1"/>
  <c r="AC99" i="1"/>
  <c r="AC162" i="1"/>
  <c r="AC181" i="1"/>
  <c r="AC238" i="1"/>
  <c r="AC255" i="1"/>
  <c r="AC382" i="1"/>
  <c r="AC403" i="1"/>
  <c r="AC431" i="1"/>
  <c r="AC438" i="1"/>
  <c r="AC475" i="1"/>
  <c r="AC487" i="1"/>
  <c r="AC90" i="1"/>
  <c r="AC100" i="1"/>
  <c r="AC325" i="1"/>
  <c r="AC337" i="1"/>
  <c r="AC476" i="1"/>
  <c r="AC488" i="1"/>
  <c r="AC507" i="1"/>
  <c r="AC533" i="1"/>
  <c r="AC76" i="1"/>
  <c r="AC120" i="1"/>
  <c r="AC133" i="1"/>
  <c r="AC204" i="1"/>
  <c r="AC222" i="1"/>
  <c r="AC269" i="1"/>
  <c r="AC281" i="1"/>
  <c r="AC270" i="1"/>
  <c r="AC282" i="1"/>
  <c r="AC383" i="1"/>
  <c r="AC404" i="1"/>
  <c r="AC163" i="1"/>
  <c r="AC182" i="1"/>
  <c r="AC326" i="1"/>
  <c r="AC338" i="1"/>
  <c r="AC83" i="1"/>
  <c r="AC84" i="1"/>
  <c r="AC299" i="1"/>
  <c r="AC205" i="1"/>
  <c r="AC327" i="1"/>
  <c r="AC432" i="1"/>
  <c r="AC164" i="1"/>
  <c r="AC91" i="1"/>
  <c r="AC102" i="1"/>
  <c r="AC134" i="1"/>
  <c r="AC165" i="1"/>
  <c r="AC47" i="1"/>
  <c r="AC206" i="1"/>
  <c r="AC231" i="1"/>
  <c r="AC239" i="1"/>
  <c r="AC240" i="1"/>
  <c r="AC256" i="1"/>
  <c r="AC264" i="1"/>
  <c r="AC311" i="1"/>
  <c r="AC339" i="1"/>
  <c r="AC340" i="1"/>
  <c r="AC363" i="1"/>
  <c r="AC384" i="1"/>
  <c r="AC418" i="1"/>
  <c r="AC440" i="1"/>
  <c r="AC441" i="1"/>
  <c r="AC458" i="1"/>
  <c r="AC490" i="1"/>
  <c r="AC510" i="1"/>
  <c r="AC534" i="1"/>
  <c r="AC126" i="1"/>
  <c r="AC223" i="1"/>
  <c r="AC257" i="1"/>
  <c r="AC266" i="1"/>
  <c r="AC272" i="1"/>
  <c r="AC278" i="1"/>
  <c r="AC292" i="1"/>
  <c r="AC293" i="1"/>
  <c r="AC300" i="1"/>
  <c r="AC332" i="1"/>
  <c r="AC371" i="1"/>
  <c r="AC373" i="1"/>
  <c r="AC392" i="1"/>
  <c r="AC410" i="1"/>
  <c r="AC411" i="1"/>
  <c r="AC425" i="1"/>
  <c r="AC496" i="1"/>
  <c r="AC500" i="1"/>
  <c r="AC529" i="1"/>
  <c r="AC541" i="1"/>
  <c r="AC110" i="1"/>
  <c r="AC141" i="1"/>
  <c r="AC350" i="1"/>
  <c r="AC393" i="1"/>
  <c r="AC449" i="1"/>
  <c r="AC57" i="1"/>
  <c r="AC71" i="1"/>
  <c r="AC228" i="1"/>
  <c r="AC128" i="1"/>
  <c r="AC351" i="1"/>
  <c r="AC267" i="1"/>
  <c r="AC394" i="1"/>
  <c r="AC527" i="1"/>
  <c r="AC497" i="1"/>
  <c r="AC174" i="1"/>
  <c r="AC466" i="1"/>
  <c r="AC183" i="1"/>
  <c r="AC301" i="1"/>
  <c r="AC312" i="1"/>
  <c r="AC58" i="1"/>
  <c r="AC80" i="1"/>
  <c r="AC24" i="1"/>
  <c r="AC103" i="1"/>
  <c r="AC184" i="1"/>
  <c r="AC283" i="1"/>
  <c r="AC341" i="1"/>
  <c r="AC406" i="1"/>
  <c r="AC459" i="1"/>
  <c r="AC37" i="1"/>
  <c r="AC63" i="1"/>
  <c r="AC4" i="1"/>
  <c r="AC25" i="1"/>
  <c r="AC35" i="1"/>
  <c r="AC66" i="1"/>
  <c r="AC92" i="1"/>
  <c r="AC121" i="1"/>
  <c r="AC145" i="1"/>
  <c r="AC161" i="1"/>
  <c r="AC194" i="1"/>
  <c r="AC241" i="1"/>
  <c r="AC284" i="1"/>
  <c r="AC309" i="1"/>
  <c r="AC365" i="1"/>
  <c r="AC385" i="1"/>
  <c r="AC433" i="1"/>
  <c r="AC474" i="1"/>
  <c r="AC520" i="1"/>
  <c r="AC104" i="1"/>
  <c r="AC419" i="1"/>
  <c r="AC146" i="1"/>
  <c r="AC185" i="1"/>
  <c r="AC166" i="1"/>
  <c r="AC285" i="1"/>
  <c r="AC225" i="1"/>
  <c r="AC512" i="1"/>
  <c r="AC442" i="1"/>
  <c r="AC136" i="1"/>
  <c r="AC302" i="1"/>
  <c r="AC443" i="1"/>
  <c r="AC242" i="1"/>
  <c r="AC513" i="1"/>
  <c r="AC407" i="1"/>
  <c r="AC342" i="1"/>
  <c r="AC502" i="1"/>
  <c r="AC478" i="1"/>
  <c r="AC111" i="1"/>
  <c r="AC428" i="1"/>
  <c r="AC154" i="1"/>
  <c r="AC155" i="1"/>
  <c r="AC192" i="1"/>
  <c r="AC177" i="1"/>
  <c r="AC179" i="1"/>
  <c r="AC295" i="1"/>
  <c r="AC105" i="1"/>
  <c r="AC175" i="1"/>
  <c r="AC208" i="1"/>
  <c r="AC243" i="1"/>
  <c r="AC352" i="1"/>
  <c r="AC444" i="1"/>
  <c r="AC540" i="1"/>
  <c r="AC229" i="1"/>
  <c r="AC142" i="1"/>
  <c r="AC308" i="1"/>
  <c r="AC453" i="1"/>
  <c r="AC250" i="1"/>
  <c r="AC519" i="1"/>
  <c r="AC414" i="1"/>
  <c r="AC356" i="1"/>
  <c r="AC506" i="1"/>
  <c r="AC486" i="1"/>
  <c r="AC14" i="1"/>
  <c r="AC41" i="1"/>
  <c r="AC62" i="1"/>
  <c r="AC86" i="1"/>
  <c r="AC87" i="1"/>
  <c r="AC112" i="1"/>
  <c r="AC156" i="1"/>
  <c r="AC319" i="1"/>
  <c r="AC360" i="1"/>
  <c r="AC380" i="1"/>
  <c r="AC499" i="1"/>
  <c r="AC195" i="1"/>
  <c r="AC258" i="1"/>
  <c r="AC386" i="1"/>
  <c r="AC167" i="1"/>
  <c r="AC460" i="1"/>
  <c r="AC286" i="1"/>
  <c r="AC113" i="1"/>
  <c r="AC244" i="1"/>
  <c r="AC209" i="1"/>
  <c r="AC387" i="1"/>
  <c r="AC199" i="1"/>
  <c r="AC261" i="1"/>
  <c r="AC374" i="1"/>
  <c r="AC396" i="1"/>
  <c r="AC445" i="1"/>
  <c r="AC176" i="1"/>
  <c r="AC333" i="1"/>
  <c r="AC492" i="1"/>
  <c r="AC343" i="1"/>
  <c r="AC294" i="1"/>
  <c r="AC335" i="1"/>
  <c r="AC452" i="1"/>
  <c r="AC471" i="1"/>
  <c r="AC249" i="1"/>
  <c r="AC201" i="1"/>
  <c r="AC262" i="1"/>
  <c r="AC178" i="1"/>
  <c r="AC296" i="1"/>
  <c r="AC117" i="1"/>
  <c r="AC251" i="1"/>
  <c r="AC147" i="1"/>
  <c r="AC218" i="1"/>
  <c r="AC321" i="1"/>
  <c r="AC378" i="1"/>
  <c r="AC287" i="1"/>
  <c r="AC359" i="1"/>
  <c r="AC514" i="1"/>
  <c r="AC427" i="1"/>
  <c r="AC200" i="1"/>
  <c r="AC530" i="1"/>
  <c r="AC468" i="1"/>
  <c r="AC160" i="1"/>
  <c r="AC44" i="1"/>
  <c r="AC96" i="1"/>
  <c r="AC116" i="1"/>
  <c r="AC159" i="1"/>
  <c r="AC190" i="1"/>
  <c r="AC217" i="1"/>
  <c r="AC277" i="1"/>
  <c r="AC307" i="1"/>
  <c r="AC322" i="1"/>
  <c r="AC353" i="1"/>
  <c r="AC375" i="1"/>
  <c r="AC412" i="1"/>
  <c r="AC450" i="1"/>
  <c r="AC485" i="1"/>
  <c r="AC503" i="1"/>
  <c r="AC528" i="1"/>
  <c r="AC16" i="1"/>
  <c r="AC33" i="1"/>
  <c r="AC43" i="1"/>
  <c r="AC81" i="1"/>
  <c r="AC93" i="1"/>
  <c r="AC114" i="1"/>
  <c r="AC168" i="1"/>
  <c r="AC226" i="1"/>
  <c r="AC273" i="1"/>
  <c r="AC314" i="1"/>
  <c r="AC328" i="1"/>
  <c r="AC367" i="1"/>
  <c r="AC388" i="1"/>
  <c r="AC420" i="1"/>
  <c r="AC479" i="1"/>
  <c r="AC504" i="1"/>
  <c r="AC536" i="1"/>
  <c r="AC17" i="1"/>
  <c r="AC38" i="1"/>
  <c r="AC49" i="1"/>
  <c r="AC68" i="1"/>
  <c r="AC106" i="1"/>
  <c r="AC115" i="1"/>
  <c r="AC169" i="1"/>
  <c r="AC191" i="1"/>
  <c r="AC260" i="1"/>
  <c r="AC274" i="1"/>
  <c r="AC303" i="1"/>
  <c r="AC323" i="1"/>
  <c r="AC329" i="1"/>
  <c r="AC368" i="1"/>
  <c r="AC389" i="1"/>
  <c r="AC446" i="1"/>
  <c r="AC461" i="1"/>
  <c r="AC480" i="1"/>
  <c r="AC505" i="1"/>
  <c r="AC542" i="1"/>
  <c r="AC9" i="1"/>
  <c r="AC26" i="1"/>
  <c r="AC39" i="1"/>
  <c r="AC50" i="1"/>
  <c r="AC107" i="1"/>
  <c r="AC148" i="1"/>
  <c r="AC211" i="1"/>
  <c r="AC245" i="1"/>
  <c r="AC315" i="1"/>
  <c r="AC330" i="1"/>
  <c r="AC422" i="1"/>
  <c r="AC481" i="1"/>
  <c r="AC522" i="1"/>
  <c r="AC59" i="1"/>
  <c r="AC122" i="1"/>
  <c r="AC150" i="1"/>
  <c r="AC170" i="1"/>
  <c r="AC196" i="1"/>
  <c r="AC227" i="1"/>
  <c r="AC246" i="1"/>
  <c r="AC288" i="1"/>
  <c r="AC316" i="1"/>
  <c r="AC344" i="1"/>
  <c r="AC369" i="1"/>
  <c r="AC408" i="1"/>
  <c r="AC434" i="1"/>
  <c r="AC462" i="1"/>
  <c r="AC493" i="1"/>
  <c r="AC515" i="1"/>
  <c r="AC537" i="1"/>
  <c r="AC7" i="1"/>
  <c r="AC18" i="1"/>
  <c r="AC51" i="1"/>
  <c r="AC77" i="1"/>
  <c r="AC108" i="1"/>
  <c r="AC138" i="1"/>
  <c r="AC171" i="1"/>
  <c r="AC197" i="1"/>
  <c r="AC234" i="1"/>
  <c r="AC289" i="1"/>
  <c r="AC324" i="1"/>
  <c r="AC345" i="1"/>
  <c r="AC370" i="1"/>
  <c r="AC435" i="1"/>
  <c r="AC463" i="1"/>
  <c r="AC494" i="1"/>
  <c r="AC516" i="1"/>
  <c r="AC538" i="1"/>
  <c r="AC10" i="1"/>
  <c r="AC52" i="1"/>
  <c r="AC395" i="1"/>
  <c r="AC202" i="1"/>
  <c r="AC263" i="1"/>
  <c r="AC379" i="1"/>
  <c r="AC398" i="1"/>
  <c r="AC397" i="1"/>
  <c r="AC451" i="1"/>
  <c r="AC180" i="1"/>
  <c r="AC469" i="1"/>
  <c r="AC334" i="1"/>
  <c r="AC355" i="1"/>
  <c r="AC498" i="1"/>
  <c r="AC354" i="1"/>
  <c r="AC297" i="1"/>
  <c r="AC336" i="1"/>
  <c r="AC118" i="1"/>
  <c r="AC454" i="1"/>
  <c r="AC473" i="1"/>
  <c r="AC253" i="1"/>
  <c r="AC151" i="1"/>
  <c r="AC219" i="1"/>
  <c r="AC358" i="1"/>
  <c r="AC5" i="1"/>
  <c r="AC21" i="1"/>
  <c r="AC53" i="1"/>
  <c r="AC69" i="1"/>
  <c r="AC94" i="1"/>
  <c r="AC123" i="1"/>
  <c r="AC130" i="1"/>
  <c r="AC172" i="1"/>
  <c r="AC186" i="1"/>
  <c r="AC212" i="1"/>
  <c r="AC235" i="1"/>
  <c r="AC280" i="1"/>
  <c r="AC317" i="1"/>
  <c r="AC346" i="1"/>
  <c r="AC390" i="1"/>
  <c r="AC429" i="1"/>
  <c r="AC464" i="1"/>
  <c r="AC517" i="1"/>
  <c r="AC259" i="1"/>
  <c r="AC265" i="1"/>
  <c r="AC305" i="1"/>
  <c r="AC109" i="1"/>
  <c r="AC495" i="1"/>
  <c r="AC318" i="1"/>
  <c r="AC391" i="1"/>
  <c r="AC124" i="1"/>
  <c r="AC193" i="1"/>
  <c r="AC409" i="1"/>
  <c r="AC447" i="1"/>
  <c r="AC248" i="1"/>
  <c r="AC187" i="1"/>
  <c r="AC95" i="1"/>
  <c r="AC523" i="1"/>
  <c r="AC139" i="1"/>
  <c r="AC215" i="1"/>
  <c r="AC518" i="1"/>
  <c r="AC539" i="1"/>
  <c r="AC482" i="1"/>
  <c r="AC173" i="1"/>
  <c r="AC31" i="1"/>
  <c r="AC54" i="1"/>
  <c r="AC70" i="1"/>
  <c r="AC6" i="1"/>
  <c r="AC28" i="1"/>
  <c r="AC55" i="1"/>
  <c r="AC79" i="1"/>
  <c r="AC88" i="1"/>
  <c r="AC125" i="1"/>
  <c r="AC149" i="1"/>
  <c r="AC188" i="1"/>
  <c r="AC214" i="1"/>
  <c r="AC247" i="1"/>
  <c r="AC290" i="1"/>
  <c r="AC348" i="1"/>
  <c r="AC399" i="1"/>
  <c r="AC448" i="1"/>
  <c r="AC483" i="1"/>
  <c r="AC525" i="1"/>
  <c r="AC56" i="1"/>
  <c r="AC140" i="1"/>
  <c r="AC304" i="1"/>
  <c r="AC465" i="1"/>
  <c r="AC331" i="1"/>
  <c r="AC198" i="1"/>
  <c r="J9" i="33"/>
  <c r="M9" i="33" s="1"/>
  <c r="J10" i="33"/>
  <c r="J17" i="33"/>
  <c r="D11" i="33"/>
  <c r="C11" i="33"/>
  <c r="E11" i="33" s="1"/>
  <c r="Y38" i="17" l="1"/>
  <c r="V38" i="17"/>
  <c r="W38" i="17"/>
  <c r="M17" i="33"/>
  <c r="M10" i="33"/>
  <c r="Q46" i="1" l="1"/>
  <c r="R46" i="1"/>
  <c r="Q74" i="1"/>
  <c r="R74" i="1"/>
  <c r="Q98" i="1"/>
  <c r="R98" i="1"/>
  <c r="Q131" i="1"/>
  <c r="R131" i="1"/>
  <c r="Q220" i="1"/>
  <c r="R220" i="1"/>
  <c r="Q268" i="1"/>
  <c r="R268" i="1"/>
  <c r="Q310" i="1"/>
  <c r="R310" i="1"/>
  <c r="Q361" i="1"/>
  <c r="R361" i="1"/>
  <c r="Q402" i="1"/>
  <c r="R402" i="1"/>
  <c r="Q456" i="1"/>
  <c r="R456" i="1"/>
  <c r="Q531" i="1"/>
  <c r="R531" i="1"/>
  <c r="Q4" i="1"/>
  <c r="R4" i="1"/>
  <c r="Q25" i="1"/>
  <c r="R25" i="1"/>
  <c r="Q35" i="1"/>
  <c r="R35" i="1"/>
  <c r="Q66" i="1"/>
  <c r="R66" i="1"/>
  <c r="Q92" i="1"/>
  <c r="R92" i="1"/>
  <c r="Q121" i="1"/>
  <c r="R121" i="1"/>
  <c r="Q145" i="1"/>
  <c r="R145" i="1"/>
  <c r="Q161" i="1"/>
  <c r="R161" i="1"/>
  <c r="Q194" i="1"/>
  <c r="R194" i="1"/>
  <c r="Q241" i="1"/>
  <c r="R241" i="1"/>
  <c r="Q284" i="1"/>
  <c r="R284" i="1"/>
  <c r="Q309" i="1"/>
  <c r="R309" i="1"/>
  <c r="Q365" i="1"/>
  <c r="R365" i="1"/>
  <c r="Q385" i="1"/>
  <c r="R385" i="1"/>
  <c r="Q433" i="1"/>
  <c r="R433" i="1"/>
  <c r="Q474" i="1"/>
  <c r="R474" i="1"/>
  <c r="Q520" i="1"/>
  <c r="R520" i="1"/>
  <c r="Q5" i="1"/>
  <c r="R5" i="1"/>
  <c r="S5" i="1"/>
  <c r="Q21" i="1"/>
  <c r="R21" i="1"/>
  <c r="Q53" i="1"/>
  <c r="R53" i="1"/>
  <c r="Q69" i="1"/>
  <c r="R69" i="1"/>
  <c r="Q94" i="1"/>
  <c r="R94" i="1"/>
  <c r="Q123" i="1"/>
  <c r="R123" i="1"/>
  <c r="Q130" i="1"/>
  <c r="R130" i="1"/>
  <c r="Q172" i="1"/>
  <c r="R172" i="1"/>
  <c r="Q186" i="1"/>
  <c r="R186" i="1"/>
  <c r="Q212" i="1"/>
  <c r="R212" i="1"/>
  <c r="Q235" i="1"/>
  <c r="R235" i="1"/>
  <c r="Q280" i="1"/>
  <c r="R280" i="1"/>
  <c r="Q317" i="1"/>
  <c r="R317" i="1"/>
  <c r="Q346" i="1"/>
  <c r="R346" i="1"/>
  <c r="Q390" i="1"/>
  <c r="R390" i="1"/>
  <c r="Q429" i="1"/>
  <c r="R429" i="1"/>
  <c r="Q464" i="1"/>
  <c r="R464" i="1"/>
  <c r="Q517" i="1"/>
  <c r="R517" i="1"/>
  <c r="Q6" i="1"/>
  <c r="R6" i="1"/>
  <c r="Q28" i="1"/>
  <c r="R28" i="1"/>
  <c r="Q55" i="1"/>
  <c r="R55" i="1"/>
  <c r="Q79" i="1"/>
  <c r="R79" i="1"/>
  <c r="Q88" i="1"/>
  <c r="R88" i="1"/>
  <c r="Q125" i="1"/>
  <c r="R125" i="1"/>
  <c r="Q149" i="1"/>
  <c r="R149" i="1"/>
  <c r="Q188" i="1"/>
  <c r="R188" i="1"/>
  <c r="Q214" i="1"/>
  <c r="R214" i="1"/>
  <c r="Q247" i="1"/>
  <c r="R247" i="1"/>
  <c r="Q290" i="1"/>
  <c r="R290" i="1"/>
  <c r="Q348" i="1"/>
  <c r="R348" i="1"/>
  <c r="Q399" i="1"/>
  <c r="R399" i="1"/>
  <c r="Q448" i="1"/>
  <c r="R448" i="1"/>
  <c r="Q483" i="1"/>
  <c r="R483" i="1"/>
  <c r="Q525" i="1"/>
  <c r="R525" i="1"/>
  <c r="Q56" i="1"/>
  <c r="R56" i="1"/>
  <c r="Q140" i="1"/>
  <c r="R140" i="1"/>
  <c r="Q304" i="1"/>
  <c r="R304" i="1"/>
  <c r="Q465" i="1"/>
  <c r="R465" i="1"/>
  <c r="C6" i="1"/>
  <c r="D6" i="1"/>
  <c r="C28" i="1"/>
  <c r="D28" i="1"/>
  <c r="C55" i="1"/>
  <c r="D55" i="1"/>
  <c r="C79" i="1"/>
  <c r="D79" i="1"/>
  <c r="C88" i="1"/>
  <c r="D88" i="1"/>
  <c r="C125" i="1"/>
  <c r="D125" i="1"/>
  <c r="C149" i="1"/>
  <c r="D149" i="1"/>
  <c r="C188" i="1"/>
  <c r="D188" i="1"/>
  <c r="C214" i="1"/>
  <c r="D214" i="1"/>
  <c r="C247" i="1"/>
  <c r="D247" i="1"/>
  <c r="C290" i="1"/>
  <c r="D290" i="1"/>
  <c r="C348" i="1"/>
  <c r="D348" i="1"/>
  <c r="C399" i="1"/>
  <c r="D399" i="1"/>
  <c r="C448" i="1"/>
  <c r="D448" i="1"/>
  <c r="C483" i="1"/>
  <c r="D483" i="1"/>
  <c r="C525" i="1"/>
  <c r="D525" i="1"/>
  <c r="C56" i="1"/>
  <c r="D56" i="1"/>
  <c r="C140" i="1"/>
  <c r="D140" i="1"/>
  <c r="C304" i="1"/>
  <c r="D304" i="1"/>
  <c r="C465" i="1"/>
  <c r="D465" i="1"/>
  <c r="W544" i="1"/>
  <c r="X544" i="1"/>
  <c r="Y544" i="1"/>
  <c r="Z544" i="1"/>
  <c r="AA544" i="1"/>
  <c r="C5" i="1"/>
  <c r="D5" i="1"/>
  <c r="C21" i="1"/>
  <c r="D21" i="1"/>
  <c r="C53" i="1"/>
  <c r="D53" i="1"/>
  <c r="C69" i="1"/>
  <c r="D69" i="1"/>
  <c r="C94" i="1"/>
  <c r="D94" i="1"/>
  <c r="C123" i="1"/>
  <c r="D123" i="1"/>
  <c r="C130" i="1"/>
  <c r="D130" i="1"/>
  <c r="C172" i="1"/>
  <c r="D172" i="1"/>
  <c r="C186" i="1"/>
  <c r="D186" i="1"/>
  <c r="C212" i="1"/>
  <c r="D212" i="1"/>
  <c r="C235" i="1"/>
  <c r="D235" i="1"/>
  <c r="C280" i="1"/>
  <c r="D280" i="1"/>
  <c r="C317" i="1"/>
  <c r="D317" i="1"/>
  <c r="C346" i="1"/>
  <c r="D346" i="1"/>
  <c r="C390" i="1"/>
  <c r="D390" i="1"/>
  <c r="C429" i="1"/>
  <c r="D429" i="1"/>
  <c r="C464" i="1"/>
  <c r="D464" i="1"/>
  <c r="C517" i="1"/>
  <c r="D517" i="1"/>
  <c r="C66" i="1"/>
  <c r="D66" i="1"/>
  <c r="C92" i="1"/>
  <c r="D92" i="1"/>
  <c r="C121" i="1"/>
  <c r="D121" i="1"/>
  <c r="C145" i="1"/>
  <c r="D145" i="1"/>
  <c r="C161" i="1"/>
  <c r="D161" i="1"/>
  <c r="C194" i="1"/>
  <c r="D194" i="1"/>
  <c r="C241" i="1"/>
  <c r="D241" i="1"/>
  <c r="C284" i="1"/>
  <c r="D284" i="1"/>
  <c r="C309" i="1"/>
  <c r="D309" i="1"/>
  <c r="C365" i="1"/>
  <c r="D365" i="1"/>
  <c r="C385" i="1"/>
  <c r="D385" i="1"/>
  <c r="C433" i="1"/>
  <c r="D433" i="1"/>
  <c r="C474" i="1"/>
  <c r="D474" i="1"/>
  <c r="C520" i="1"/>
  <c r="D520" i="1"/>
  <c r="C46" i="1"/>
  <c r="D46" i="1"/>
  <c r="C74" i="1"/>
  <c r="D74" i="1"/>
  <c r="C98" i="1"/>
  <c r="D98" i="1"/>
  <c r="C131" i="1"/>
  <c r="D131" i="1"/>
  <c r="C220" i="1"/>
  <c r="D220" i="1"/>
  <c r="C268" i="1"/>
  <c r="D268" i="1"/>
  <c r="C310" i="1"/>
  <c r="D310" i="1"/>
  <c r="C361" i="1"/>
  <c r="D361" i="1"/>
  <c r="C402" i="1"/>
  <c r="D402" i="1"/>
  <c r="C456" i="1"/>
  <c r="D456" i="1"/>
  <c r="C531" i="1"/>
  <c r="D531" i="1"/>
  <c r="C36" i="1"/>
  <c r="C73" i="1"/>
  <c r="C97" i="1"/>
  <c r="C143" i="1"/>
  <c r="C298" i="1"/>
  <c r="C362" i="1"/>
  <c r="C415" i="1"/>
  <c r="C436" i="1"/>
  <c r="C29" i="1"/>
  <c r="C401" i="1"/>
  <c r="C19" i="1"/>
  <c r="C152" i="1"/>
  <c r="C467" i="1"/>
  <c r="C423" i="1"/>
  <c r="C34" i="1"/>
  <c r="C413" i="1"/>
  <c r="C153" i="1"/>
  <c r="C20" i="1"/>
  <c r="C470" i="1"/>
  <c r="C424" i="1"/>
  <c r="C22" i="1"/>
  <c r="C381" i="1"/>
  <c r="C15" i="1"/>
  <c r="C144" i="1"/>
  <c r="C455" i="1"/>
  <c r="C416" i="1"/>
  <c r="C13" i="1"/>
  <c r="C61" i="1"/>
  <c r="C82" i="1"/>
  <c r="C129" i="1"/>
  <c r="C252" i="1"/>
  <c r="C376" i="1"/>
  <c r="C472" i="1"/>
  <c r="C237" i="1"/>
  <c r="C254" i="1"/>
  <c r="C508" i="1"/>
  <c r="C533" i="1"/>
  <c r="C203" i="1"/>
  <c r="C221" i="1"/>
  <c r="C430" i="1"/>
  <c r="C437" i="1"/>
  <c r="C507" i="1"/>
  <c r="C76" i="1"/>
  <c r="C119" i="1"/>
  <c r="C132" i="1"/>
  <c r="C65" i="1"/>
  <c r="C532" i="1"/>
  <c r="C83" i="1"/>
  <c r="C89" i="1"/>
  <c r="C99" i="1"/>
  <c r="C162" i="1"/>
  <c r="C181" i="1"/>
  <c r="C238" i="1"/>
  <c r="C255" i="1"/>
  <c r="C382" i="1"/>
  <c r="C403" i="1"/>
  <c r="C431" i="1"/>
  <c r="C438" i="1"/>
  <c r="C475" i="1"/>
  <c r="C487" i="1"/>
  <c r="C90" i="1"/>
  <c r="C100" i="1"/>
  <c r="C325" i="1"/>
  <c r="C337" i="1"/>
  <c r="C476" i="1"/>
  <c r="C488" i="1"/>
  <c r="C64" i="1"/>
  <c r="C75" i="1"/>
  <c r="C84" i="1"/>
  <c r="C120" i="1"/>
  <c r="C133" i="1"/>
  <c r="C204" i="1"/>
  <c r="C222" i="1"/>
  <c r="C269" i="1"/>
  <c r="C281" i="1"/>
  <c r="C270" i="1"/>
  <c r="C282" i="1"/>
  <c r="C383" i="1"/>
  <c r="C404" i="1"/>
  <c r="C163" i="1"/>
  <c r="C182" i="1"/>
  <c r="C326" i="1"/>
  <c r="C338" i="1"/>
  <c r="C299" i="1"/>
  <c r="C205" i="1"/>
  <c r="C327" i="1"/>
  <c r="C432" i="1"/>
  <c r="C164" i="1"/>
  <c r="C440" i="1"/>
  <c r="C363" i="1"/>
  <c r="C311" i="1"/>
  <c r="C339" i="1"/>
  <c r="C165" i="1"/>
  <c r="C458" i="1"/>
  <c r="C91" i="1"/>
  <c r="C47" i="1"/>
  <c r="C510" i="1"/>
  <c r="C340" i="1"/>
  <c r="C239" i="1"/>
  <c r="C256" i="1"/>
  <c r="C534" i="1"/>
  <c r="C206" i="1"/>
  <c r="C490" i="1"/>
  <c r="C231" i="1"/>
  <c r="C102" i="1"/>
  <c r="C441" i="1"/>
  <c r="C384" i="1"/>
  <c r="C134" i="1"/>
  <c r="C240" i="1"/>
  <c r="C418" i="1"/>
  <c r="C264" i="1"/>
  <c r="C126" i="1"/>
  <c r="C392" i="1"/>
  <c r="C292" i="1"/>
  <c r="C500" i="1"/>
  <c r="C223" i="1"/>
  <c r="C410" i="1"/>
  <c r="C496" i="1"/>
  <c r="C300" i="1"/>
  <c r="C272" i="1"/>
  <c r="C332" i="1"/>
  <c r="C411" i="1"/>
  <c r="C371" i="1"/>
  <c r="C293" i="1"/>
  <c r="C425" i="1"/>
  <c r="C373" i="1"/>
  <c r="C266" i="1"/>
  <c r="C541" i="1"/>
  <c r="C257" i="1"/>
  <c r="C278" i="1"/>
  <c r="C529" i="1"/>
  <c r="C57" i="1"/>
  <c r="C71" i="1"/>
  <c r="C110" i="1"/>
  <c r="C141" i="1"/>
  <c r="C350" i="1"/>
  <c r="C393" i="1"/>
  <c r="C449" i="1"/>
  <c r="C80" i="1"/>
  <c r="C228" i="1"/>
  <c r="C128" i="1"/>
  <c r="C351" i="1"/>
  <c r="C58" i="1"/>
  <c r="C267" i="1"/>
  <c r="C394" i="1"/>
  <c r="C527" i="1"/>
  <c r="C497" i="1"/>
  <c r="C174" i="1"/>
  <c r="C466" i="1"/>
  <c r="C183" i="1"/>
  <c r="C301" i="1"/>
  <c r="C312" i="1"/>
  <c r="C24" i="1"/>
  <c r="C37" i="1"/>
  <c r="C63" i="1"/>
  <c r="C103" i="1"/>
  <c r="C184" i="1"/>
  <c r="C283" i="1"/>
  <c r="C341" i="1"/>
  <c r="C406" i="1"/>
  <c r="C459" i="1"/>
  <c r="C104" i="1"/>
  <c r="C419" i="1"/>
  <c r="C146" i="1"/>
  <c r="C185" i="1"/>
  <c r="C166" i="1"/>
  <c r="C285" i="1"/>
  <c r="C225" i="1"/>
  <c r="C512" i="1"/>
  <c r="C442" i="1"/>
  <c r="C136" i="1"/>
  <c r="C302" i="1"/>
  <c r="C443" i="1"/>
  <c r="C242" i="1"/>
  <c r="C513" i="1"/>
  <c r="C407" i="1"/>
  <c r="C342" i="1"/>
  <c r="C502" i="1"/>
  <c r="C478" i="1"/>
  <c r="C111" i="1"/>
  <c r="C428" i="1"/>
  <c r="C154" i="1"/>
  <c r="C155" i="1"/>
  <c r="C192" i="1"/>
  <c r="C177" i="1"/>
  <c r="C179" i="1"/>
  <c r="C295" i="1"/>
  <c r="C105" i="1"/>
  <c r="C175" i="1"/>
  <c r="C208" i="1"/>
  <c r="C243" i="1"/>
  <c r="C352" i="1"/>
  <c r="C444" i="1"/>
  <c r="C540" i="1"/>
  <c r="C229" i="1"/>
  <c r="C142" i="1"/>
  <c r="C308" i="1"/>
  <c r="C453" i="1"/>
  <c r="C250" i="1"/>
  <c r="C519" i="1"/>
  <c r="C414" i="1"/>
  <c r="C356" i="1"/>
  <c r="C506" i="1"/>
  <c r="C486" i="1"/>
  <c r="C14" i="1"/>
  <c r="C41" i="1"/>
  <c r="C62" i="1"/>
  <c r="C86" i="1"/>
  <c r="C87" i="1"/>
  <c r="C112" i="1"/>
  <c r="C156" i="1"/>
  <c r="C319" i="1"/>
  <c r="C360" i="1"/>
  <c r="C380" i="1"/>
  <c r="C499" i="1"/>
  <c r="C195" i="1"/>
  <c r="C258" i="1"/>
  <c r="C386" i="1"/>
  <c r="C167" i="1"/>
  <c r="C460" i="1"/>
  <c r="C286" i="1"/>
  <c r="C113" i="1"/>
  <c r="C244" i="1"/>
  <c r="C209" i="1"/>
  <c r="C387" i="1"/>
  <c r="C199" i="1"/>
  <c r="C261" i="1"/>
  <c r="C374" i="1"/>
  <c r="C396" i="1"/>
  <c r="C445" i="1"/>
  <c r="C176" i="1"/>
  <c r="C333" i="1"/>
  <c r="C492" i="1"/>
  <c r="C343" i="1"/>
  <c r="C294" i="1"/>
  <c r="C335" i="1"/>
  <c r="C452" i="1"/>
  <c r="C471" i="1"/>
  <c r="C249" i="1"/>
  <c r="C201" i="1"/>
  <c r="C262" i="1"/>
  <c r="C178" i="1"/>
  <c r="C296" i="1"/>
  <c r="C117" i="1"/>
  <c r="C251" i="1"/>
  <c r="C147" i="1"/>
  <c r="C218" i="1"/>
  <c r="C321" i="1"/>
  <c r="C378" i="1"/>
  <c r="C287" i="1"/>
  <c r="C359" i="1"/>
  <c r="C514" i="1"/>
  <c r="C427" i="1"/>
  <c r="C200" i="1"/>
  <c r="C530" i="1"/>
  <c r="C468" i="1"/>
  <c r="C160" i="1"/>
  <c r="C44" i="1"/>
  <c r="C16" i="1"/>
  <c r="C33" i="1"/>
  <c r="C43" i="1"/>
  <c r="C81" i="1"/>
  <c r="C96" i="1"/>
  <c r="C116" i="1"/>
  <c r="C159" i="1"/>
  <c r="C190" i="1"/>
  <c r="C217" i="1"/>
  <c r="C277" i="1"/>
  <c r="C307" i="1"/>
  <c r="C322" i="1"/>
  <c r="C353" i="1"/>
  <c r="C375" i="1"/>
  <c r="C412" i="1"/>
  <c r="C450" i="1"/>
  <c r="C485" i="1"/>
  <c r="C503" i="1"/>
  <c r="C528" i="1"/>
  <c r="C17" i="1"/>
  <c r="C38" i="1"/>
  <c r="C49" i="1"/>
  <c r="C93" i="1"/>
  <c r="C114" i="1"/>
  <c r="C168" i="1"/>
  <c r="C226" i="1"/>
  <c r="C273" i="1"/>
  <c r="C314" i="1"/>
  <c r="C328" i="1"/>
  <c r="C367" i="1"/>
  <c r="C388" i="1"/>
  <c r="C420" i="1"/>
  <c r="C479" i="1"/>
  <c r="C504" i="1"/>
  <c r="C536" i="1"/>
  <c r="C542" i="1"/>
  <c r="C9" i="1"/>
  <c r="C26" i="1"/>
  <c r="C39" i="1"/>
  <c r="C50" i="1"/>
  <c r="C68" i="1"/>
  <c r="C106" i="1"/>
  <c r="C115" i="1"/>
  <c r="C169" i="1"/>
  <c r="C191" i="1"/>
  <c r="C260" i="1"/>
  <c r="C274" i="1"/>
  <c r="C303" i="1"/>
  <c r="C323" i="1"/>
  <c r="C329" i="1"/>
  <c r="C368" i="1"/>
  <c r="C389" i="1"/>
  <c r="C446" i="1"/>
  <c r="C461" i="1"/>
  <c r="C480" i="1"/>
  <c r="C505" i="1"/>
  <c r="C59" i="1"/>
  <c r="C107" i="1"/>
  <c r="C148" i="1"/>
  <c r="C211" i="1"/>
  <c r="C245" i="1"/>
  <c r="C315" i="1"/>
  <c r="C330" i="1"/>
  <c r="C422" i="1"/>
  <c r="C481" i="1"/>
  <c r="C522" i="1"/>
  <c r="C7" i="1"/>
  <c r="C18" i="1"/>
  <c r="C51" i="1"/>
  <c r="C77" i="1"/>
  <c r="C122" i="1"/>
  <c r="C150" i="1"/>
  <c r="C170" i="1"/>
  <c r="C196" i="1"/>
  <c r="C227" i="1"/>
  <c r="C246" i="1"/>
  <c r="C288" i="1"/>
  <c r="C316" i="1"/>
  <c r="C344" i="1"/>
  <c r="C369" i="1"/>
  <c r="C408" i="1"/>
  <c r="C434" i="1"/>
  <c r="C462" i="1"/>
  <c r="C493" i="1"/>
  <c r="C515" i="1"/>
  <c r="C537" i="1"/>
  <c r="C10" i="1"/>
  <c r="C52" i="1"/>
  <c r="C108" i="1"/>
  <c r="C138" i="1"/>
  <c r="C171" i="1"/>
  <c r="C197" i="1"/>
  <c r="C234" i="1"/>
  <c r="C289" i="1"/>
  <c r="C324" i="1"/>
  <c r="C345" i="1"/>
  <c r="C370" i="1"/>
  <c r="C435" i="1"/>
  <c r="C463" i="1"/>
  <c r="C494" i="1"/>
  <c r="C516" i="1"/>
  <c r="C538" i="1"/>
  <c r="C395" i="1"/>
  <c r="C202" i="1"/>
  <c r="C263" i="1"/>
  <c r="C379" i="1"/>
  <c r="C398" i="1"/>
  <c r="C397" i="1"/>
  <c r="C451" i="1"/>
  <c r="C180" i="1"/>
  <c r="C469" i="1"/>
  <c r="C334" i="1"/>
  <c r="C355" i="1"/>
  <c r="C498" i="1"/>
  <c r="C354" i="1"/>
  <c r="C297" i="1"/>
  <c r="C336" i="1"/>
  <c r="C118" i="1"/>
  <c r="C454" i="1"/>
  <c r="C473" i="1"/>
  <c r="C253" i="1"/>
  <c r="C151" i="1"/>
  <c r="C219" i="1"/>
  <c r="C358" i="1"/>
  <c r="C259" i="1"/>
  <c r="C265" i="1"/>
  <c r="C305" i="1"/>
  <c r="C109" i="1"/>
  <c r="C495" i="1"/>
  <c r="C70" i="1"/>
  <c r="C318" i="1"/>
  <c r="C391" i="1"/>
  <c r="C124" i="1"/>
  <c r="C193" i="1"/>
  <c r="C409" i="1"/>
  <c r="C447" i="1"/>
  <c r="C31" i="1"/>
  <c r="C54" i="1"/>
  <c r="C248" i="1"/>
  <c r="C187" i="1"/>
  <c r="C95" i="1"/>
  <c r="C523" i="1"/>
  <c r="C139" i="1"/>
  <c r="C215" i="1"/>
  <c r="C518" i="1"/>
  <c r="C539" i="1"/>
  <c r="C482" i="1"/>
  <c r="C173" i="1"/>
  <c r="C331" i="1"/>
  <c r="C198" i="1"/>
  <c r="D36" i="1"/>
  <c r="D73" i="1"/>
  <c r="D97" i="1"/>
  <c r="D143" i="1"/>
  <c r="D298" i="1"/>
  <c r="D362" i="1"/>
  <c r="D415" i="1"/>
  <c r="D436" i="1"/>
  <c r="D29" i="1"/>
  <c r="D401" i="1"/>
  <c r="D19" i="1"/>
  <c r="D152" i="1"/>
  <c r="D467" i="1"/>
  <c r="D423" i="1"/>
  <c r="D34" i="1"/>
  <c r="D413" i="1"/>
  <c r="D153" i="1"/>
  <c r="D20" i="1"/>
  <c r="D470" i="1"/>
  <c r="D424" i="1"/>
  <c r="D22" i="1"/>
  <c r="D381" i="1"/>
  <c r="D15" i="1"/>
  <c r="D144" i="1"/>
  <c r="D455" i="1"/>
  <c r="D416" i="1"/>
  <c r="D13" i="1"/>
  <c r="D61" i="1"/>
  <c r="D82" i="1"/>
  <c r="D129" i="1"/>
  <c r="D252" i="1"/>
  <c r="D376" i="1"/>
  <c r="D472" i="1"/>
  <c r="D237" i="1"/>
  <c r="D254" i="1"/>
  <c r="D508" i="1"/>
  <c r="D533" i="1"/>
  <c r="D203" i="1"/>
  <c r="D221" i="1"/>
  <c r="D430" i="1"/>
  <c r="D437" i="1"/>
  <c r="D507" i="1"/>
  <c r="D76" i="1"/>
  <c r="D119" i="1"/>
  <c r="D132" i="1"/>
  <c r="D65" i="1"/>
  <c r="D532" i="1"/>
  <c r="D83" i="1"/>
  <c r="D89" i="1"/>
  <c r="D99" i="1"/>
  <c r="D162" i="1"/>
  <c r="D181" i="1"/>
  <c r="D238" i="1"/>
  <c r="D255" i="1"/>
  <c r="D382" i="1"/>
  <c r="D403" i="1"/>
  <c r="D431" i="1"/>
  <c r="D438" i="1"/>
  <c r="D475" i="1"/>
  <c r="D487" i="1"/>
  <c r="D90" i="1"/>
  <c r="D100" i="1"/>
  <c r="D325" i="1"/>
  <c r="D337" i="1"/>
  <c r="D476" i="1"/>
  <c r="D488" i="1"/>
  <c r="D64" i="1"/>
  <c r="D75" i="1"/>
  <c r="D84" i="1"/>
  <c r="D120" i="1"/>
  <c r="D133" i="1"/>
  <c r="D204" i="1"/>
  <c r="D222" i="1"/>
  <c r="D269" i="1"/>
  <c r="D281" i="1"/>
  <c r="D270" i="1"/>
  <c r="D282" i="1"/>
  <c r="D383" i="1"/>
  <c r="D404" i="1"/>
  <c r="D163" i="1"/>
  <c r="D182" i="1"/>
  <c r="D326" i="1"/>
  <c r="D338" i="1"/>
  <c r="D299" i="1"/>
  <c r="D205" i="1"/>
  <c r="D327" i="1"/>
  <c r="D432" i="1"/>
  <c r="D164" i="1"/>
  <c r="D440" i="1"/>
  <c r="D363" i="1"/>
  <c r="D311" i="1"/>
  <c r="D339" i="1"/>
  <c r="D165" i="1"/>
  <c r="D458" i="1"/>
  <c r="D91" i="1"/>
  <c r="D47" i="1"/>
  <c r="D510" i="1"/>
  <c r="D340" i="1"/>
  <c r="D239" i="1"/>
  <c r="D256" i="1"/>
  <c r="D534" i="1"/>
  <c r="D206" i="1"/>
  <c r="D490" i="1"/>
  <c r="D231" i="1"/>
  <c r="D102" i="1"/>
  <c r="D441" i="1"/>
  <c r="D384" i="1"/>
  <c r="D134" i="1"/>
  <c r="D240" i="1"/>
  <c r="D418" i="1"/>
  <c r="D264" i="1"/>
  <c r="D126" i="1"/>
  <c r="D392" i="1"/>
  <c r="D292" i="1"/>
  <c r="D500" i="1"/>
  <c r="D223" i="1"/>
  <c r="D410" i="1"/>
  <c r="D496" i="1"/>
  <c r="D300" i="1"/>
  <c r="D272" i="1"/>
  <c r="D332" i="1"/>
  <c r="D411" i="1"/>
  <c r="D371" i="1"/>
  <c r="D293" i="1"/>
  <c r="D425" i="1"/>
  <c r="D373" i="1"/>
  <c r="D266" i="1"/>
  <c r="D541" i="1"/>
  <c r="D257" i="1"/>
  <c r="D278" i="1"/>
  <c r="D529" i="1"/>
  <c r="D57" i="1"/>
  <c r="D71" i="1"/>
  <c r="D110" i="1"/>
  <c r="D141" i="1"/>
  <c r="D350" i="1"/>
  <c r="D393" i="1"/>
  <c r="D449" i="1"/>
  <c r="D80" i="1"/>
  <c r="D228" i="1"/>
  <c r="D128" i="1"/>
  <c r="D351" i="1"/>
  <c r="D58" i="1"/>
  <c r="D267" i="1"/>
  <c r="D394" i="1"/>
  <c r="D527" i="1"/>
  <c r="D497" i="1"/>
  <c r="D174" i="1"/>
  <c r="D466" i="1"/>
  <c r="D183" i="1"/>
  <c r="D301" i="1"/>
  <c r="D312" i="1"/>
  <c r="D24" i="1"/>
  <c r="D37" i="1"/>
  <c r="D63" i="1"/>
  <c r="D103" i="1"/>
  <c r="D184" i="1"/>
  <c r="D283" i="1"/>
  <c r="D341" i="1"/>
  <c r="D406" i="1"/>
  <c r="D459" i="1"/>
  <c r="D104" i="1"/>
  <c r="D419" i="1"/>
  <c r="D146" i="1"/>
  <c r="D185" i="1"/>
  <c r="D166" i="1"/>
  <c r="D285" i="1"/>
  <c r="D225" i="1"/>
  <c r="D512" i="1"/>
  <c r="D442" i="1"/>
  <c r="D136" i="1"/>
  <c r="D302" i="1"/>
  <c r="D443" i="1"/>
  <c r="D242" i="1"/>
  <c r="D513" i="1"/>
  <c r="D407" i="1"/>
  <c r="D342" i="1"/>
  <c r="D502" i="1"/>
  <c r="D478" i="1"/>
  <c r="D111" i="1"/>
  <c r="D428" i="1"/>
  <c r="D154" i="1"/>
  <c r="D155" i="1"/>
  <c r="D192" i="1"/>
  <c r="D177" i="1"/>
  <c r="D179" i="1"/>
  <c r="D295" i="1"/>
  <c r="D105" i="1"/>
  <c r="D175" i="1"/>
  <c r="D208" i="1"/>
  <c r="D243" i="1"/>
  <c r="D352" i="1"/>
  <c r="D444" i="1"/>
  <c r="D540" i="1"/>
  <c r="D229" i="1"/>
  <c r="D142" i="1"/>
  <c r="D308" i="1"/>
  <c r="D453" i="1"/>
  <c r="D250" i="1"/>
  <c r="D519" i="1"/>
  <c r="D414" i="1"/>
  <c r="D356" i="1"/>
  <c r="D506" i="1"/>
  <c r="D486" i="1"/>
  <c r="D14" i="1"/>
  <c r="D41" i="1"/>
  <c r="D62" i="1"/>
  <c r="D86" i="1"/>
  <c r="D87" i="1"/>
  <c r="D112" i="1"/>
  <c r="D156" i="1"/>
  <c r="D319" i="1"/>
  <c r="D360" i="1"/>
  <c r="D380" i="1"/>
  <c r="D499" i="1"/>
  <c r="D195" i="1"/>
  <c r="D258" i="1"/>
  <c r="D386" i="1"/>
  <c r="D167" i="1"/>
  <c r="D460" i="1"/>
  <c r="D286" i="1"/>
  <c r="D113" i="1"/>
  <c r="D244" i="1"/>
  <c r="D209" i="1"/>
  <c r="D387" i="1"/>
  <c r="D199" i="1"/>
  <c r="D261" i="1"/>
  <c r="D374" i="1"/>
  <c r="D396" i="1"/>
  <c r="D445" i="1"/>
  <c r="D176" i="1"/>
  <c r="D333" i="1"/>
  <c r="D492" i="1"/>
  <c r="D343" i="1"/>
  <c r="D294" i="1"/>
  <c r="D335" i="1"/>
  <c r="D452" i="1"/>
  <c r="D471" i="1"/>
  <c r="D249" i="1"/>
  <c r="D201" i="1"/>
  <c r="D262" i="1"/>
  <c r="D178" i="1"/>
  <c r="D296" i="1"/>
  <c r="D117" i="1"/>
  <c r="D251" i="1"/>
  <c r="D147" i="1"/>
  <c r="D218" i="1"/>
  <c r="D321" i="1"/>
  <c r="D378" i="1"/>
  <c r="D287" i="1"/>
  <c r="D359" i="1"/>
  <c r="D514" i="1"/>
  <c r="D427" i="1"/>
  <c r="D200" i="1"/>
  <c r="D530" i="1"/>
  <c r="D468" i="1"/>
  <c r="D160" i="1"/>
  <c r="D44" i="1"/>
  <c r="D16" i="1"/>
  <c r="D33" i="1"/>
  <c r="D43" i="1"/>
  <c r="D81" i="1"/>
  <c r="D96" i="1"/>
  <c r="D116" i="1"/>
  <c r="D159" i="1"/>
  <c r="D190" i="1"/>
  <c r="D217" i="1"/>
  <c r="D277" i="1"/>
  <c r="D307" i="1"/>
  <c r="D322" i="1"/>
  <c r="D353" i="1"/>
  <c r="D375" i="1"/>
  <c r="D412" i="1"/>
  <c r="D450" i="1"/>
  <c r="D485" i="1"/>
  <c r="D503" i="1"/>
  <c r="D528" i="1"/>
  <c r="D17" i="1"/>
  <c r="D38" i="1"/>
  <c r="D49" i="1"/>
  <c r="D93" i="1"/>
  <c r="D114" i="1"/>
  <c r="D168" i="1"/>
  <c r="D226" i="1"/>
  <c r="D273" i="1"/>
  <c r="D314" i="1"/>
  <c r="D328" i="1"/>
  <c r="D367" i="1"/>
  <c r="D388" i="1"/>
  <c r="D420" i="1"/>
  <c r="D479" i="1"/>
  <c r="D504" i="1"/>
  <c r="D536" i="1"/>
  <c r="D542" i="1"/>
  <c r="D9" i="1"/>
  <c r="D26" i="1"/>
  <c r="D39" i="1"/>
  <c r="D50" i="1"/>
  <c r="D68" i="1"/>
  <c r="D106" i="1"/>
  <c r="D115" i="1"/>
  <c r="D169" i="1"/>
  <c r="D191" i="1"/>
  <c r="D260" i="1"/>
  <c r="D274" i="1"/>
  <c r="D303" i="1"/>
  <c r="D323" i="1"/>
  <c r="D329" i="1"/>
  <c r="D368" i="1"/>
  <c r="D389" i="1"/>
  <c r="D446" i="1"/>
  <c r="D461" i="1"/>
  <c r="D480" i="1"/>
  <c r="D505" i="1"/>
  <c r="D59" i="1"/>
  <c r="D107" i="1"/>
  <c r="D148" i="1"/>
  <c r="D211" i="1"/>
  <c r="D245" i="1"/>
  <c r="D315" i="1"/>
  <c r="D330" i="1"/>
  <c r="D422" i="1"/>
  <c r="D481" i="1"/>
  <c r="D522" i="1"/>
  <c r="D7" i="1"/>
  <c r="D18" i="1"/>
  <c r="D51" i="1"/>
  <c r="D77" i="1"/>
  <c r="D122" i="1"/>
  <c r="D150" i="1"/>
  <c r="D170" i="1"/>
  <c r="D196" i="1"/>
  <c r="D227" i="1"/>
  <c r="D246" i="1"/>
  <c r="D288" i="1"/>
  <c r="D316" i="1"/>
  <c r="D344" i="1"/>
  <c r="D369" i="1"/>
  <c r="D408" i="1"/>
  <c r="D434" i="1"/>
  <c r="D462" i="1"/>
  <c r="D493" i="1"/>
  <c r="D515" i="1"/>
  <c r="D537" i="1"/>
  <c r="D10" i="1"/>
  <c r="D52" i="1"/>
  <c r="D108" i="1"/>
  <c r="D138" i="1"/>
  <c r="D171" i="1"/>
  <c r="D197" i="1"/>
  <c r="D234" i="1"/>
  <c r="D289" i="1"/>
  <c r="D324" i="1"/>
  <c r="D345" i="1"/>
  <c r="D370" i="1"/>
  <c r="D435" i="1"/>
  <c r="D463" i="1"/>
  <c r="D494" i="1"/>
  <c r="D516" i="1"/>
  <c r="D538" i="1"/>
  <c r="D395" i="1"/>
  <c r="D202" i="1"/>
  <c r="D263" i="1"/>
  <c r="D379" i="1"/>
  <c r="D398" i="1"/>
  <c r="D397" i="1"/>
  <c r="D451" i="1"/>
  <c r="D180" i="1"/>
  <c r="D469" i="1"/>
  <c r="D334" i="1"/>
  <c r="D355" i="1"/>
  <c r="D498" i="1"/>
  <c r="D354" i="1"/>
  <c r="D297" i="1"/>
  <c r="D336" i="1"/>
  <c r="D118" i="1"/>
  <c r="D454" i="1"/>
  <c r="D473" i="1"/>
  <c r="D253" i="1"/>
  <c r="D151" i="1"/>
  <c r="D219" i="1"/>
  <c r="D358" i="1"/>
  <c r="D259" i="1"/>
  <c r="D265" i="1"/>
  <c r="D305" i="1"/>
  <c r="D109" i="1"/>
  <c r="D495" i="1"/>
  <c r="D70" i="1"/>
  <c r="D318" i="1"/>
  <c r="D391" i="1"/>
  <c r="D124" i="1"/>
  <c r="D193" i="1"/>
  <c r="D409" i="1"/>
  <c r="D447" i="1"/>
  <c r="D31" i="1"/>
  <c r="D54" i="1"/>
  <c r="D248" i="1"/>
  <c r="D187" i="1"/>
  <c r="D95" i="1"/>
  <c r="D523" i="1"/>
  <c r="D139" i="1"/>
  <c r="D215" i="1"/>
  <c r="D518" i="1"/>
  <c r="D539" i="1"/>
  <c r="D482" i="1"/>
  <c r="D173" i="1"/>
  <c r="D331" i="1"/>
  <c r="D198" i="1"/>
  <c r="Q36" i="1"/>
  <c r="Q73" i="1"/>
  <c r="Q97" i="1"/>
  <c r="Q143" i="1"/>
  <c r="Q298" i="1"/>
  <c r="Q362" i="1"/>
  <c r="Q415" i="1"/>
  <c r="Q436" i="1"/>
  <c r="Q29" i="1"/>
  <c r="Q401" i="1"/>
  <c r="Q19" i="1"/>
  <c r="Q152" i="1"/>
  <c r="Q467" i="1"/>
  <c r="Q423" i="1"/>
  <c r="Q34" i="1"/>
  <c r="Q413" i="1"/>
  <c r="Q153" i="1"/>
  <c r="Q20" i="1"/>
  <c r="Q470" i="1"/>
  <c r="Q424" i="1"/>
  <c r="Q22" i="1"/>
  <c r="Q381" i="1"/>
  <c r="Q15" i="1"/>
  <c r="Q144" i="1"/>
  <c r="Q455" i="1"/>
  <c r="Q416" i="1"/>
  <c r="Q13" i="1"/>
  <c r="Q61" i="1"/>
  <c r="Q82" i="1"/>
  <c r="Q129" i="1"/>
  <c r="Q252" i="1"/>
  <c r="Q376" i="1"/>
  <c r="Q472" i="1"/>
  <c r="Q237" i="1"/>
  <c r="Q254" i="1"/>
  <c r="Q508" i="1"/>
  <c r="Q533" i="1"/>
  <c r="Q203" i="1"/>
  <c r="Q221" i="1"/>
  <c r="Q430" i="1"/>
  <c r="Q437" i="1"/>
  <c r="Q507" i="1"/>
  <c r="Q76" i="1"/>
  <c r="Q119" i="1"/>
  <c r="Q132" i="1"/>
  <c r="Q65" i="1"/>
  <c r="Q532" i="1"/>
  <c r="Q83" i="1"/>
  <c r="Q89" i="1"/>
  <c r="Q99" i="1"/>
  <c r="Q162" i="1"/>
  <c r="Q181" i="1"/>
  <c r="Q238" i="1"/>
  <c r="Q255" i="1"/>
  <c r="Q382" i="1"/>
  <c r="Q403" i="1"/>
  <c r="Q431" i="1"/>
  <c r="Q438" i="1"/>
  <c r="Q475" i="1"/>
  <c r="Q487" i="1"/>
  <c r="Q90" i="1"/>
  <c r="Q100" i="1"/>
  <c r="Q325" i="1"/>
  <c r="Q337" i="1"/>
  <c r="Q476" i="1"/>
  <c r="Q488" i="1"/>
  <c r="Q64" i="1"/>
  <c r="Q75" i="1"/>
  <c r="Q84" i="1"/>
  <c r="Q120" i="1"/>
  <c r="Q133" i="1"/>
  <c r="Q204" i="1"/>
  <c r="Q222" i="1"/>
  <c r="Q269" i="1"/>
  <c r="Q281" i="1"/>
  <c r="Q270" i="1"/>
  <c r="Q282" i="1"/>
  <c r="Q383" i="1"/>
  <c r="Q404" i="1"/>
  <c r="Q163" i="1"/>
  <c r="Q182" i="1"/>
  <c r="Q326" i="1"/>
  <c r="Q338" i="1"/>
  <c r="Q299" i="1"/>
  <c r="Q205" i="1"/>
  <c r="Q327" i="1"/>
  <c r="Q432" i="1"/>
  <c r="Q164" i="1"/>
  <c r="Q440" i="1"/>
  <c r="Q363" i="1"/>
  <c r="Q311" i="1"/>
  <c r="Q339" i="1"/>
  <c r="Q165" i="1"/>
  <c r="Q458" i="1"/>
  <c r="Q91" i="1"/>
  <c r="Q47" i="1"/>
  <c r="Q510" i="1"/>
  <c r="Q340" i="1"/>
  <c r="Q239" i="1"/>
  <c r="Q256" i="1"/>
  <c r="Q534" i="1"/>
  <c r="Q206" i="1"/>
  <c r="Q490" i="1"/>
  <c r="Q231" i="1"/>
  <c r="Q102" i="1"/>
  <c r="Q441" i="1"/>
  <c r="Q384" i="1"/>
  <c r="Q134" i="1"/>
  <c r="Q240" i="1"/>
  <c r="Q418" i="1"/>
  <c r="Q264" i="1"/>
  <c r="Q126" i="1"/>
  <c r="Q392" i="1"/>
  <c r="Q292" i="1"/>
  <c r="Q500" i="1"/>
  <c r="Q223" i="1"/>
  <c r="Q410" i="1"/>
  <c r="Q496" i="1"/>
  <c r="Q300" i="1"/>
  <c r="Q272" i="1"/>
  <c r="Q332" i="1"/>
  <c r="Q411" i="1"/>
  <c r="Q371" i="1"/>
  <c r="Q293" i="1"/>
  <c r="Q425" i="1"/>
  <c r="Q373" i="1"/>
  <c r="Q266" i="1"/>
  <c r="Q541" i="1"/>
  <c r="Q257" i="1"/>
  <c r="Q278" i="1"/>
  <c r="Q529" i="1"/>
  <c r="Q57" i="1"/>
  <c r="Q71" i="1"/>
  <c r="Q110" i="1"/>
  <c r="Q141" i="1"/>
  <c r="Q350" i="1"/>
  <c r="Q393" i="1"/>
  <c r="Q449" i="1"/>
  <c r="Q80" i="1"/>
  <c r="Q228" i="1"/>
  <c r="Q128" i="1"/>
  <c r="Q351" i="1"/>
  <c r="Q58" i="1"/>
  <c r="Q267" i="1"/>
  <c r="Q394" i="1"/>
  <c r="Q527" i="1"/>
  <c r="Q497" i="1"/>
  <c r="Q174" i="1"/>
  <c r="Q466" i="1"/>
  <c r="Q183" i="1"/>
  <c r="Q301" i="1"/>
  <c r="Q312" i="1"/>
  <c r="Q24" i="1"/>
  <c r="Q37" i="1"/>
  <c r="Q63" i="1"/>
  <c r="Q103" i="1"/>
  <c r="Q184" i="1"/>
  <c r="Q283" i="1"/>
  <c r="Q341" i="1"/>
  <c r="Q406" i="1"/>
  <c r="Q459" i="1"/>
  <c r="Q104" i="1"/>
  <c r="Q419" i="1"/>
  <c r="Q146" i="1"/>
  <c r="Q185" i="1"/>
  <c r="Q166" i="1"/>
  <c r="Q285" i="1"/>
  <c r="Q225" i="1"/>
  <c r="Q512" i="1"/>
  <c r="Q442" i="1"/>
  <c r="Q136" i="1"/>
  <c r="Q302" i="1"/>
  <c r="Q443" i="1"/>
  <c r="Q242" i="1"/>
  <c r="Q513" i="1"/>
  <c r="Q407" i="1"/>
  <c r="Q342" i="1"/>
  <c r="Q502" i="1"/>
  <c r="Q478" i="1"/>
  <c r="Q111" i="1"/>
  <c r="Q428" i="1"/>
  <c r="Q154" i="1"/>
  <c r="Q155" i="1"/>
  <c r="Q192" i="1"/>
  <c r="Q177" i="1"/>
  <c r="Q179" i="1"/>
  <c r="Q295" i="1"/>
  <c r="Q105" i="1"/>
  <c r="Q175" i="1"/>
  <c r="Q208" i="1"/>
  <c r="Q243" i="1"/>
  <c r="Q352" i="1"/>
  <c r="Q444" i="1"/>
  <c r="Q540" i="1"/>
  <c r="Q229" i="1"/>
  <c r="Q142" i="1"/>
  <c r="Q308" i="1"/>
  <c r="Q453" i="1"/>
  <c r="Q250" i="1"/>
  <c r="Q519" i="1"/>
  <c r="Q414" i="1"/>
  <c r="Q356" i="1"/>
  <c r="Q506" i="1"/>
  <c r="Q486" i="1"/>
  <c r="Q14" i="1"/>
  <c r="Q41" i="1"/>
  <c r="Q62" i="1"/>
  <c r="Q86" i="1"/>
  <c r="Q87" i="1"/>
  <c r="Q112" i="1"/>
  <c r="Q156" i="1"/>
  <c r="Q319" i="1"/>
  <c r="Q360" i="1"/>
  <c r="Q380" i="1"/>
  <c r="Q499" i="1"/>
  <c r="Q195" i="1"/>
  <c r="Q258" i="1"/>
  <c r="Q386" i="1"/>
  <c r="Q167" i="1"/>
  <c r="Q460" i="1"/>
  <c r="Q286" i="1"/>
  <c r="Q113" i="1"/>
  <c r="Q244" i="1"/>
  <c r="Q209" i="1"/>
  <c r="Q387" i="1"/>
  <c r="Q199" i="1"/>
  <c r="Q261" i="1"/>
  <c r="Q374" i="1"/>
  <c r="Q396" i="1"/>
  <c r="Q445" i="1"/>
  <c r="Q176" i="1"/>
  <c r="Q333" i="1"/>
  <c r="Q492" i="1"/>
  <c r="Q343" i="1"/>
  <c r="Q294" i="1"/>
  <c r="Q335" i="1"/>
  <c r="Q452" i="1"/>
  <c r="Q471" i="1"/>
  <c r="Q249" i="1"/>
  <c r="Q201" i="1"/>
  <c r="Q262" i="1"/>
  <c r="Q178" i="1"/>
  <c r="Q296" i="1"/>
  <c r="Q117" i="1"/>
  <c r="Q251" i="1"/>
  <c r="Q147" i="1"/>
  <c r="Q218" i="1"/>
  <c r="Q321" i="1"/>
  <c r="Q378" i="1"/>
  <c r="Q287" i="1"/>
  <c r="Q359" i="1"/>
  <c r="Q514" i="1"/>
  <c r="Q427" i="1"/>
  <c r="Q200" i="1"/>
  <c r="Q530" i="1"/>
  <c r="Q468" i="1"/>
  <c r="Q160" i="1"/>
  <c r="Q44" i="1"/>
  <c r="Q16" i="1"/>
  <c r="Q33" i="1"/>
  <c r="Q43" i="1"/>
  <c r="Q81" i="1"/>
  <c r="Q96" i="1"/>
  <c r="Q116" i="1"/>
  <c r="Q159" i="1"/>
  <c r="Q190" i="1"/>
  <c r="Q217" i="1"/>
  <c r="Q277" i="1"/>
  <c r="Q307" i="1"/>
  <c r="Q322" i="1"/>
  <c r="Q353" i="1"/>
  <c r="Q375" i="1"/>
  <c r="Q412" i="1"/>
  <c r="Q450" i="1"/>
  <c r="Q485" i="1"/>
  <c r="Q503" i="1"/>
  <c r="Q528" i="1"/>
  <c r="Q17" i="1"/>
  <c r="Q38" i="1"/>
  <c r="Q49" i="1"/>
  <c r="Q93" i="1"/>
  <c r="Q114" i="1"/>
  <c r="Q168" i="1"/>
  <c r="Q226" i="1"/>
  <c r="Q273" i="1"/>
  <c r="Q314" i="1"/>
  <c r="Q328" i="1"/>
  <c r="Q367" i="1"/>
  <c r="Q388" i="1"/>
  <c r="Q420" i="1"/>
  <c r="Q479" i="1"/>
  <c r="Q504" i="1"/>
  <c r="Q536" i="1"/>
  <c r="Q542" i="1"/>
  <c r="Q9" i="1"/>
  <c r="Q26" i="1"/>
  <c r="Q39" i="1"/>
  <c r="Q50" i="1"/>
  <c r="Q68" i="1"/>
  <c r="Q106" i="1"/>
  <c r="Q115" i="1"/>
  <c r="Q169" i="1"/>
  <c r="Q191" i="1"/>
  <c r="Q260" i="1"/>
  <c r="Q274" i="1"/>
  <c r="Q303" i="1"/>
  <c r="Q323" i="1"/>
  <c r="Q329" i="1"/>
  <c r="Q368" i="1"/>
  <c r="Q389" i="1"/>
  <c r="Q446" i="1"/>
  <c r="Q461" i="1"/>
  <c r="Q480" i="1"/>
  <c r="Q505" i="1"/>
  <c r="Q59" i="1"/>
  <c r="Q107" i="1"/>
  <c r="Q148" i="1"/>
  <c r="Q211" i="1"/>
  <c r="Q245" i="1"/>
  <c r="Q315" i="1"/>
  <c r="Q330" i="1"/>
  <c r="Q422" i="1"/>
  <c r="Q481" i="1"/>
  <c r="Q522" i="1"/>
  <c r="Q7" i="1"/>
  <c r="Q18" i="1"/>
  <c r="Q51" i="1"/>
  <c r="Q77" i="1"/>
  <c r="Q122" i="1"/>
  <c r="Q150" i="1"/>
  <c r="Q170" i="1"/>
  <c r="Q196" i="1"/>
  <c r="Q227" i="1"/>
  <c r="Q246" i="1"/>
  <c r="Q288" i="1"/>
  <c r="Q316" i="1"/>
  <c r="Q344" i="1"/>
  <c r="Q369" i="1"/>
  <c r="Q408" i="1"/>
  <c r="Q434" i="1"/>
  <c r="Q462" i="1"/>
  <c r="Q493" i="1"/>
  <c r="Q515" i="1"/>
  <c r="Q537" i="1"/>
  <c r="Q10" i="1"/>
  <c r="Q52" i="1"/>
  <c r="Q108" i="1"/>
  <c r="Q138" i="1"/>
  <c r="Q171" i="1"/>
  <c r="Q197" i="1"/>
  <c r="Q234" i="1"/>
  <c r="Q289" i="1"/>
  <c r="Q324" i="1"/>
  <c r="Q345" i="1"/>
  <c r="Q370" i="1"/>
  <c r="Q435" i="1"/>
  <c r="Q463" i="1"/>
  <c r="Q494" i="1"/>
  <c r="Q516" i="1"/>
  <c r="Q538" i="1"/>
  <c r="Q395" i="1"/>
  <c r="Q202" i="1"/>
  <c r="Q263" i="1"/>
  <c r="Q379" i="1"/>
  <c r="Q398" i="1"/>
  <c r="Q397" i="1"/>
  <c r="Q451" i="1"/>
  <c r="Q180" i="1"/>
  <c r="Q469" i="1"/>
  <c r="Q334" i="1"/>
  <c r="Q355" i="1"/>
  <c r="Q498" i="1"/>
  <c r="Q354" i="1"/>
  <c r="Q297" i="1"/>
  <c r="Q336" i="1"/>
  <c r="Q118" i="1"/>
  <c r="Q454" i="1"/>
  <c r="Q473" i="1"/>
  <c r="Q253" i="1"/>
  <c r="Q151" i="1"/>
  <c r="Q219" i="1"/>
  <c r="Q358" i="1"/>
  <c r="Q259" i="1"/>
  <c r="Q265" i="1"/>
  <c r="Q305" i="1"/>
  <c r="Q109" i="1"/>
  <c r="Q495" i="1"/>
  <c r="Q70" i="1"/>
  <c r="Q318" i="1"/>
  <c r="Q391" i="1"/>
  <c r="Q124" i="1"/>
  <c r="Q193" i="1"/>
  <c r="Q409" i="1"/>
  <c r="Q447" i="1"/>
  <c r="Q31" i="1"/>
  <c r="Q54" i="1"/>
  <c r="Q248" i="1"/>
  <c r="Q187" i="1"/>
  <c r="Q95" i="1"/>
  <c r="Q523" i="1"/>
  <c r="Q139" i="1"/>
  <c r="Q215" i="1"/>
  <c r="Q518" i="1"/>
  <c r="Q539" i="1"/>
  <c r="Q482" i="1"/>
  <c r="Q173" i="1"/>
  <c r="Q331" i="1"/>
  <c r="Q198" i="1"/>
  <c r="R36" i="1"/>
  <c r="R73" i="1"/>
  <c r="R97" i="1"/>
  <c r="R143" i="1"/>
  <c r="R298" i="1"/>
  <c r="R362" i="1"/>
  <c r="R415" i="1"/>
  <c r="R436" i="1"/>
  <c r="R29" i="1"/>
  <c r="R401" i="1"/>
  <c r="R19" i="1"/>
  <c r="R152" i="1"/>
  <c r="R467" i="1"/>
  <c r="R423" i="1"/>
  <c r="R34" i="1"/>
  <c r="R413" i="1"/>
  <c r="R153" i="1"/>
  <c r="R20" i="1"/>
  <c r="R470" i="1"/>
  <c r="R424" i="1"/>
  <c r="R22" i="1"/>
  <c r="R381" i="1"/>
  <c r="R15" i="1"/>
  <c r="R144" i="1"/>
  <c r="R455" i="1"/>
  <c r="R416" i="1"/>
  <c r="R13" i="1"/>
  <c r="R61" i="1"/>
  <c r="R82" i="1"/>
  <c r="R129" i="1"/>
  <c r="R252" i="1"/>
  <c r="R376" i="1"/>
  <c r="R472" i="1"/>
  <c r="R237" i="1"/>
  <c r="R254" i="1"/>
  <c r="R508" i="1"/>
  <c r="R533" i="1"/>
  <c r="R203" i="1"/>
  <c r="R221" i="1"/>
  <c r="R430" i="1"/>
  <c r="R437" i="1"/>
  <c r="R507" i="1"/>
  <c r="R76" i="1"/>
  <c r="R119" i="1"/>
  <c r="R132" i="1"/>
  <c r="R65" i="1"/>
  <c r="R532" i="1"/>
  <c r="R83" i="1"/>
  <c r="R89" i="1"/>
  <c r="R99" i="1"/>
  <c r="R162" i="1"/>
  <c r="R181" i="1"/>
  <c r="R238" i="1"/>
  <c r="R255" i="1"/>
  <c r="R382" i="1"/>
  <c r="R403" i="1"/>
  <c r="R431" i="1"/>
  <c r="R438" i="1"/>
  <c r="R475" i="1"/>
  <c r="R487" i="1"/>
  <c r="R90" i="1"/>
  <c r="R100" i="1"/>
  <c r="R325" i="1"/>
  <c r="R337" i="1"/>
  <c r="R476" i="1"/>
  <c r="R488" i="1"/>
  <c r="R64" i="1"/>
  <c r="R75" i="1"/>
  <c r="R84" i="1"/>
  <c r="R120" i="1"/>
  <c r="R133" i="1"/>
  <c r="R204" i="1"/>
  <c r="R222" i="1"/>
  <c r="R269" i="1"/>
  <c r="R281" i="1"/>
  <c r="R270" i="1"/>
  <c r="R282" i="1"/>
  <c r="R383" i="1"/>
  <c r="R404" i="1"/>
  <c r="R163" i="1"/>
  <c r="R182" i="1"/>
  <c r="R326" i="1"/>
  <c r="R338" i="1"/>
  <c r="R299" i="1"/>
  <c r="R205" i="1"/>
  <c r="R327" i="1"/>
  <c r="R432" i="1"/>
  <c r="R164" i="1"/>
  <c r="R440" i="1"/>
  <c r="R363" i="1"/>
  <c r="R311" i="1"/>
  <c r="R339" i="1"/>
  <c r="R165" i="1"/>
  <c r="R458" i="1"/>
  <c r="R91" i="1"/>
  <c r="R47" i="1"/>
  <c r="R510" i="1"/>
  <c r="R340" i="1"/>
  <c r="R239" i="1"/>
  <c r="R256" i="1"/>
  <c r="R534" i="1"/>
  <c r="R206" i="1"/>
  <c r="R490" i="1"/>
  <c r="R231" i="1"/>
  <c r="R102" i="1"/>
  <c r="R441" i="1"/>
  <c r="R384" i="1"/>
  <c r="R134" i="1"/>
  <c r="R240" i="1"/>
  <c r="R418" i="1"/>
  <c r="R264" i="1"/>
  <c r="R126" i="1"/>
  <c r="R392" i="1"/>
  <c r="R292" i="1"/>
  <c r="R500" i="1"/>
  <c r="R223" i="1"/>
  <c r="R410" i="1"/>
  <c r="R496" i="1"/>
  <c r="R300" i="1"/>
  <c r="R272" i="1"/>
  <c r="R332" i="1"/>
  <c r="R411" i="1"/>
  <c r="R371" i="1"/>
  <c r="R293" i="1"/>
  <c r="R425" i="1"/>
  <c r="R373" i="1"/>
  <c r="R266" i="1"/>
  <c r="R541" i="1"/>
  <c r="R257" i="1"/>
  <c r="R278" i="1"/>
  <c r="R529" i="1"/>
  <c r="R57" i="1"/>
  <c r="R71" i="1"/>
  <c r="R110" i="1"/>
  <c r="R141" i="1"/>
  <c r="R350" i="1"/>
  <c r="R393" i="1"/>
  <c r="R449" i="1"/>
  <c r="R80" i="1"/>
  <c r="R228" i="1"/>
  <c r="R128" i="1"/>
  <c r="R351" i="1"/>
  <c r="R58" i="1"/>
  <c r="R267" i="1"/>
  <c r="R394" i="1"/>
  <c r="R527" i="1"/>
  <c r="R497" i="1"/>
  <c r="R174" i="1"/>
  <c r="R466" i="1"/>
  <c r="R183" i="1"/>
  <c r="R301" i="1"/>
  <c r="R312" i="1"/>
  <c r="R24" i="1"/>
  <c r="R37" i="1"/>
  <c r="R63" i="1"/>
  <c r="R103" i="1"/>
  <c r="R184" i="1"/>
  <c r="R283" i="1"/>
  <c r="R341" i="1"/>
  <c r="R406" i="1"/>
  <c r="R459" i="1"/>
  <c r="R104" i="1"/>
  <c r="R419" i="1"/>
  <c r="R146" i="1"/>
  <c r="R185" i="1"/>
  <c r="R166" i="1"/>
  <c r="R285" i="1"/>
  <c r="R225" i="1"/>
  <c r="R512" i="1"/>
  <c r="R442" i="1"/>
  <c r="R136" i="1"/>
  <c r="R302" i="1"/>
  <c r="R443" i="1"/>
  <c r="R242" i="1"/>
  <c r="R513" i="1"/>
  <c r="R407" i="1"/>
  <c r="R342" i="1"/>
  <c r="R502" i="1"/>
  <c r="R478" i="1"/>
  <c r="R111" i="1"/>
  <c r="R428" i="1"/>
  <c r="R154" i="1"/>
  <c r="R155" i="1"/>
  <c r="R192" i="1"/>
  <c r="R177" i="1"/>
  <c r="R179" i="1"/>
  <c r="R295" i="1"/>
  <c r="R105" i="1"/>
  <c r="R175" i="1"/>
  <c r="R208" i="1"/>
  <c r="R243" i="1"/>
  <c r="R352" i="1"/>
  <c r="R444" i="1"/>
  <c r="R540" i="1"/>
  <c r="R229" i="1"/>
  <c r="R142" i="1"/>
  <c r="R308" i="1"/>
  <c r="R453" i="1"/>
  <c r="R250" i="1"/>
  <c r="R519" i="1"/>
  <c r="R414" i="1"/>
  <c r="R356" i="1"/>
  <c r="R506" i="1"/>
  <c r="R486" i="1"/>
  <c r="R14" i="1"/>
  <c r="R41" i="1"/>
  <c r="R62" i="1"/>
  <c r="R86" i="1"/>
  <c r="R87" i="1"/>
  <c r="R112" i="1"/>
  <c r="R156" i="1"/>
  <c r="R319" i="1"/>
  <c r="R360" i="1"/>
  <c r="R380" i="1"/>
  <c r="R499" i="1"/>
  <c r="R195" i="1"/>
  <c r="R258" i="1"/>
  <c r="R386" i="1"/>
  <c r="R167" i="1"/>
  <c r="R460" i="1"/>
  <c r="R286" i="1"/>
  <c r="R113" i="1"/>
  <c r="R244" i="1"/>
  <c r="R209" i="1"/>
  <c r="R387" i="1"/>
  <c r="R199" i="1"/>
  <c r="R261" i="1"/>
  <c r="R374" i="1"/>
  <c r="R396" i="1"/>
  <c r="R445" i="1"/>
  <c r="R176" i="1"/>
  <c r="R333" i="1"/>
  <c r="R492" i="1"/>
  <c r="R343" i="1"/>
  <c r="R294" i="1"/>
  <c r="R335" i="1"/>
  <c r="R452" i="1"/>
  <c r="R471" i="1"/>
  <c r="R249" i="1"/>
  <c r="R201" i="1"/>
  <c r="R262" i="1"/>
  <c r="R178" i="1"/>
  <c r="R296" i="1"/>
  <c r="R117" i="1"/>
  <c r="R251" i="1"/>
  <c r="R147" i="1"/>
  <c r="R218" i="1"/>
  <c r="R321" i="1"/>
  <c r="R378" i="1"/>
  <c r="R287" i="1"/>
  <c r="R359" i="1"/>
  <c r="R514" i="1"/>
  <c r="R427" i="1"/>
  <c r="R200" i="1"/>
  <c r="R530" i="1"/>
  <c r="R468" i="1"/>
  <c r="R160" i="1"/>
  <c r="R44" i="1"/>
  <c r="R16" i="1"/>
  <c r="R33" i="1"/>
  <c r="R43" i="1"/>
  <c r="R81" i="1"/>
  <c r="R96" i="1"/>
  <c r="R116" i="1"/>
  <c r="R159" i="1"/>
  <c r="R190" i="1"/>
  <c r="R217" i="1"/>
  <c r="R277" i="1"/>
  <c r="R307" i="1"/>
  <c r="R322" i="1"/>
  <c r="R353" i="1"/>
  <c r="R375" i="1"/>
  <c r="R412" i="1"/>
  <c r="R450" i="1"/>
  <c r="R485" i="1"/>
  <c r="R503" i="1"/>
  <c r="R528" i="1"/>
  <c r="R17" i="1"/>
  <c r="R38" i="1"/>
  <c r="R49" i="1"/>
  <c r="R93" i="1"/>
  <c r="R114" i="1"/>
  <c r="R168" i="1"/>
  <c r="R226" i="1"/>
  <c r="R273" i="1"/>
  <c r="R314" i="1"/>
  <c r="R328" i="1"/>
  <c r="R367" i="1"/>
  <c r="R388" i="1"/>
  <c r="R420" i="1"/>
  <c r="R479" i="1"/>
  <c r="R504" i="1"/>
  <c r="R536" i="1"/>
  <c r="R542" i="1"/>
  <c r="R9" i="1"/>
  <c r="R26" i="1"/>
  <c r="R39" i="1"/>
  <c r="R50" i="1"/>
  <c r="R68" i="1"/>
  <c r="R106" i="1"/>
  <c r="R115" i="1"/>
  <c r="R169" i="1"/>
  <c r="R191" i="1"/>
  <c r="R260" i="1"/>
  <c r="R274" i="1"/>
  <c r="R303" i="1"/>
  <c r="R323" i="1"/>
  <c r="R329" i="1"/>
  <c r="R368" i="1"/>
  <c r="R389" i="1"/>
  <c r="R446" i="1"/>
  <c r="R461" i="1"/>
  <c r="R480" i="1"/>
  <c r="R505" i="1"/>
  <c r="R59" i="1"/>
  <c r="R107" i="1"/>
  <c r="R148" i="1"/>
  <c r="R211" i="1"/>
  <c r="R245" i="1"/>
  <c r="R315" i="1"/>
  <c r="R330" i="1"/>
  <c r="R422" i="1"/>
  <c r="R481" i="1"/>
  <c r="R522" i="1"/>
  <c r="R7" i="1"/>
  <c r="R18" i="1"/>
  <c r="R51" i="1"/>
  <c r="R77" i="1"/>
  <c r="R122" i="1"/>
  <c r="R150" i="1"/>
  <c r="R170" i="1"/>
  <c r="R196" i="1"/>
  <c r="R227" i="1"/>
  <c r="R246" i="1"/>
  <c r="R288" i="1"/>
  <c r="R316" i="1"/>
  <c r="R344" i="1"/>
  <c r="R369" i="1"/>
  <c r="R408" i="1"/>
  <c r="R434" i="1"/>
  <c r="R462" i="1"/>
  <c r="R493" i="1"/>
  <c r="R515" i="1"/>
  <c r="R537" i="1"/>
  <c r="R10" i="1"/>
  <c r="R52" i="1"/>
  <c r="R108" i="1"/>
  <c r="R138" i="1"/>
  <c r="R171" i="1"/>
  <c r="R197" i="1"/>
  <c r="R234" i="1"/>
  <c r="R289" i="1"/>
  <c r="R324" i="1"/>
  <c r="R345" i="1"/>
  <c r="R370" i="1"/>
  <c r="R435" i="1"/>
  <c r="R463" i="1"/>
  <c r="R494" i="1"/>
  <c r="R516" i="1"/>
  <c r="R538" i="1"/>
  <c r="R395" i="1"/>
  <c r="R202" i="1"/>
  <c r="R263" i="1"/>
  <c r="R379" i="1"/>
  <c r="R398" i="1"/>
  <c r="R397" i="1"/>
  <c r="R451" i="1"/>
  <c r="R180" i="1"/>
  <c r="R469" i="1"/>
  <c r="R334" i="1"/>
  <c r="R355" i="1"/>
  <c r="R498" i="1"/>
  <c r="R354" i="1"/>
  <c r="R297" i="1"/>
  <c r="R336" i="1"/>
  <c r="R118" i="1"/>
  <c r="R454" i="1"/>
  <c r="R473" i="1"/>
  <c r="R253" i="1"/>
  <c r="R151" i="1"/>
  <c r="R219" i="1"/>
  <c r="R358" i="1"/>
  <c r="R259" i="1"/>
  <c r="R265" i="1"/>
  <c r="R305" i="1"/>
  <c r="R109" i="1"/>
  <c r="R495" i="1"/>
  <c r="R70" i="1"/>
  <c r="R318" i="1"/>
  <c r="R391" i="1"/>
  <c r="R124" i="1"/>
  <c r="R193" i="1"/>
  <c r="R409" i="1"/>
  <c r="R447" i="1"/>
  <c r="R31" i="1"/>
  <c r="R54" i="1"/>
  <c r="R248" i="1"/>
  <c r="R187" i="1"/>
  <c r="R95" i="1"/>
  <c r="R523" i="1"/>
  <c r="R139" i="1"/>
  <c r="R215" i="1"/>
  <c r="R518" i="1"/>
  <c r="R539" i="1"/>
  <c r="R482" i="1"/>
  <c r="R173" i="1"/>
  <c r="R331" i="1"/>
  <c r="R198" i="1"/>
  <c r="X98" i="31"/>
  <c r="W98" i="31"/>
  <c r="V98" i="31"/>
  <c r="U98" i="31"/>
  <c r="T98" i="31"/>
  <c r="S98" i="31"/>
  <c r="B98" i="31"/>
  <c r="AA22" i="31"/>
  <c r="Z22" i="31"/>
  <c r="Y22" i="31"/>
  <c r="AA93" i="31"/>
  <c r="Z93" i="31"/>
  <c r="Y93" i="31"/>
  <c r="AA46" i="31"/>
  <c r="Z46" i="31"/>
  <c r="Y46" i="31"/>
  <c r="AA75" i="31"/>
  <c r="Z75" i="31"/>
  <c r="Y75" i="31"/>
  <c r="AA57" i="31"/>
  <c r="Z57" i="31"/>
  <c r="Y57" i="31"/>
  <c r="AA92" i="31"/>
  <c r="Z92" i="31"/>
  <c r="Y92" i="31"/>
  <c r="AA45" i="31"/>
  <c r="Z45" i="31"/>
  <c r="Y45" i="31"/>
  <c r="AA29" i="31"/>
  <c r="Z29" i="31"/>
  <c r="Y29" i="31"/>
  <c r="AA97" i="31"/>
  <c r="Z97" i="31"/>
  <c r="Y97" i="31"/>
  <c r="AA74" i="31"/>
  <c r="Z74" i="31"/>
  <c r="Y74" i="31"/>
  <c r="AA21" i="31"/>
  <c r="Z21" i="31"/>
  <c r="Y21" i="31"/>
  <c r="AA11" i="31"/>
  <c r="Z11" i="31"/>
  <c r="Y11" i="31"/>
  <c r="AA91" i="31"/>
  <c r="Z91" i="31"/>
  <c r="Y91" i="31"/>
  <c r="AA44" i="31"/>
  <c r="Z44" i="31"/>
  <c r="Y44" i="31"/>
  <c r="AA73" i="31"/>
  <c r="Z73" i="31"/>
  <c r="Y73" i="31"/>
  <c r="AA10" i="31"/>
  <c r="Z10" i="31"/>
  <c r="Y10" i="31"/>
  <c r="AA20" i="31"/>
  <c r="Z20" i="31"/>
  <c r="Y20" i="31"/>
  <c r="AA90" i="31"/>
  <c r="Z90" i="31"/>
  <c r="Y90" i="31"/>
  <c r="AA72" i="31"/>
  <c r="Z72" i="31"/>
  <c r="Y72" i="31"/>
  <c r="AA43" i="31"/>
  <c r="Z43" i="31"/>
  <c r="Y43" i="31"/>
  <c r="AA56" i="31"/>
  <c r="Z56" i="31"/>
  <c r="Y56" i="31"/>
  <c r="AA28" i="31"/>
  <c r="Z28" i="31"/>
  <c r="Y28" i="31"/>
  <c r="AA42" i="31"/>
  <c r="Z42" i="31"/>
  <c r="Y42" i="31"/>
  <c r="AA9" i="31"/>
  <c r="Z9" i="31"/>
  <c r="Y9" i="31"/>
  <c r="AA19" i="31"/>
  <c r="Z19" i="31"/>
  <c r="Y19" i="31"/>
  <c r="AA55" i="31"/>
  <c r="Z55" i="31"/>
  <c r="Y55" i="31"/>
  <c r="AA71" i="31"/>
  <c r="Z71" i="31"/>
  <c r="Y71" i="31"/>
  <c r="AA89" i="31"/>
  <c r="Z89" i="31"/>
  <c r="Y89" i="31"/>
  <c r="AA54" i="31"/>
  <c r="Z54" i="31"/>
  <c r="Y54" i="31"/>
  <c r="AA70" i="31"/>
  <c r="Z70" i="31"/>
  <c r="Y70" i="31"/>
  <c r="AA18" i="31"/>
  <c r="Z18" i="31"/>
  <c r="Y18" i="31"/>
  <c r="AA41" i="31"/>
  <c r="Z41" i="31"/>
  <c r="Y41" i="31"/>
  <c r="AA96" i="31"/>
  <c r="Z96" i="31"/>
  <c r="Y96" i="31"/>
  <c r="AA8" i="31"/>
  <c r="Z8" i="31"/>
  <c r="Y8" i="31"/>
  <c r="AA88" i="31"/>
  <c r="Z88" i="31"/>
  <c r="Y88" i="31"/>
  <c r="AA40" i="31"/>
  <c r="Z40" i="31"/>
  <c r="Y40" i="31"/>
  <c r="AA69" i="31"/>
  <c r="Z69" i="31"/>
  <c r="Y69" i="31"/>
  <c r="AA17" i="31"/>
  <c r="Z17" i="31"/>
  <c r="Y17" i="31"/>
  <c r="AA77" i="31"/>
  <c r="Z77" i="31"/>
  <c r="Y77" i="31"/>
  <c r="AA76" i="31"/>
  <c r="Z76" i="31"/>
  <c r="Y76" i="31"/>
  <c r="AA27" i="31"/>
  <c r="Z27" i="31"/>
  <c r="Y27" i="31"/>
  <c r="AA39" i="31"/>
  <c r="Z39" i="31"/>
  <c r="Y39" i="31"/>
  <c r="AA87" i="31"/>
  <c r="Z87" i="31"/>
  <c r="Y87" i="31"/>
  <c r="AA68" i="31"/>
  <c r="Z68" i="31"/>
  <c r="Y68" i="31"/>
  <c r="AA16" i="31"/>
  <c r="Z16" i="31"/>
  <c r="Y16" i="31"/>
  <c r="AA67" i="31"/>
  <c r="Z67" i="31"/>
  <c r="Y67" i="31"/>
  <c r="AA86" i="31"/>
  <c r="Z86" i="31"/>
  <c r="Y86" i="31"/>
  <c r="AA38" i="31"/>
  <c r="Z38" i="31"/>
  <c r="Y38" i="31"/>
  <c r="AA66" i="31"/>
  <c r="Z66" i="31"/>
  <c r="Y66" i="31"/>
  <c r="AA85" i="31"/>
  <c r="Z85" i="31"/>
  <c r="Y85" i="31"/>
  <c r="AA65" i="31"/>
  <c r="Z65" i="31"/>
  <c r="Y65" i="31"/>
  <c r="AA37" i="31"/>
  <c r="Z37" i="31"/>
  <c r="Y37" i="31"/>
  <c r="AA53" i="31"/>
  <c r="Z53" i="31"/>
  <c r="Y53" i="31"/>
  <c r="AA84" i="31"/>
  <c r="Z84" i="31"/>
  <c r="Y84" i="31"/>
  <c r="AA7" i="31"/>
  <c r="Z7" i="31"/>
  <c r="Y7" i="31"/>
  <c r="AA36" i="31"/>
  <c r="Z36" i="31"/>
  <c r="Y36" i="31"/>
  <c r="AA95" i="31"/>
  <c r="Z95" i="31"/>
  <c r="Y95" i="31"/>
  <c r="AA15" i="31"/>
  <c r="Z15" i="31"/>
  <c r="Y15" i="31"/>
  <c r="AA64" i="31"/>
  <c r="Z64" i="31"/>
  <c r="Y64" i="31"/>
  <c r="AA26" i="31"/>
  <c r="Z26" i="31"/>
  <c r="Y26" i="31"/>
  <c r="AA35" i="31"/>
  <c r="Z35" i="31"/>
  <c r="Y35" i="31"/>
  <c r="AA63" i="31"/>
  <c r="Z63" i="31"/>
  <c r="Y63" i="31"/>
  <c r="AA83" i="31"/>
  <c r="Z83" i="31"/>
  <c r="Y83" i="31"/>
  <c r="AA52" i="31"/>
  <c r="Z52" i="31"/>
  <c r="Y52" i="31"/>
  <c r="AA14" i="31"/>
  <c r="Z14" i="31"/>
  <c r="Y14" i="31"/>
  <c r="AA6" i="31"/>
  <c r="Z6" i="31"/>
  <c r="Y6" i="31"/>
  <c r="AA62" i="31"/>
  <c r="Z62" i="31"/>
  <c r="Y62" i="31"/>
  <c r="AA34" i="31"/>
  <c r="Z34" i="31"/>
  <c r="Y34" i="31"/>
  <c r="AA82" i="31"/>
  <c r="Z82" i="31"/>
  <c r="Y82" i="31"/>
  <c r="AA51" i="31"/>
  <c r="Z51" i="31"/>
  <c r="Y51" i="31"/>
  <c r="AA50" i="31"/>
  <c r="Z50" i="31"/>
  <c r="Y50" i="31"/>
  <c r="AA25" i="31"/>
  <c r="Z25" i="31"/>
  <c r="Y25" i="31"/>
  <c r="AA81" i="31"/>
  <c r="Z81" i="31"/>
  <c r="Y81" i="31"/>
  <c r="AA13" i="31"/>
  <c r="Z13" i="31"/>
  <c r="Y13" i="31"/>
  <c r="AA5" i="31"/>
  <c r="Z5" i="31"/>
  <c r="Y5" i="31"/>
  <c r="AA61" i="31"/>
  <c r="Z61" i="31"/>
  <c r="Y61" i="31"/>
  <c r="AA33" i="31"/>
  <c r="Z33" i="31"/>
  <c r="Y33" i="31"/>
  <c r="AA49" i="31"/>
  <c r="Z49" i="31"/>
  <c r="Y49" i="31"/>
  <c r="AA24" i="31"/>
  <c r="Z24" i="31"/>
  <c r="Y24" i="31"/>
  <c r="AA94" i="31"/>
  <c r="Z94" i="31"/>
  <c r="Y94" i="31"/>
  <c r="AA80" i="31"/>
  <c r="Z80" i="31"/>
  <c r="Y80" i="31"/>
  <c r="AA60" i="31"/>
  <c r="Z60" i="31"/>
  <c r="Y60" i="31"/>
  <c r="AA12" i="31"/>
  <c r="Z12" i="31"/>
  <c r="Y12" i="31"/>
  <c r="AA48" i="31"/>
  <c r="Z48" i="31"/>
  <c r="Y48" i="31"/>
  <c r="AA4" i="31"/>
  <c r="Z4" i="31"/>
  <c r="Y4" i="31"/>
  <c r="AA32" i="31"/>
  <c r="Z32" i="31"/>
  <c r="Y32" i="31"/>
  <c r="AA79" i="31"/>
  <c r="Z79" i="31"/>
  <c r="Y79" i="31"/>
  <c r="AA31" i="31"/>
  <c r="Z31" i="31"/>
  <c r="Y31" i="31"/>
  <c r="AA59" i="31"/>
  <c r="Z59" i="31"/>
  <c r="Y59" i="31"/>
  <c r="AA47" i="31"/>
  <c r="Z47" i="31"/>
  <c r="Y47" i="31"/>
  <c r="AA23" i="31"/>
  <c r="Z23" i="31"/>
  <c r="Y23" i="31"/>
  <c r="AA58" i="31"/>
  <c r="Z58" i="31"/>
  <c r="Y58" i="31"/>
  <c r="AA30" i="31"/>
  <c r="Z30" i="31"/>
  <c r="Y30" i="31"/>
  <c r="AA78" i="31"/>
  <c r="Z78" i="31"/>
  <c r="Y78" i="31"/>
  <c r="X163" i="29"/>
  <c r="W163" i="29"/>
  <c r="V163" i="29"/>
  <c r="U163" i="29"/>
  <c r="T163" i="29"/>
  <c r="S163" i="29"/>
  <c r="B163" i="29"/>
  <c r="AA162" i="29"/>
  <c r="Z162" i="29"/>
  <c r="Y162" i="29"/>
  <c r="AA161" i="29"/>
  <c r="Z161" i="29"/>
  <c r="Y161" i="29"/>
  <c r="AA160" i="29"/>
  <c r="Z160" i="29"/>
  <c r="Y160" i="29"/>
  <c r="AA159" i="29"/>
  <c r="Z159" i="29"/>
  <c r="Y159" i="29"/>
  <c r="AA158" i="29"/>
  <c r="Z158" i="29"/>
  <c r="Y158" i="29"/>
  <c r="AA157" i="29"/>
  <c r="Z157" i="29"/>
  <c r="Y157" i="29"/>
  <c r="AA156" i="29"/>
  <c r="Z156" i="29"/>
  <c r="Y156" i="29"/>
  <c r="AA155" i="29"/>
  <c r="Z155" i="29"/>
  <c r="Y155" i="29"/>
  <c r="AA154" i="29"/>
  <c r="Z154" i="29"/>
  <c r="Y154" i="29"/>
  <c r="AA153" i="29"/>
  <c r="Z153" i="29"/>
  <c r="Y153" i="29"/>
  <c r="AA152" i="29"/>
  <c r="Z152" i="29"/>
  <c r="Y152" i="29"/>
  <c r="AA151" i="29"/>
  <c r="Z151" i="29"/>
  <c r="Y151" i="29"/>
  <c r="AA150" i="29"/>
  <c r="Z150" i="29"/>
  <c r="Y150" i="29"/>
  <c r="AA149" i="29"/>
  <c r="Z149" i="29"/>
  <c r="Y149" i="29"/>
  <c r="AA148" i="29"/>
  <c r="Z148" i="29"/>
  <c r="Y148" i="29"/>
  <c r="AA147" i="29"/>
  <c r="Z147" i="29"/>
  <c r="Y147" i="29"/>
  <c r="AA146" i="29"/>
  <c r="Z146" i="29"/>
  <c r="Y146" i="29"/>
  <c r="AA145" i="29"/>
  <c r="Z145" i="29"/>
  <c r="Y145" i="29"/>
  <c r="AA144" i="29"/>
  <c r="Z144" i="29"/>
  <c r="Y144" i="29"/>
  <c r="AA143" i="29"/>
  <c r="Z143" i="29"/>
  <c r="Y143" i="29"/>
  <c r="AA142" i="29"/>
  <c r="Z142" i="29"/>
  <c r="Y142" i="29"/>
  <c r="AA141" i="29"/>
  <c r="Z141" i="29"/>
  <c r="Y141" i="29"/>
  <c r="AA140" i="29"/>
  <c r="Z140" i="29"/>
  <c r="Y140" i="29"/>
  <c r="AA139" i="29"/>
  <c r="Z139" i="29"/>
  <c r="Y139" i="29"/>
  <c r="AA138" i="29"/>
  <c r="Z138" i="29"/>
  <c r="Y138" i="29"/>
  <c r="AA137" i="29"/>
  <c r="Z137" i="29"/>
  <c r="Y137" i="29"/>
  <c r="AA136" i="29"/>
  <c r="Z136" i="29"/>
  <c r="Y136" i="29"/>
  <c r="AA135" i="29"/>
  <c r="Z135" i="29"/>
  <c r="Y135" i="29"/>
  <c r="AA134" i="29"/>
  <c r="Z134" i="29"/>
  <c r="Y134" i="29"/>
  <c r="AA133" i="29"/>
  <c r="Z133" i="29"/>
  <c r="Y133" i="29"/>
  <c r="AA132" i="29"/>
  <c r="Z132" i="29"/>
  <c r="Y132" i="29"/>
  <c r="AA131" i="29"/>
  <c r="Z131" i="29"/>
  <c r="Y131" i="29"/>
  <c r="AA130" i="29"/>
  <c r="Z130" i="29"/>
  <c r="Y130" i="29"/>
  <c r="AA129" i="29"/>
  <c r="Z129" i="29"/>
  <c r="Y129" i="29"/>
  <c r="AA128" i="29"/>
  <c r="Z128" i="29"/>
  <c r="Y128" i="29"/>
  <c r="AA127" i="29"/>
  <c r="Z127" i="29"/>
  <c r="Y127" i="29"/>
  <c r="AA126" i="29"/>
  <c r="Z126" i="29"/>
  <c r="Y126" i="29"/>
  <c r="AA125" i="29"/>
  <c r="Z125" i="29"/>
  <c r="Y125" i="29"/>
  <c r="AA124" i="29"/>
  <c r="Z124" i="29"/>
  <c r="Y124" i="29"/>
  <c r="AA123" i="29"/>
  <c r="Z123" i="29"/>
  <c r="Y123" i="29"/>
  <c r="AA122" i="29"/>
  <c r="Z122" i="29"/>
  <c r="Y122" i="29"/>
  <c r="AA121" i="29"/>
  <c r="Z121" i="29"/>
  <c r="Y121" i="29"/>
  <c r="AA120" i="29"/>
  <c r="Z120" i="29"/>
  <c r="Y120" i="29"/>
  <c r="AA119" i="29"/>
  <c r="Z119" i="29"/>
  <c r="Y119" i="29"/>
  <c r="AA118" i="29"/>
  <c r="Z118" i="29"/>
  <c r="Y118" i="29"/>
  <c r="AA117" i="29"/>
  <c r="Z117" i="29"/>
  <c r="Y117" i="29"/>
  <c r="AA116" i="29"/>
  <c r="Z116" i="29"/>
  <c r="Y116" i="29"/>
  <c r="AA115" i="29"/>
  <c r="Z115" i="29"/>
  <c r="Y115" i="29"/>
  <c r="AA114" i="29"/>
  <c r="Z114" i="29"/>
  <c r="Y114" i="29"/>
  <c r="AA113" i="29"/>
  <c r="Z113" i="29"/>
  <c r="Y113" i="29"/>
  <c r="AA112" i="29"/>
  <c r="Z112" i="29"/>
  <c r="Y112" i="29"/>
  <c r="AA111" i="29"/>
  <c r="Z111" i="29"/>
  <c r="Y111" i="29"/>
  <c r="AA110" i="29"/>
  <c r="Z110" i="29"/>
  <c r="Y110" i="29"/>
  <c r="AA109" i="29"/>
  <c r="Z109" i="29"/>
  <c r="Y109" i="29"/>
  <c r="AA108" i="29"/>
  <c r="Z108" i="29"/>
  <c r="Y108" i="29"/>
  <c r="AA107" i="29"/>
  <c r="Z107" i="29"/>
  <c r="Y107" i="29"/>
  <c r="AA106" i="29"/>
  <c r="Z106" i="29"/>
  <c r="Y106" i="29"/>
  <c r="AA105" i="29"/>
  <c r="Z105" i="29"/>
  <c r="Y105" i="29"/>
  <c r="AA104" i="29"/>
  <c r="Z104" i="29"/>
  <c r="Y104" i="29"/>
  <c r="AA103" i="29"/>
  <c r="Z103" i="29"/>
  <c r="Y103" i="29"/>
  <c r="AA102" i="29"/>
  <c r="Z102" i="29"/>
  <c r="Y102" i="29"/>
  <c r="AA101" i="29"/>
  <c r="Z101" i="29"/>
  <c r="Y101" i="29"/>
  <c r="AA100" i="29"/>
  <c r="Z100" i="29"/>
  <c r="Y100" i="29"/>
  <c r="AA99" i="29"/>
  <c r="Z99" i="29"/>
  <c r="Y99" i="29"/>
  <c r="AA98" i="29"/>
  <c r="Z98" i="29"/>
  <c r="Y98" i="29"/>
  <c r="AA97" i="29"/>
  <c r="Z97" i="29"/>
  <c r="Y97" i="29"/>
  <c r="AA96" i="29"/>
  <c r="Z96" i="29"/>
  <c r="Y96" i="29"/>
  <c r="AA95" i="29"/>
  <c r="Z95" i="29"/>
  <c r="Y95" i="29"/>
  <c r="AA94" i="29"/>
  <c r="Z94" i="29"/>
  <c r="Y94" i="29"/>
  <c r="AA93" i="29"/>
  <c r="Z93" i="29"/>
  <c r="Y93" i="29"/>
  <c r="AA92" i="29"/>
  <c r="Z92" i="29"/>
  <c r="Y92" i="29"/>
  <c r="AA91" i="29"/>
  <c r="Z91" i="29"/>
  <c r="Y91" i="29"/>
  <c r="AA90" i="29"/>
  <c r="Z90" i="29"/>
  <c r="Y90" i="29"/>
  <c r="AA89" i="29"/>
  <c r="Z89" i="29"/>
  <c r="Y89" i="29"/>
  <c r="AA88" i="29"/>
  <c r="Z88" i="29"/>
  <c r="Y88" i="29"/>
  <c r="AA87" i="29"/>
  <c r="Z87" i="29"/>
  <c r="Y87" i="29"/>
  <c r="AA86" i="29"/>
  <c r="Z86" i="29"/>
  <c r="Y86" i="29"/>
  <c r="AA85" i="29"/>
  <c r="Z85" i="29"/>
  <c r="Y85" i="29"/>
  <c r="AA84" i="29"/>
  <c r="Z84" i="29"/>
  <c r="Y84" i="29"/>
  <c r="AA83" i="29"/>
  <c r="Z83" i="29"/>
  <c r="Y83" i="29"/>
  <c r="AA82" i="29"/>
  <c r="Z82" i="29"/>
  <c r="Y82" i="29"/>
  <c r="AA81" i="29"/>
  <c r="Z81" i="29"/>
  <c r="Y81" i="29"/>
  <c r="AA80" i="29"/>
  <c r="Z80" i="29"/>
  <c r="Y80" i="29"/>
  <c r="AA79" i="29"/>
  <c r="Z79" i="29"/>
  <c r="Y79" i="29"/>
  <c r="AA78" i="29"/>
  <c r="Z78" i="29"/>
  <c r="Y78" i="29"/>
  <c r="AA77" i="29"/>
  <c r="Z77" i="29"/>
  <c r="Y77" i="29"/>
  <c r="AA76" i="29"/>
  <c r="Z76" i="29"/>
  <c r="Y76" i="29"/>
  <c r="AA75" i="29"/>
  <c r="Z75" i="29"/>
  <c r="Y75" i="29"/>
  <c r="AA74" i="29"/>
  <c r="Z74" i="29"/>
  <c r="Y74" i="29"/>
  <c r="AA73" i="29"/>
  <c r="Z73" i="29"/>
  <c r="Y73" i="29"/>
  <c r="AA72" i="29"/>
  <c r="Z72" i="29"/>
  <c r="Y72" i="29"/>
  <c r="AA71" i="29"/>
  <c r="Z71" i="29"/>
  <c r="Y71" i="29"/>
  <c r="AA70" i="29"/>
  <c r="Z70" i="29"/>
  <c r="Y70" i="29"/>
  <c r="AA69" i="29"/>
  <c r="Z69" i="29"/>
  <c r="Y69" i="29"/>
  <c r="AA68" i="29"/>
  <c r="Z68" i="29"/>
  <c r="Y68" i="29"/>
  <c r="AA67" i="29"/>
  <c r="Z67" i="29"/>
  <c r="Y67" i="29"/>
  <c r="AA66" i="29"/>
  <c r="Z66" i="29"/>
  <c r="Y66" i="29"/>
  <c r="AA65" i="29"/>
  <c r="Z65" i="29"/>
  <c r="Y65" i="29"/>
  <c r="AA64" i="29"/>
  <c r="Z64" i="29"/>
  <c r="Y64" i="29"/>
  <c r="AA63" i="29"/>
  <c r="Z63" i="29"/>
  <c r="Y63" i="29"/>
  <c r="AA62" i="29"/>
  <c r="Z62" i="29"/>
  <c r="Y62" i="29"/>
  <c r="AA61" i="29"/>
  <c r="Z61" i="29"/>
  <c r="Y61" i="29"/>
  <c r="AA60" i="29"/>
  <c r="Z60" i="29"/>
  <c r="Y60" i="29"/>
  <c r="AA59" i="29"/>
  <c r="Z59" i="29"/>
  <c r="Y59" i="29"/>
  <c r="AA58" i="29"/>
  <c r="Z58" i="29"/>
  <c r="Y58" i="29"/>
  <c r="AA57" i="29"/>
  <c r="Z57" i="29"/>
  <c r="Y57" i="29"/>
  <c r="AA56" i="29"/>
  <c r="Z56" i="29"/>
  <c r="Y56" i="29"/>
  <c r="AA55" i="29"/>
  <c r="Z55" i="29"/>
  <c r="Y55" i="29"/>
  <c r="AA54" i="29"/>
  <c r="Z54" i="29"/>
  <c r="Y54" i="29"/>
  <c r="AA53" i="29"/>
  <c r="Z53" i="29"/>
  <c r="Y53" i="29"/>
  <c r="AA52" i="29"/>
  <c r="Z52" i="29"/>
  <c r="Y52" i="29"/>
  <c r="AA51" i="29"/>
  <c r="Z51" i="29"/>
  <c r="Y51" i="29"/>
  <c r="AA50" i="29"/>
  <c r="Z50" i="29"/>
  <c r="Y50" i="29"/>
  <c r="AA49" i="29"/>
  <c r="Z49" i="29"/>
  <c r="Y49" i="29"/>
  <c r="AA48" i="29"/>
  <c r="Z48" i="29"/>
  <c r="Y48" i="29"/>
  <c r="AA47" i="29"/>
  <c r="Z47" i="29"/>
  <c r="Y47" i="29"/>
  <c r="AA46" i="29"/>
  <c r="Z46" i="29"/>
  <c r="Y46" i="29"/>
  <c r="AA45" i="29"/>
  <c r="Z45" i="29"/>
  <c r="Y45" i="29"/>
  <c r="AA44" i="29"/>
  <c r="Z44" i="29"/>
  <c r="Y44" i="29"/>
  <c r="AA43" i="29"/>
  <c r="Z43" i="29"/>
  <c r="Y43" i="29"/>
  <c r="AA42" i="29"/>
  <c r="Z42" i="29"/>
  <c r="Y42" i="29"/>
  <c r="AA41" i="29"/>
  <c r="Z41" i="29"/>
  <c r="Y41" i="29"/>
  <c r="AA40" i="29"/>
  <c r="Z40" i="29"/>
  <c r="Y40" i="29"/>
  <c r="AA39" i="29"/>
  <c r="Z39" i="29"/>
  <c r="Y39" i="29"/>
  <c r="AA38" i="29"/>
  <c r="Z38" i="29"/>
  <c r="Y38" i="29"/>
  <c r="AA37" i="29"/>
  <c r="Z37" i="29"/>
  <c r="Y37" i="29"/>
  <c r="AA36" i="29"/>
  <c r="Z36" i="29"/>
  <c r="Y36" i="29"/>
  <c r="AA35" i="29"/>
  <c r="Z35" i="29"/>
  <c r="Y35" i="29"/>
  <c r="AA34" i="29"/>
  <c r="Z34" i="29"/>
  <c r="Y34" i="29"/>
  <c r="AA33" i="29"/>
  <c r="Z33" i="29"/>
  <c r="Y33" i="29"/>
  <c r="AA32" i="29"/>
  <c r="Z32" i="29"/>
  <c r="Y32" i="29"/>
  <c r="AA31" i="29"/>
  <c r="Z31" i="29"/>
  <c r="Y31" i="29"/>
  <c r="AA30" i="29"/>
  <c r="Z30" i="29"/>
  <c r="Y30" i="29"/>
  <c r="AA29" i="29"/>
  <c r="Z29" i="29"/>
  <c r="Y29" i="29"/>
  <c r="AA28" i="29"/>
  <c r="Z28" i="29"/>
  <c r="Y28" i="29"/>
  <c r="AA27" i="29"/>
  <c r="Z27" i="29"/>
  <c r="Y27" i="29"/>
  <c r="AA26" i="29"/>
  <c r="Z26" i="29"/>
  <c r="Y26" i="29"/>
  <c r="AA25" i="29"/>
  <c r="Z25" i="29"/>
  <c r="Y25" i="29"/>
  <c r="AA24" i="29"/>
  <c r="Z24" i="29"/>
  <c r="Y24" i="29"/>
  <c r="AA23" i="29"/>
  <c r="Z23" i="29"/>
  <c r="Y23" i="29"/>
  <c r="AA22" i="29"/>
  <c r="Z22" i="29"/>
  <c r="Y22" i="29"/>
  <c r="AA21" i="29"/>
  <c r="Z21" i="29"/>
  <c r="Y21" i="29"/>
  <c r="AA20" i="29"/>
  <c r="Z20" i="29"/>
  <c r="Y20" i="29"/>
  <c r="AA19" i="29"/>
  <c r="Z19" i="29"/>
  <c r="Y19" i="29"/>
  <c r="AA18" i="29"/>
  <c r="Z18" i="29"/>
  <c r="Y18" i="29"/>
  <c r="AA17" i="29"/>
  <c r="Z17" i="29"/>
  <c r="Y17" i="29"/>
  <c r="AA16" i="29"/>
  <c r="Z16" i="29"/>
  <c r="Y16" i="29"/>
  <c r="AA15" i="29"/>
  <c r="Z15" i="29"/>
  <c r="Y15" i="29"/>
  <c r="AA14" i="29"/>
  <c r="Z14" i="29"/>
  <c r="Y14" i="29"/>
  <c r="AA13" i="29"/>
  <c r="Z13" i="29"/>
  <c r="Y13" i="29"/>
  <c r="AA12" i="29"/>
  <c r="Z12" i="29"/>
  <c r="Y12" i="29"/>
  <c r="AA11" i="29"/>
  <c r="Z11" i="29"/>
  <c r="Y11" i="29"/>
  <c r="AA10" i="29"/>
  <c r="Z10" i="29"/>
  <c r="Y10" i="29"/>
  <c r="AA9" i="29"/>
  <c r="Z9" i="29"/>
  <c r="Y9" i="29"/>
  <c r="AA8" i="29"/>
  <c r="Z8" i="29"/>
  <c r="Y8" i="29"/>
  <c r="AA7" i="29"/>
  <c r="Z7" i="29"/>
  <c r="Y7" i="29"/>
  <c r="AA6" i="29"/>
  <c r="Z6" i="29"/>
  <c r="Y6" i="29"/>
  <c r="AA5" i="29"/>
  <c r="Z5" i="29"/>
  <c r="Y5" i="29"/>
  <c r="AA4" i="29"/>
  <c r="Z4" i="29"/>
  <c r="Y4" i="29"/>
  <c r="J8" i="33" l="1"/>
  <c r="M8" i="33" s="1"/>
  <c r="I17" i="33"/>
  <c r="L17" i="33" s="1"/>
  <c r="J6" i="33"/>
  <c r="M6" i="33" s="1"/>
  <c r="J16" i="33"/>
  <c r="M16" i="33" s="1"/>
  <c r="I16" i="33"/>
  <c r="J15" i="33"/>
  <c r="M15" i="33" s="1"/>
  <c r="I15" i="33"/>
  <c r="J22" i="33"/>
  <c r="M22" i="33" s="1"/>
  <c r="J5" i="33"/>
  <c r="M5" i="33" s="1"/>
  <c r="J23" i="33"/>
  <c r="M23" i="33" s="1"/>
  <c r="I20" i="33"/>
  <c r="L20" i="33" s="1"/>
  <c r="J19" i="33"/>
  <c r="M19" i="33" s="1"/>
  <c r="I22" i="33"/>
  <c r="J21" i="33"/>
  <c r="M21" i="33" s="1"/>
  <c r="J7" i="33"/>
  <c r="M7" i="33" s="1"/>
  <c r="I19" i="33"/>
  <c r="I18" i="33"/>
  <c r="J18" i="33"/>
  <c r="M18" i="33" s="1"/>
  <c r="J20" i="33"/>
  <c r="M20" i="33" s="1"/>
  <c r="I23" i="33"/>
  <c r="I13" i="33"/>
  <c r="J13" i="33"/>
  <c r="M13" i="33" s="1"/>
  <c r="I11" i="33"/>
  <c r="J11" i="33"/>
  <c r="M11" i="33" s="1"/>
  <c r="I12" i="33"/>
  <c r="J14" i="33"/>
  <c r="M14" i="33" s="1"/>
  <c r="I21" i="33"/>
  <c r="I7" i="33"/>
  <c r="I5" i="33"/>
  <c r="I8" i="33"/>
  <c r="I6" i="33"/>
  <c r="I10" i="33"/>
  <c r="I9" i="33"/>
  <c r="J12" i="33"/>
  <c r="M12" i="33" s="1"/>
  <c r="I14" i="33"/>
  <c r="R544" i="1"/>
  <c r="Q544" i="1"/>
  <c r="Q98" i="31"/>
  <c r="R98" i="31"/>
  <c r="Q163" i="29"/>
  <c r="R163" i="29"/>
  <c r="K17" i="33" l="1"/>
  <c r="N17" i="33" s="1"/>
  <c r="L15" i="33"/>
  <c r="K15" i="33"/>
  <c r="N15" i="33" s="1"/>
  <c r="L16" i="33"/>
  <c r="K16" i="33"/>
  <c r="N16" i="33" s="1"/>
  <c r="K23" i="33"/>
  <c r="N23" i="33" s="1"/>
  <c r="K18" i="33"/>
  <c r="N18" i="33" s="1"/>
  <c r="L18" i="33"/>
  <c r="K20" i="33"/>
  <c r="N20" i="33" s="1"/>
  <c r="L19" i="33"/>
  <c r="K19" i="33"/>
  <c r="N19" i="33" s="1"/>
  <c r="K22" i="33"/>
  <c r="N22" i="33" s="1"/>
  <c r="L22" i="33"/>
  <c r="L23" i="33"/>
  <c r="K13" i="33"/>
  <c r="N13" i="33" s="1"/>
  <c r="L13" i="33"/>
  <c r="K9" i="33"/>
  <c r="N9" i="33" s="1"/>
  <c r="L9" i="33"/>
  <c r="K6" i="33"/>
  <c r="N6" i="33" s="1"/>
  <c r="L6" i="33"/>
  <c r="K10" i="33"/>
  <c r="N10" i="33" s="1"/>
  <c r="L10" i="33"/>
  <c r="L8" i="33"/>
  <c r="K8" i="33"/>
  <c r="N8" i="33" s="1"/>
  <c r="L5" i="33"/>
  <c r="K5" i="33"/>
  <c r="N5" i="33" s="1"/>
  <c r="K7" i="33"/>
  <c r="N7" i="33" s="1"/>
  <c r="L7" i="33"/>
  <c r="K14" i="33"/>
  <c r="N14" i="33" s="1"/>
  <c r="L14" i="33"/>
  <c r="K21" i="33"/>
  <c r="N21" i="33" s="1"/>
  <c r="L21" i="33"/>
  <c r="L12" i="33"/>
  <c r="K12" i="33"/>
  <c r="N12" i="33" s="1"/>
  <c r="L11" i="33"/>
  <c r="K11" i="33"/>
  <c r="N11" i="33" s="1"/>
  <c r="X459" i="28" l="1"/>
  <c r="W459" i="28"/>
  <c r="V459" i="28"/>
  <c r="U459" i="28"/>
  <c r="T459" i="28"/>
  <c r="S459" i="28"/>
  <c r="B459" i="28"/>
  <c r="AA458" i="28"/>
  <c r="Z458" i="28"/>
  <c r="Y458" i="28"/>
  <c r="AA457" i="28"/>
  <c r="Z457" i="28"/>
  <c r="Y457" i="28"/>
  <c r="AA456" i="28"/>
  <c r="Z456" i="28"/>
  <c r="Y456" i="28"/>
  <c r="AA455" i="28"/>
  <c r="Z455" i="28"/>
  <c r="Y455" i="28"/>
  <c r="AA454" i="28"/>
  <c r="Z454" i="28"/>
  <c r="Y454" i="28"/>
  <c r="AA453" i="28"/>
  <c r="Z453" i="28"/>
  <c r="Y453" i="28"/>
  <c r="AA452" i="28"/>
  <c r="Z452" i="28"/>
  <c r="Y452" i="28"/>
  <c r="AA451" i="28"/>
  <c r="Z451" i="28"/>
  <c r="Y451" i="28"/>
  <c r="AA450" i="28"/>
  <c r="Z450" i="28"/>
  <c r="Y450" i="28"/>
  <c r="AA449" i="28"/>
  <c r="Z449" i="28"/>
  <c r="Y449" i="28"/>
  <c r="AA448" i="28"/>
  <c r="Z448" i="28"/>
  <c r="Y448" i="28"/>
  <c r="AA447" i="28"/>
  <c r="Z447" i="28"/>
  <c r="Y447" i="28"/>
  <c r="AA446" i="28"/>
  <c r="Z446" i="28"/>
  <c r="Y446" i="28"/>
  <c r="AA445" i="28"/>
  <c r="Z445" i="28"/>
  <c r="Y445" i="28"/>
  <c r="AA444" i="28"/>
  <c r="Z444" i="28"/>
  <c r="Y444" i="28"/>
  <c r="AA443" i="28"/>
  <c r="Z443" i="28"/>
  <c r="Y443" i="28"/>
  <c r="AA442" i="28"/>
  <c r="Z442" i="28"/>
  <c r="Y442" i="28"/>
  <c r="AA441" i="28"/>
  <c r="Z441" i="28"/>
  <c r="Y441" i="28"/>
  <c r="AA440" i="28"/>
  <c r="Z440" i="28"/>
  <c r="Y440" i="28"/>
  <c r="AA439" i="28"/>
  <c r="Z439" i="28"/>
  <c r="Y439" i="28"/>
  <c r="AA438" i="28"/>
  <c r="Z438" i="28"/>
  <c r="Y438" i="28"/>
  <c r="AA437" i="28"/>
  <c r="Z437" i="28"/>
  <c r="Y437" i="28"/>
  <c r="AA436" i="28"/>
  <c r="Z436" i="28"/>
  <c r="Y436" i="28"/>
  <c r="AA435" i="28"/>
  <c r="Z435" i="28"/>
  <c r="Y435" i="28"/>
  <c r="AA434" i="28"/>
  <c r="Z434" i="28"/>
  <c r="Y434" i="28"/>
  <c r="AA433" i="28"/>
  <c r="Z433" i="28"/>
  <c r="Y433" i="28"/>
  <c r="AA432" i="28"/>
  <c r="Z432" i="28"/>
  <c r="Y432" i="28"/>
  <c r="AA431" i="28"/>
  <c r="Z431" i="28"/>
  <c r="Y431" i="28"/>
  <c r="AA430" i="28"/>
  <c r="Z430" i="28"/>
  <c r="Y430" i="28"/>
  <c r="AA429" i="28"/>
  <c r="Z429" i="28"/>
  <c r="Y429" i="28"/>
  <c r="AA428" i="28"/>
  <c r="Z428" i="28"/>
  <c r="Y428" i="28"/>
  <c r="AA427" i="28"/>
  <c r="Z427" i="28"/>
  <c r="Y427" i="28"/>
  <c r="AA426" i="28"/>
  <c r="Z426" i="28"/>
  <c r="Y426" i="28"/>
  <c r="AA425" i="28"/>
  <c r="Z425" i="28"/>
  <c r="Y425" i="28"/>
  <c r="AA424" i="28"/>
  <c r="Z424" i="28"/>
  <c r="Y424" i="28"/>
  <c r="AA423" i="28"/>
  <c r="Z423" i="28"/>
  <c r="Y423" i="28"/>
  <c r="AA422" i="28"/>
  <c r="Z422" i="28"/>
  <c r="Y422" i="28"/>
  <c r="AA421" i="28"/>
  <c r="Z421" i="28"/>
  <c r="Y421" i="28"/>
  <c r="AA419" i="28"/>
  <c r="Z419" i="28"/>
  <c r="Y419" i="28"/>
  <c r="AA418" i="28"/>
  <c r="Z418" i="28"/>
  <c r="Y418" i="28"/>
  <c r="AA417" i="28"/>
  <c r="Z417" i="28"/>
  <c r="Y417" i="28"/>
  <c r="AA416" i="28"/>
  <c r="Z416" i="28"/>
  <c r="Y416" i="28"/>
  <c r="AA415" i="28"/>
  <c r="Z415" i="28"/>
  <c r="Y415" i="28"/>
  <c r="AA414" i="28"/>
  <c r="Z414" i="28"/>
  <c r="Y414" i="28"/>
  <c r="AA413" i="28"/>
  <c r="Z413" i="28"/>
  <c r="Y413" i="28"/>
  <c r="AA412" i="28"/>
  <c r="Z412" i="28"/>
  <c r="Y412" i="28"/>
  <c r="AA411" i="28"/>
  <c r="Z411" i="28"/>
  <c r="Y411" i="28"/>
  <c r="AA410" i="28"/>
  <c r="Z410" i="28"/>
  <c r="Y410" i="28"/>
  <c r="AA409" i="28"/>
  <c r="Z409" i="28"/>
  <c r="Y409" i="28"/>
  <c r="AA408" i="28"/>
  <c r="Z408" i="28"/>
  <c r="Y408" i="28"/>
  <c r="AA407" i="28"/>
  <c r="Z407" i="28"/>
  <c r="Y407" i="28"/>
  <c r="AA406" i="28"/>
  <c r="Z406" i="28"/>
  <c r="Y406" i="28"/>
  <c r="AA405" i="28"/>
  <c r="Z405" i="28"/>
  <c r="Y405" i="28"/>
  <c r="AA404" i="28"/>
  <c r="Z404" i="28"/>
  <c r="Y404" i="28"/>
  <c r="AA403" i="28"/>
  <c r="Z403" i="28"/>
  <c r="Y403" i="28"/>
  <c r="AA402" i="28"/>
  <c r="Z402" i="28"/>
  <c r="Y402" i="28"/>
  <c r="AA401" i="28"/>
  <c r="Z401" i="28"/>
  <c r="Y401" i="28"/>
  <c r="AA400" i="28"/>
  <c r="Z400" i="28"/>
  <c r="Y400" i="28"/>
  <c r="AA399" i="28"/>
  <c r="Z399" i="28"/>
  <c r="Y399" i="28"/>
  <c r="AA398" i="28"/>
  <c r="Z398" i="28"/>
  <c r="Y398" i="28"/>
  <c r="AA397" i="28"/>
  <c r="Z397" i="28"/>
  <c r="Y397" i="28"/>
  <c r="AA396" i="28"/>
  <c r="Z396" i="28"/>
  <c r="Y396" i="28"/>
  <c r="AA395" i="28"/>
  <c r="Z395" i="28"/>
  <c r="Y395" i="28"/>
  <c r="AA394" i="28"/>
  <c r="Z394" i="28"/>
  <c r="Y394" i="28"/>
  <c r="AA393" i="28"/>
  <c r="Z393" i="28"/>
  <c r="Y393" i="28"/>
  <c r="AA392" i="28"/>
  <c r="Z392" i="28"/>
  <c r="Y392" i="28"/>
  <c r="AA391" i="28"/>
  <c r="Z391" i="28"/>
  <c r="Y391" i="28"/>
  <c r="AA390" i="28"/>
  <c r="Z390" i="28"/>
  <c r="Y390" i="28"/>
  <c r="AA389" i="28"/>
  <c r="Z389" i="28"/>
  <c r="Y389" i="28"/>
  <c r="AA388" i="28"/>
  <c r="Z388" i="28"/>
  <c r="Y388" i="28"/>
  <c r="AA387" i="28"/>
  <c r="Z387" i="28"/>
  <c r="Y387" i="28"/>
  <c r="AA386" i="28"/>
  <c r="Z386" i="28"/>
  <c r="Y386" i="28"/>
  <c r="AA385" i="28"/>
  <c r="Z385" i="28"/>
  <c r="Y385" i="28"/>
  <c r="AA384" i="28"/>
  <c r="Z384" i="28"/>
  <c r="Y384" i="28"/>
  <c r="AA383" i="28"/>
  <c r="Z383" i="28"/>
  <c r="Y383" i="28"/>
  <c r="AA382" i="28"/>
  <c r="Z382" i="28"/>
  <c r="Y382" i="28"/>
  <c r="AA381" i="28"/>
  <c r="Z381" i="28"/>
  <c r="Y381" i="28"/>
  <c r="AA380" i="28"/>
  <c r="Z380" i="28"/>
  <c r="Y380" i="28"/>
  <c r="AA379" i="28"/>
  <c r="Z379" i="28"/>
  <c r="Y379" i="28"/>
  <c r="AA378" i="28"/>
  <c r="Z378" i="28"/>
  <c r="Y378" i="28"/>
  <c r="AA377" i="28"/>
  <c r="Z377" i="28"/>
  <c r="Y377" i="28"/>
  <c r="AA376" i="28"/>
  <c r="Z376" i="28"/>
  <c r="Y376" i="28"/>
  <c r="AA375" i="28"/>
  <c r="Z375" i="28"/>
  <c r="Y375" i="28"/>
  <c r="AA374" i="28"/>
  <c r="Z374" i="28"/>
  <c r="Y374" i="28"/>
  <c r="AA373" i="28"/>
  <c r="Z373" i="28"/>
  <c r="Y373" i="28"/>
  <c r="AA372" i="28"/>
  <c r="Z372" i="28"/>
  <c r="Y372" i="28"/>
  <c r="AA371" i="28"/>
  <c r="Z371" i="28"/>
  <c r="Y371" i="28"/>
  <c r="AA370" i="28"/>
  <c r="Z370" i="28"/>
  <c r="Y370" i="28"/>
  <c r="AA369" i="28"/>
  <c r="Z369" i="28"/>
  <c r="Y369" i="28"/>
  <c r="AA368" i="28"/>
  <c r="Z368" i="28"/>
  <c r="Y368" i="28"/>
  <c r="AA367" i="28"/>
  <c r="Z367" i="28"/>
  <c r="Y367" i="28"/>
  <c r="AA366" i="28"/>
  <c r="Z366" i="28"/>
  <c r="Y366" i="28"/>
  <c r="AA365" i="28"/>
  <c r="Z365" i="28"/>
  <c r="Y365" i="28"/>
  <c r="AA364" i="28"/>
  <c r="Z364" i="28"/>
  <c r="Y364" i="28"/>
  <c r="AA363" i="28"/>
  <c r="Z363" i="28"/>
  <c r="Y363" i="28"/>
  <c r="AA362" i="28"/>
  <c r="Z362" i="28"/>
  <c r="Y362" i="28"/>
  <c r="AA361" i="28"/>
  <c r="Z361" i="28"/>
  <c r="Y361" i="28"/>
  <c r="AA359" i="28"/>
  <c r="Z359" i="28"/>
  <c r="Y359" i="28"/>
  <c r="AA358" i="28"/>
  <c r="Z358" i="28"/>
  <c r="Y358" i="28"/>
  <c r="AA357" i="28"/>
  <c r="Z357" i="28"/>
  <c r="Y357" i="28"/>
  <c r="AA356" i="28"/>
  <c r="Z356" i="28"/>
  <c r="Y356" i="28"/>
  <c r="AA355" i="28"/>
  <c r="Z355" i="28"/>
  <c r="Y355" i="28"/>
  <c r="AA354" i="28"/>
  <c r="Z354" i="28"/>
  <c r="Y354" i="28"/>
  <c r="AA353" i="28"/>
  <c r="Z353" i="28"/>
  <c r="Y353" i="28"/>
  <c r="AA352" i="28"/>
  <c r="Z352" i="28"/>
  <c r="Y352" i="28"/>
  <c r="AA351" i="28"/>
  <c r="Z351" i="28"/>
  <c r="Y351" i="28"/>
  <c r="AA350" i="28"/>
  <c r="Z350" i="28"/>
  <c r="Y350" i="28"/>
  <c r="AA349" i="28"/>
  <c r="Z349" i="28"/>
  <c r="Y349" i="28"/>
  <c r="AA348" i="28"/>
  <c r="Z348" i="28"/>
  <c r="Y348" i="28"/>
  <c r="AA347" i="28"/>
  <c r="Z347" i="28"/>
  <c r="Y347" i="28"/>
  <c r="AA346" i="28"/>
  <c r="Z346" i="28"/>
  <c r="Y346" i="28"/>
  <c r="AA345" i="28"/>
  <c r="Z345" i="28"/>
  <c r="Y345" i="28"/>
  <c r="AA344" i="28"/>
  <c r="Z344" i="28"/>
  <c r="Y344" i="28"/>
  <c r="AA343" i="28"/>
  <c r="Z343" i="28"/>
  <c r="Y343" i="28"/>
  <c r="AA342" i="28"/>
  <c r="Z342" i="28"/>
  <c r="Y342" i="28"/>
  <c r="AA341" i="28"/>
  <c r="Z341" i="28"/>
  <c r="Y341" i="28"/>
  <c r="AA340" i="28"/>
  <c r="Z340" i="28"/>
  <c r="Y340" i="28"/>
  <c r="AA339" i="28"/>
  <c r="Z339" i="28"/>
  <c r="Y339" i="28"/>
  <c r="AA338" i="28"/>
  <c r="Z338" i="28"/>
  <c r="Y338" i="28"/>
  <c r="AA337" i="28"/>
  <c r="Z337" i="28"/>
  <c r="Y337" i="28"/>
  <c r="AA336" i="28"/>
  <c r="Z336" i="28"/>
  <c r="Y336" i="28"/>
  <c r="AA335" i="28"/>
  <c r="Z335" i="28"/>
  <c r="Y335" i="28"/>
  <c r="AA334" i="28"/>
  <c r="Z334" i="28"/>
  <c r="Y334" i="28"/>
  <c r="AA333" i="28"/>
  <c r="Z333" i="28"/>
  <c r="Y333" i="28"/>
  <c r="AA332" i="28"/>
  <c r="Z332" i="28"/>
  <c r="Y332" i="28"/>
  <c r="AA331" i="28"/>
  <c r="Z331" i="28"/>
  <c r="Y331" i="28"/>
  <c r="AA330" i="28"/>
  <c r="Z330" i="28"/>
  <c r="Y330" i="28"/>
  <c r="AA329" i="28"/>
  <c r="Z329" i="28"/>
  <c r="Y329" i="28"/>
  <c r="AA328" i="28"/>
  <c r="Z328" i="28"/>
  <c r="Y328" i="28"/>
  <c r="AA327" i="28"/>
  <c r="Z327" i="28"/>
  <c r="Y327" i="28"/>
  <c r="AA326" i="28"/>
  <c r="Z326" i="28"/>
  <c r="Y326" i="28"/>
  <c r="AA325" i="28"/>
  <c r="Z325" i="28"/>
  <c r="Y325" i="28"/>
  <c r="AA324" i="28"/>
  <c r="Z324" i="28"/>
  <c r="Y324" i="28"/>
  <c r="AA323" i="28"/>
  <c r="Z323" i="28"/>
  <c r="Y323" i="28"/>
  <c r="AA322" i="28"/>
  <c r="Z322" i="28"/>
  <c r="Y322" i="28"/>
  <c r="AA321" i="28"/>
  <c r="Z321" i="28"/>
  <c r="Y321" i="28"/>
  <c r="AA320" i="28"/>
  <c r="Z320" i="28"/>
  <c r="Y320" i="28"/>
  <c r="AA319" i="28"/>
  <c r="Z319" i="28"/>
  <c r="Y319" i="28"/>
  <c r="AA318" i="28"/>
  <c r="Z318" i="28"/>
  <c r="Y318" i="28"/>
  <c r="AA317" i="28"/>
  <c r="Z317" i="28"/>
  <c r="Y317" i="28"/>
  <c r="AA316" i="28"/>
  <c r="Z316" i="28"/>
  <c r="Y316" i="28"/>
  <c r="AA315" i="28"/>
  <c r="Z315" i="28"/>
  <c r="Y315" i="28"/>
  <c r="AA314" i="28"/>
  <c r="Z314" i="28"/>
  <c r="Y314" i="28"/>
  <c r="AA313" i="28"/>
  <c r="Z313" i="28"/>
  <c r="Y313" i="28"/>
  <c r="AA312" i="28"/>
  <c r="Z312" i="28"/>
  <c r="Y312" i="28"/>
  <c r="AA311" i="28"/>
  <c r="Z311" i="28"/>
  <c r="Y311" i="28"/>
  <c r="AA310" i="28"/>
  <c r="Z310" i="28"/>
  <c r="Y310" i="28"/>
  <c r="AA309" i="28"/>
  <c r="Z309" i="28"/>
  <c r="Y309" i="28"/>
  <c r="AA308" i="28"/>
  <c r="Z308" i="28"/>
  <c r="Y308" i="28"/>
  <c r="AA307" i="28"/>
  <c r="Z307" i="28"/>
  <c r="Y307" i="28"/>
  <c r="AA306" i="28"/>
  <c r="Z306" i="28"/>
  <c r="Y306" i="28"/>
  <c r="AA305" i="28"/>
  <c r="Z305" i="28"/>
  <c r="Y305" i="28"/>
  <c r="AA304" i="28"/>
  <c r="Z304" i="28"/>
  <c r="Y304" i="28"/>
  <c r="AA303" i="28"/>
  <c r="Z303" i="28"/>
  <c r="Y303" i="28"/>
  <c r="AA302" i="28"/>
  <c r="Z302" i="28"/>
  <c r="Y302" i="28"/>
  <c r="AA301" i="28"/>
  <c r="Z301" i="28"/>
  <c r="Y301" i="28"/>
  <c r="AA300" i="28"/>
  <c r="Z300" i="28"/>
  <c r="Y300" i="28"/>
  <c r="AA299" i="28"/>
  <c r="Z299" i="28"/>
  <c r="Y299" i="28"/>
  <c r="AA298" i="28"/>
  <c r="Z298" i="28"/>
  <c r="Y298" i="28"/>
  <c r="AA297" i="28"/>
  <c r="Z297" i="28"/>
  <c r="Y297" i="28"/>
  <c r="AA296" i="28"/>
  <c r="Z296" i="28"/>
  <c r="Y296" i="28"/>
  <c r="AA295" i="28"/>
  <c r="Z295" i="28"/>
  <c r="Y295" i="28"/>
  <c r="AA294" i="28"/>
  <c r="Z294" i="28"/>
  <c r="Y294" i="28"/>
  <c r="AA293" i="28"/>
  <c r="Z293" i="28"/>
  <c r="Y293" i="28"/>
  <c r="AA292" i="28"/>
  <c r="Z292" i="28"/>
  <c r="Y292" i="28"/>
  <c r="AA291" i="28"/>
  <c r="Z291" i="28"/>
  <c r="Y291" i="28"/>
  <c r="AA290" i="28"/>
  <c r="Z290" i="28"/>
  <c r="Y290" i="28"/>
  <c r="AA289" i="28"/>
  <c r="Z289" i="28"/>
  <c r="Y289" i="28"/>
  <c r="AA288" i="28"/>
  <c r="Z288" i="28"/>
  <c r="Y288" i="28"/>
  <c r="AA287" i="28"/>
  <c r="Z287" i="28"/>
  <c r="Y287" i="28"/>
  <c r="AA286" i="28"/>
  <c r="Z286" i="28"/>
  <c r="Y286" i="28"/>
  <c r="AA285" i="28"/>
  <c r="Z285" i="28"/>
  <c r="Y285" i="28"/>
  <c r="AA284" i="28"/>
  <c r="Z284" i="28"/>
  <c r="Y284" i="28"/>
  <c r="AA283" i="28"/>
  <c r="Z283" i="28"/>
  <c r="Y283" i="28"/>
  <c r="AA282" i="28"/>
  <c r="Z282" i="28"/>
  <c r="Y282" i="28"/>
  <c r="AA281" i="28"/>
  <c r="Z281" i="28"/>
  <c r="Y281" i="28"/>
  <c r="AA280" i="28"/>
  <c r="Z280" i="28"/>
  <c r="Y280" i="28"/>
  <c r="AA279" i="28"/>
  <c r="Z279" i="28"/>
  <c r="Y279" i="28"/>
  <c r="AA278" i="28"/>
  <c r="Z278" i="28"/>
  <c r="Y278" i="28"/>
  <c r="AA277" i="28"/>
  <c r="Z277" i="28"/>
  <c r="Y277" i="28"/>
  <c r="AA276" i="28"/>
  <c r="Z276" i="28"/>
  <c r="Y276" i="28"/>
  <c r="AA275" i="28"/>
  <c r="Z275" i="28"/>
  <c r="Y275" i="28"/>
  <c r="AA274" i="28"/>
  <c r="Z274" i="28"/>
  <c r="Y274" i="28"/>
  <c r="AA273" i="28"/>
  <c r="Z273" i="28"/>
  <c r="Y273" i="28"/>
  <c r="AA272" i="28"/>
  <c r="Z272" i="28"/>
  <c r="Y272" i="28"/>
  <c r="AA271" i="28"/>
  <c r="Z271" i="28"/>
  <c r="Y271" i="28"/>
  <c r="AA270" i="28"/>
  <c r="Z270" i="28"/>
  <c r="Y270" i="28"/>
  <c r="AA269" i="28"/>
  <c r="Z269" i="28"/>
  <c r="Y269" i="28"/>
  <c r="AA268" i="28"/>
  <c r="Z268" i="28"/>
  <c r="Y268" i="28"/>
  <c r="AA267" i="28"/>
  <c r="Z267" i="28"/>
  <c r="Y267" i="28"/>
  <c r="AA266" i="28"/>
  <c r="Z266" i="28"/>
  <c r="Y266" i="28"/>
  <c r="AA265" i="28"/>
  <c r="Z265" i="28"/>
  <c r="Y265" i="28"/>
  <c r="AA264" i="28"/>
  <c r="Z264" i="28"/>
  <c r="Y264" i="28"/>
  <c r="AA263" i="28"/>
  <c r="Z263" i="28"/>
  <c r="Y263" i="28"/>
  <c r="AA262" i="28"/>
  <c r="Z262" i="28"/>
  <c r="Y262" i="28"/>
  <c r="AA261" i="28"/>
  <c r="Z261" i="28"/>
  <c r="Y261" i="28"/>
  <c r="AA260" i="28"/>
  <c r="Z260" i="28"/>
  <c r="Y260" i="28"/>
  <c r="AA259" i="28"/>
  <c r="Z259" i="28"/>
  <c r="Y259" i="28"/>
  <c r="AA258" i="28"/>
  <c r="Z258" i="28"/>
  <c r="Y258" i="28"/>
  <c r="AA257" i="28"/>
  <c r="Z257" i="28"/>
  <c r="Y257" i="28"/>
  <c r="AA256" i="28"/>
  <c r="Z256" i="28"/>
  <c r="Y256" i="28"/>
  <c r="AA255" i="28"/>
  <c r="Z255" i="28"/>
  <c r="Y255" i="28"/>
  <c r="AA254" i="28"/>
  <c r="Z254" i="28"/>
  <c r="Y254" i="28"/>
  <c r="AA253" i="28"/>
  <c r="Z253" i="28"/>
  <c r="Y253" i="28"/>
  <c r="AA252" i="28"/>
  <c r="Z252" i="28"/>
  <c r="Y252" i="28"/>
  <c r="AA251" i="28"/>
  <c r="Z251" i="28"/>
  <c r="Y251" i="28"/>
  <c r="AA250" i="28"/>
  <c r="Z250" i="28"/>
  <c r="Y250" i="28"/>
  <c r="AA249" i="28"/>
  <c r="Z249" i="28"/>
  <c r="Y249" i="28"/>
  <c r="AA248" i="28"/>
  <c r="Z248" i="28"/>
  <c r="Y248" i="28"/>
  <c r="AA247" i="28"/>
  <c r="Z247" i="28"/>
  <c r="Y247" i="28"/>
  <c r="AA246" i="28"/>
  <c r="Z246" i="28"/>
  <c r="Y246" i="28"/>
  <c r="AA245" i="28"/>
  <c r="Z245" i="28"/>
  <c r="Y245" i="28"/>
  <c r="AA244" i="28"/>
  <c r="Z244" i="28"/>
  <c r="Y244" i="28"/>
  <c r="AA243" i="28"/>
  <c r="Z243" i="28"/>
  <c r="Y243" i="28"/>
  <c r="AA242" i="28"/>
  <c r="Z242" i="28"/>
  <c r="Y242" i="28"/>
  <c r="AA241" i="28"/>
  <c r="Z241" i="28"/>
  <c r="Y241" i="28"/>
  <c r="AA240" i="28"/>
  <c r="Z240" i="28"/>
  <c r="Y240" i="28"/>
  <c r="AA239" i="28"/>
  <c r="Z239" i="28"/>
  <c r="Y239" i="28"/>
  <c r="AA238" i="28"/>
  <c r="Z238" i="28"/>
  <c r="Y238" i="28"/>
  <c r="AA237" i="28"/>
  <c r="Z237" i="28"/>
  <c r="Y237" i="28"/>
  <c r="AA236" i="28"/>
  <c r="Z236" i="28"/>
  <c r="Y236" i="28"/>
  <c r="AA235" i="28"/>
  <c r="Z235" i="28"/>
  <c r="Y235" i="28"/>
  <c r="AA234" i="28"/>
  <c r="Z234" i="28"/>
  <c r="Y234" i="28"/>
  <c r="AA233" i="28"/>
  <c r="Z233" i="28"/>
  <c r="Y233" i="28"/>
  <c r="AA232" i="28"/>
  <c r="Z232" i="28"/>
  <c r="Y232" i="28"/>
  <c r="AA231" i="28"/>
  <c r="Z231" i="28"/>
  <c r="Y231" i="28"/>
  <c r="AA230" i="28"/>
  <c r="Z230" i="28"/>
  <c r="Y230" i="28"/>
  <c r="AA229" i="28"/>
  <c r="Z229" i="28"/>
  <c r="Y229" i="28"/>
  <c r="AA228" i="28"/>
  <c r="Z228" i="28"/>
  <c r="Y228" i="28"/>
  <c r="AA227" i="28"/>
  <c r="Z227" i="28"/>
  <c r="Y227" i="28"/>
  <c r="AA226" i="28"/>
  <c r="Z226" i="28"/>
  <c r="Y226" i="28"/>
  <c r="AA225" i="28"/>
  <c r="Z225" i="28"/>
  <c r="Y225" i="28"/>
  <c r="AA224" i="28"/>
  <c r="Z224" i="28"/>
  <c r="Y224" i="28"/>
  <c r="AA223" i="28"/>
  <c r="Z223" i="28"/>
  <c r="Y223" i="28"/>
  <c r="AA222" i="28"/>
  <c r="Z222" i="28"/>
  <c r="Y222" i="28"/>
  <c r="AA221" i="28"/>
  <c r="Z221" i="28"/>
  <c r="Y221" i="28"/>
  <c r="AA220" i="28"/>
  <c r="Z220" i="28"/>
  <c r="Y220" i="28"/>
  <c r="AA219" i="28"/>
  <c r="Z219" i="28"/>
  <c r="Y219" i="28"/>
  <c r="AA218" i="28"/>
  <c r="Z218" i="28"/>
  <c r="Y218" i="28"/>
  <c r="AA217" i="28"/>
  <c r="Z217" i="28"/>
  <c r="Y217" i="28"/>
  <c r="AA216" i="28"/>
  <c r="Z216" i="28"/>
  <c r="Y216" i="28"/>
  <c r="AA215" i="28"/>
  <c r="Z215" i="28"/>
  <c r="Y215" i="28"/>
  <c r="AA214" i="28"/>
  <c r="Z214" i="28"/>
  <c r="Y214" i="28"/>
  <c r="AA213" i="28"/>
  <c r="Z213" i="28"/>
  <c r="Y213" i="28"/>
  <c r="AA212" i="28"/>
  <c r="Z212" i="28"/>
  <c r="Y212" i="28"/>
  <c r="AA211" i="28"/>
  <c r="Z211" i="28"/>
  <c r="Y211" i="28"/>
  <c r="AA210" i="28"/>
  <c r="Z210" i="28"/>
  <c r="Y210" i="28"/>
  <c r="AA209" i="28"/>
  <c r="Z209" i="28"/>
  <c r="Y209" i="28"/>
  <c r="AA208" i="28"/>
  <c r="Z208" i="28"/>
  <c r="Y208" i="28"/>
  <c r="AA207" i="28"/>
  <c r="Z207" i="28"/>
  <c r="Y207" i="28"/>
  <c r="AA206" i="28"/>
  <c r="Z206" i="28"/>
  <c r="Y206" i="28"/>
  <c r="AA205" i="28"/>
  <c r="Z205" i="28"/>
  <c r="Y205" i="28"/>
  <c r="AA204" i="28"/>
  <c r="Z204" i="28"/>
  <c r="Y204" i="28"/>
  <c r="AA203" i="28"/>
  <c r="Z203" i="28"/>
  <c r="Y203" i="28"/>
  <c r="AA202" i="28"/>
  <c r="Z202" i="28"/>
  <c r="Y202" i="28"/>
  <c r="AA201" i="28"/>
  <c r="Z201" i="28"/>
  <c r="Y201" i="28"/>
  <c r="AA200" i="28"/>
  <c r="Z200" i="28"/>
  <c r="Y200" i="28"/>
  <c r="AA199" i="28"/>
  <c r="Z199" i="28"/>
  <c r="Y199" i="28"/>
  <c r="AA198" i="28"/>
  <c r="Z198" i="28"/>
  <c r="Y198" i="28"/>
  <c r="AA197" i="28"/>
  <c r="Z197" i="28"/>
  <c r="Y197" i="28"/>
  <c r="AA196" i="28"/>
  <c r="Z196" i="28"/>
  <c r="Y196" i="28"/>
  <c r="AA195" i="28"/>
  <c r="Z195" i="28"/>
  <c r="Y195" i="28"/>
  <c r="AA194" i="28"/>
  <c r="Z194" i="28"/>
  <c r="Y194" i="28"/>
  <c r="AA193" i="28"/>
  <c r="Z193" i="28"/>
  <c r="Y193" i="28"/>
  <c r="AA192" i="28"/>
  <c r="Z192" i="28"/>
  <c r="Y192" i="28"/>
  <c r="AA191" i="28"/>
  <c r="Z191" i="28"/>
  <c r="Y191" i="28"/>
  <c r="AA190" i="28"/>
  <c r="Z190" i="28"/>
  <c r="Y190" i="28"/>
  <c r="AA189" i="28"/>
  <c r="Z189" i="28"/>
  <c r="Y189" i="28"/>
  <c r="AA188" i="28"/>
  <c r="Z188" i="28"/>
  <c r="Y188" i="28"/>
  <c r="AA187" i="28"/>
  <c r="Z187" i="28"/>
  <c r="Y187" i="28"/>
  <c r="AA186" i="28"/>
  <c r="Z186" i="28"/>
  <c r="Y186" i="28"/>
  <c r="AA185" i="28"/>
  <c r="Z185" i="28"/>
  <c r="Y185" i="28"/>
  <c r="AA184" i="28"/>
  <c r="Z184" i="28"/>
  <c r="Y184" i="28"/>
  <c r="AA183" i="28"/>
  <c r="Z183" i="28"/>
  <c r="Y183" i="28"/>
  <c r="AA182" i="28"/>
  <c r="Z182" i="28"/>
  <c r="Y182" i="28"/>
  <c r="AA181" i="28"/>
  <c r="Z181" i="28"/>
  <c r="Y181" i="28"/>
  <c r="AA180" i="28"/>
  <c r="Z180" i="28"/>
  <c r="Y180" i="28"/>
  <c r="AA179" i="28"/>
  <c r="Z179" i="28"/>
  <c r="Y179" i="28"/>
  <c r="AA178" i="28"/>
  <c r="Z178" i="28"/>
  <c r="Y178" i="28"/>
  <c r="AA177" i="28"/>
  <c r="Z177" i="28"/>
  <c r="Y177" i="28"/>
  <c r="AA176" i="28"/>
  <c r="Z176" i="28"/>
  <c r="Y176" i="28"/>
  <c r="AA175" i="28"/>
  <c r="Z175" i="28"/>
  <c r="Y175" i="28"/>
  <c r="AA174" i="28"/>
  <c r="Z174" i="28"/>
  <c r="Y174" i="28"/>
  <c r="AA173" i="28"/>
  <c r="Z173" i="28"/>
  <c r="Y173" i="28"/>
  <c r="AA172" i="28"/>
  <c r="Z172" i="28"/>
  <c r="Y172" i="28"/>
  <c r="AA171" i="28"/>
  <c r="Z171" i="28"/>
  <c r="Y171" i="28"/>
  <c r="AA170" i="28"/>
  <c r="Z170" i="28"/>
  <c r="Y170" i="28"/>
  <c r="AA169" i="28"/>
  <c r="Z169" i="28"/>
  <c r="Y169" i="28"/>
  <c r="AA168" i="28"/>
  <c r="Z168" i="28"/>
  <c r="Y168" i="28"/>
  <c r="AA167" i="28"/>
  <c r="Z167" i="28"/>
  <c r="Y167" i="28"/>
  <c r="AA166" i="28"/>
  <c r="Z166" i="28"/>
  <c r="Y166" i="28"/>
  <c r="AA165" i="28"/>
  <c r="Z165" i="28"/>
  <c r="Y165" i="28"/>
  <c r="AA164" i="28"/>
  <c r="Z164" i="28"/>
  <c r="Y164" i="28"/>
  <c r="AA163" i="28"/>
  <c r="Z163" i="28"/>
  <c r="Y163" i="28"/>
  <c r="AA162" i="28"/>
  <c r="Z162" i="28"/>
  <c r="Y162" i="28"/>
  <c r="AA161" i="28"/>
  <c r="Z161" i="28"/>
  <c r="Y161" i="28"/>
  <c r="AA160" i="28"/>
  <c r="Z160" i="28"/>
  <c r="Y160" i="28"/>
  <c r="AA159" i="28"/>
  <c r="Z159" i="28"/>
  <c r="Y159" i="28"/>
  <c r="AA158" i="28"/>
  <c r="Z158" i="28"/>
  <c r="Y158" i="28"/>
  <c r="AA157" i="28"/>
  <c r="Z157" i="28"/>
  <c r="Y157" i="28"/>
  <c r="AA156" i="28"/>
  <c r="Z156" i="28"/>
  <c r="Y156" i="28"/>
  <c r="AA155" i="28"/>
  <c r="Z155" i="28"/>
  <c r="Y155" i="28"/>
  <c r="AA154" i="28"/>
  <c r="Z154" i="28"/>
  <c r="Y154" i="28"/>
  <c r="AA153" i="28"/>
  <c r="Z153" i="28"/>
  <c r="Y153" i="28"/>
  <c r="AA152" i="28"/>
  <c r="Z152" i="28"/>
  <c r="Y152" i="28"/>
  <c r="AA151" i="28"/>
  <c r="Z151" i="28"/>
  <c r="Y151" i="28"/>
  <c r="AA150" i="28"/>
  <c r="Z150" i="28"/>
  <c r="Y150" i="28"/>
  <c r="AA149" i="28"/>
  <c r="Z149" i="28"/>
  <c r="Y149" i="28"/>
  <c r="AA148" i="28"/>
  <c r="Z148" i="28"/>
  <c r="Y148" i="28"/>
  <c r="AA147" i="28"/>
  <c r="Z147" i="28"/>
  <c r="Y147" i="28"/>
  <c r="AA146" i="28"/>
  <c r="Z146" i="28"/>
  <c r="Y146" i="28"/>
  <c r="AA145" i="28"/>
  <c r="Z145" i="28"/>
  <c r="Y145" i="28"/>
  <c r="AA144" i="28"/>
  <c r="Z144" i="28"/>
  <c r="Y144" i="28"/>
  <c r="AA143" i="28"/>
  <c r="Z143" i="28"/>
  <c r="Y143" i="28"/>
  <c r="AA142" i="28"/>
  <c r="Z142" i="28"/>
  <c r="Y142" i="28"/>
  <c r="AA141" i="28"/>
  <c r="Z141" i="28"/>
  <c r="Y141" i="28"/>
  <c r="AA140" i="28"/>
  <c r="Z140" i="28"/>
  <c r="Y140" i="28"/>
  <c r="AA139" i="28"/>
  <c r="Z139" i="28"/>
  <c r="Y139" i="28"/>
  <c r="AA138" i="28"/>
  <c r="Z138" i="28"/>
  <c r="Y138" i="28"/>
  <c r="AA137" i="28"/>
  <c r="Z137" i="28"/>
  <c r="Y137" i="28"/>
  <c r="AA136" i="28"/>
  <c r="Z136" i="28"/>
  <c r="Y136" i="28"/>
  <c r="AA135" i="28"/>
  <c r="Z135" i="28"/>
  <c r="Y135" i="28"/>
  <c r="AA134" i="28"/>
  <c r="Z134" i="28"/>
  <c r="Y134" i="28"/>
  <c r="AA133" i="28"/>
  <c r="Z133" i="28"/>
  <c r="Y133" i="28"/>
  <c r="AA132" i="28"/>
  <c r="Z132" i="28"/>
  <c r="Y132" i="28"/>
  <c r="AA131" i="28"/>
  <c r="Z131" i="28"/>
  <c r="Y131" i="28"/>
  <c r="AA130" i="28"/>
  <c r="Z130" i="28"/>
  <c r="Y130" i="28"/>
  <c r="AA129" i="28"/>
  <c r="Z129" i="28"/>
  <c r="Y129" i="28"/>
  <c r="AA128" i="28"/>
  <c r="Z128" i="28"/>
  <c r="Y128" i="28"/>
  <c r="AA127" i="28"/>
  <c r="Z127" i="28"/>
  <c r="Y127" i="28"/>
  <c r="AA126" i="28"/>
  <c r="Z126" i="28"/>
  <c r="Y126" i="28"/>
  <c r="AA125" i="28"/>
  <c r="Z125" i="28"/>
  <c r="Y125" i="28"/>
  <c r="AA124" i="28"/>
  <c r="Z124" i="28"/>
  <c r="Y124" i="28"/>
  <c r="AA123" i="28"/>
  <c r="Z123" i="28"/>
  <c r="Y123" i="28"/>
  <c r="AA122" i="28"/>
  <c r="Z122" i="28"/>
  <c r="Y122" i="28"/>
  <c r="AA121" i="28"/>
  <c r="Z121" i="28"/>
  <c r="Y121" i="28"/>
  <c r="AA120" i="28"/>
  <c r="Z120" i="28"/>
  <c r="Y120" i="28"/>
  <c r="AA119" i="28"/>
  <c r="Z119" i="28"/>
  <c r="Y119" i="28"/>
  <c r="AA118" i="28"/>
  <c r="Z118" i="28"/>
  <c r="Y118" i="28"/>
  <c r="AA117" i="28"/>
  <c r="Z117" i="28"/>
  <c r="Y117" i="28"/>
  <c r="AA116" i="28"/>
  <c r="Z116" i="28"/>
  <c r="Y116" i="28"/>
  <c r="AA115" i="28"/>
  <c r="Z115" i="28"/>
  <c r="Y115" i="28"/>
  <c r="AA114" i="28"/>
  <c r="Z114" i="28"/>
  <c r="Y114" i="28"/>
  <c r="AA113" i="28"/>
  <c r="Z113" i="28"/>
  <c r="Y113" i="28"/>
  <c r="AA63" i="28"/>
  <c r="Z63" i="28"/>
  <c r="Y63" i="28"/>
  <c r="AA47" i="28"/>
  <c r="Z47" i="28"/>
  <c r="Y47" i="28"/>
  <c r="AA102" i="28"/>
  <c r="Z102" i="28"/>
  <c r="Y102" i="28"/>
  <c r="AA101" i="28"/>
  <c r="Z101" i="28"/>
  <c r="Y101" i="28"/>
  <c r="AA31" i="28"/>
  <c r="Z31" i="28"/>
  <c r="Y31" i="28"/>
  <c r="AA96" i="28"/>
  <c r="Z96" i="28"/>
  <c r="Y96" i="28"/>
  <c r="AA62" i="28"/>
  <c r="Z62" i="28"/>
  <c r="Y62" i="28"/>
  <c r="AA100" i="28"/>
  <c r="Z100" i="28"/>
  <c r="Y100" i="28"/>
  <c r="AA81" i="28"/>
  <c r="Z81" i="28"/>
  <c r="Y81" i="28"/>
  <c r="AA46" i="28"/>
  <c r="Z46" i="28"/>
  <c r="Y46" i="28"/>
  <c r="AA30" i="28"/>
  <c r="Z30" i="28"/>
  <c r="Y30" i="28"/>
  <c r="AA61" i="28"/>
  <c r="Z61" i="28"/>
  <c r="Y61" i="28"/>
  <c r="AA6" i="28"/>
  <c r="Z6" i="28"/>
  <c r="Y6" i="28"/>
  <c r="AA29" i="28"/>
  <c r="Z29" i="28"/>
  <c r="Y29" i="28"/>
  <c r="AA45" i="28"/>
  <c r="Z45" i="28"/>
  <c r="Y45" i="28"/>
  <c r="AA105" i="28"/>
  <c r="Z105" i="28"/>
  <c r="Y105" i="28"/>
  <c r="AA10" i="28"/>
  <c r="Z10" i="28"/>
  <c r="Y10" i="28"/>
  <c r="AA104" i="28"/>
  <c r="Z104" i="28"/>
  <c r="Y104" i="28"/>
  <c r="AA8" i="28"/>
  <c r="Z8" i="28"/>
  <c r="Y8" i="28"/>
  <c r="AA60" i="28"/>
  <c r="Z60" i="28"/>
  <c r="Y60" i="28"/>
  <c r="AA12" i="28"/>
  <c r="Z12" i="28"/>
  <c r="Y12" i="28"/>
  <c r="AA28" i="28"/>
  <c r="Z28" i="28"/>
  <c r="Y28" i="28"/>
  <c r="AA87" i="28"/>
  <c r="Z87" i="28"/>
  <c r="Y87" i="28"/>
  <c r="AA59" i="28"/>
  <c r="Z59" i="28"/>
  <c r="Y59" i="28"/>
  <c r="AA103" i="28"/>
  <c r="Z103" i="28"/>
  <c r="Y103" i="28"/>
  <c r="AA94" i="28"/>
  <c r="Z94" i="28"/>
  <c r="Y94" i="28"/>
  <c r="AA91" i="28"/>
  <c r="Z91" i="28"/>
  <c r="Y91" i="28"/>
  <c r="AA89" i="28"/>
  <c r="Z89" i="28"/>
  <c r="Y89" i="28"/>
  <c r="AA93" i="28"/>
  <c r="Z93" i="28"/>
  <c r="Y93" i="28"/>
  <c r="AA44" i="28"/>
  <c r="Z44" i="28"/>
  <c r="Y44" i="28"/>
  <c r="AA90" i="28"/>
  <c r="Z90" i="28"/>
  <c r="Y90" i="28"/>
  <c r="AA27" i="28"/>
  <c r="Z27" i="28"/>
  <c r="Y27" i="28"/>
  <c r="AA88" i="28"/>
  <c r="Z88" i="28"/>
  <c r="Y88" i="28"/>
  <c r="AA71" i="28"/>
  <c r="Z71" i="28"/>
  <c r="Y71" i="28"/>
  <c r="AA92" i="28"/>
  <c r="Z92" i="28"/>
  <c r="Y92" i="28"/>
  <c r="AA43" i="28"/>
  <c r="Z43" i="28"/>
  <c r="Y43" i="28"/>
  <c r="AA68" i="28"/>
  <c r="Z68" i="28"/>
  <c r="Y68" i="28"/>
  <c r="AA67" i="28"/>
  <c r="Z67" i="28"/>
  <c r="Y67" i="28"/>
  <c r="AA26" i="28"/>
  <c r="Z26" i="28"/>
  <c r="Y26" i="28"/>
  <c r="AA58" i="28"/>
  <c r="Z58" i="28"/>
  <c r="Y58" i="28"/>
  <c r="AA42" i="28"/>
  <c r="Z42" i="28"/>
  <c r="Y42" i="28"/>
  <c r="AA70" i="28"/>
  <c r="Z70" i="28"/>
  <c r="Y70" i="28"/>
  <c r="AA80" i="28"/>
  <c r="Z80" i="28"/>
  <c r="Y80" i="28"/>
  <c r="AA25" i="28"/>
  <c r="Z25" i="28"/>
  <c r="Y25" i="28"/>
  <c r="AA57" i="28"/>
  <c r="Z57" i="28"/>
  <c r="Y57" i="28"/>
  <c r="AA41" i="28"/>
  <c r="Z41" i="28"/>
  <c r="Y41" i="28"/>
  <c r="AA112" i="28"/>
  <c r="Z112" i="28"/>
  <c r="Y112" i="28"/>
  <c r="AA64" i="28"/>
  <c r="Z64" i="28"/>
  <c r="Y64" i="28"/>
  <c r="AA56" i="28"/>
  <c r="Z56" i="28"/>
  <c r="Y56" i="28"/>
  <c r="AA24" i="28"/>
  <c r="Z24" i="28"/>
  <c r="Y24" i="28"/>
  <c r="AA40" i="28"/>
  <c r="Z40" i="28"/>
  <c r="Y40" i="28"/>
  <c r="AA66" i="28"/>
  <c r="Z66" i="28"/>
  <c r="Y66" i="28"/>
  <c r="AA23" i="28"/>
  <c r="Z23" i="28"/>
  <c r="Y23" i="28"/>
  <c r="AA4" i="28"/>
  <c r="Z4" i="28"/>
  <c r="Y4" i="28"/>
  <c r="AA79" i="28"/>
  <c r="Z79" i="28"/>
  <c r="Y79" i="28"/>
  <c r="AA55" i="28"/>
  <c r="Z55" i="28"/>
  <c r="Y55" i="28"/>
  <c r="AA22" i="28"/>
  <c r="Z22" i="28"/>
  <c r="Y22" i="28"/>
  <c r="AA39" i="28"/>
  <c r="Z39" i="28"/>
  <c r="Y39" i="28"/>
  <c r="AA86" i="28"/>
  <c r="Z86" i="28"/>
  <c r="Y86" i="28"/>
  <c r="AA85" i="28"/>
  <c r="Z85" i="28"/>
  <c r="Y85" i="28"/>
  <c r="AA110" i="28"/>
  <c r="Z110" i="28"/>
  <c r="Y110" i="28"/>
  <c r="AA54" i="28"/>
  <c r="Z54" i="28"/>
  <c r="Y54" i="28"/>
  <c r="AA38" i="28"/>
  <c r="Z38" i="28"/>
  <c r="Y38" i="28"/>
  <c r="AA21" i="28"/>
  <c r="Z21" i="28"/>
  <c r="Y21" i="28"/>
  <c r="AA99" i="28"/>
  <c r="Z99" i="28"/>
  <c r="Y99" i="28"/>
  <c r="AA97" i="28"/>
  <c r="Z97" i="28"/>
  <c r="Y97" i="28"/>
  <c r="AA53" i="28"/>
  <c r="Z53" i="28"/>
  <c r="Y53" i="28"/>
  <c r="AA20" i="28"/>
  <c r="Z20" i="28"/>
  <c r="Y20" i="28"/>
  <c r="AA72" i="28"/>
  <c r="Z72" i="28"/>
  <c r="Y72" i="28"/>
  <c r="AA52" i="28"/>
  <c r="Z52" i="28"/>
  <c r="Y52" i="28"/>
  <c r="AA37" i="28"/>
  <c r="Z37" i="28"/>
  <c r="Y37" i="28"/>
  <c r="AA107" i="28"/>
  <c r="Z107" i="28"/>
  <c r="Y107" i="28"/>
  <c r="AA106" i="28"/>
  <c r="Z106" i="28"/>
  <c r="Y106" i="28"/>
  <c r="AA19" i="28"/>
  <c r="Z19" i="28"/>
  <c r="Y19" i="28"/>
  <c r="AA9" i="28"/>
  <c r="Z9" i="28"/>
  <c r="Y9" i="28"/>
  <c r="AA7" i="28"/>
  <c r="Z7" i="28"/>
  <c r="Y7" i="28"/>
  <c r="AA11" i="28"/>
  <c r="Z11" i="28"/>
  <c r="Y11" i="28"/>
  <c r="AA51" i="28"/>
  <c r="Z51" i="28"/>
  <c r="Y51" i="28"/>
  <c r="AA98" i="28"/>
  <c r="Z98" i="28"/>
  <c r="Y98" i="28"/>
  <c r="AA69" i="28"/>
  <c r="Z69" i="28"/>
  <c r="Y69" i="28"/>
  <c r="AA18" i="28"/>
  <c r="Z18" i="28"/>
  <c r="Y18" i="28"/>
  <c r="AA36" i="28"/>
  <c r="Z36" i="28"/>
  <c r="Y36" i="28"/>
  <c r="AA50" i="28"/>
  <c r="Z50" i="28"/>
  <c r="Y50" i="28"/>
  <c r="AA5" i="28"/>
  <c r="Z5" i="28"/>
  <c r="Y5" i="28"/>
  <c r="AA17" i="28"/>
  <c r="Z17" i="28"/>
  <c r="Y17" i="28"/>
  <c r="AA35" i="28"/>
  <c r="Z35" i="28"/>
  <c r="Y35" i="28"/>
  <c r="AA95" i="28"/>
  <c r="Z95" i="28"/>
  <c r="Y95" i="28"/>
  <c r="AA16" i="28"/>
  <c r="Z16" i="28"/>
  <c r="Y16" i="28"/>
  <c r="AA111" i="28"/>
  <c r="Z111" i="28"/>
  <c r="Y111" i="28"/>
  <c r="AA109" i="28"/>
  <c r="Z109" i="28"/>
  <c r="Y109" i="28"/>
  <c r="AA65" i="28"/>
  <c r="Z65" i="28"/>
  <c r="Y65" i="28"/>
  <c r="AA49" i="28"/>
  <c r="Z49" i="28"/>
  <c r="Y49" i="28"/>
  <c r="AA34" i="28"/>
  <c r="Z34" i="28"/>
  <c r="Y34" i="28"/>
  <c r="AA84" i="28"/>
  <c r="Z84" i="28"/>
  <c r="Y84" i="28"/>
  <c r="AA108" i="28"/>
  <c r="Z108" i="28"/>
  <c r="Y108" i="28"/>
  <c r="AA15" i="28"/>
  <c r="Z15" i="28"/>
  <c r="Y15" i="28"/>
  <c r="AA33" i="28"/>
  <c r="Z33" i="28"/>
  <c r="Y33" i="28"/>
  <c r="AA75" i="28"/>
  <c r="Z75" i="28"/>
  <c r="Y75" i="28"/>
  <c r="AA14" i="28"/>
  <c r="Z14" i="28"/>
  <c r="Y14" i="28"/>
  <c r="AA73" i="28"/>
  <c r="Z73" i="28"/>
  <c r="Y73" i="28"/>
  <c r="AA83" i="28"/>
  <c r="Z83" i="28"/>
  <c r="Y83" i="28"/>
  <c r="AA77" i="28"/>
  <c r="Z77" i="28"/>
  <c r="Y77" i="28"/>
  <c r="AA76" i="28"/>
  <c r="Z76" i="28"/>
  <c r="Y76" i="28"/>
  <c r="AA74" i="28"/>
  <c r="Z74" i="28"/>
  <c r="Y74" i="28"/>
  <c r="AA78" i="28"/>
  <c r="Z78" i="28"/>
  <c r="Y78" i="28"/>
  <c r="AA32" i="28"/>
  <c r="Z32" i="28"/>
  <c r="Y32" i="28"/>
  <c r="AA13" i="28"/>
  <c r="Z13" i="28"/>
  <c r="Y13" i="28"/>
  <c r="AA48" i="28"/>
  <c r="Z48" i="28"/>
  <c r="Y48" i="28"/>
  <c r="AA82" i="28"/>
  <c r="Z82" i="28"/>
  <c r="Y82" i="28"/>
  <c r="R459" i="28" l="1"/>
  <c r="Q459" i="28"/>
  <c r="X459" i="27"/>
  <c r="W459" i="27"/>
  <c r="V459" i="27"/>
  <c r="U459" i="27"/>
  <c r="T459" i="27"/>
  <c r="S459" i="27"/>
  <c r="B459" i="27"/>
  <c r="AA458" i="27"/>
  <c r="Z458" i="27"/>
  <c r="Y458" i="27"/>
  <c r="AA457" i="27"/>
  <c r="Z457" i="27"/>
  <c r="Y457" i="27"/>
  <c r="AA456" i="27"/>
  <c r="Z456" i="27"/>
  <c r="Y456" i="27"/>
  <c r="AA455" i="27"/>
  <c r="Z455" i="27"/>
  <c r="Y455" i="27"/>
  <c r="AA454" i="27"/>
  <c r="Z454" i="27"/>
  <c r="Y454" i="27"/>
  <c r="AA453" i="27"/>
  <c r="Z453" i="27"/>
  <c r="Y453" i="27"/>
  <c r="AA452" i="27"/>
  <c r="Z452" i="27"/>
  <c r="Y452" i="27"/>
  <c r="AA451" i="27"/>
  <c r="Z451" i="27"/>
  <c r="Y451" i="27"/>
  <c r="AA450" i="27"/>
  <c r="Z450" i="27"/>
  <c r="Y450" i="27"/>
  <c r="AA449" i="27"/>
  <c r="Z449" i="27"/>
  <c r="Y449" i="27"/>
  <c r="AA448" i="27"/>
  <c r="Z448" i="27"/>
  <c r="Y448" i="27"/>
  <c r="AA447" i="27"/>
  <c r="Z447" i="27"/>
  <c r="Y447" i="27"/>
  <c r="AA446" i="27"/>
  <c r="Z446" i="27"/>
  <c r="Y446" i="27"/>
  <c r="AA445" i="27"/>
  <c r="Z445" i="27"/>
  <c r="Y445" i="27"/>
  <c r="AA444" i="27"/>
  <c r="Z444" i="27"/>
  <c r="Y444" i="27"/>
  <c r="AA443" i="27"/>
  <c r="Z443" i="27"/>
  <c r="Y443" i="27"/>
  <c r="AA442" i="27"/>
  <c r="Z442" i="27"/>
  <c r="Y442" i="27"/>
  <c r="AA441" i="27"/>
  <c r="Z441" i="27"/>
  <c r="Y441" i="27"/>
  <c r="AA440" i="27"/>
  <c r="Z440" i="27"/>
  <c r="Y440" i="27"/>
  <c r="AA439" i="27"/>
  <c r="Z439" i="27"/>
  <c r="Y439" i="27"/>
  <c r="AA438" i="27"/>
  <c r="Z438" i="27"/>
  <c r="Y438" i="27"/>
  <c r="AA437" i="27"/>
  <c r="Z437" i="27"/>
  <c r="Y437" i="27"/>
  <c r="AA436" i="27"/>
  <c r="Z436" i="27"/>
  <c r="Y436" i="27"/>
  <c r="AA435" i="27"/>
  <c r="Z435" i="27"/>
  <c r="Y435" i="27"/>
  <c r="AA434" i="27"/>
  <c r="Z434" i="27"/>
  <c r="Y434" i="27"/>
  <c r="AA433" i="27"/>
  <c r="Z433" i="27"/>
  <c r="Y433" i="27"/>
  <c r="AA432" i="27"/>
  <c r="Z432" i="27"/>
  <c r="Y432" i="27"/>
  <c r="AA431" i="27"/>
  <c r="Z431" i="27"/>
  <c r="Y431" i="27"/>
  <c r="AA430" i="27"/>
  <c r="Z430" i="27"/>
  <c r="Y430" i="27"/>
  <c r="AA429" i="27"/>
  <c r="Z429" i="27"/>
  <c r="Y429" i="27"/>
  <c r="AA428" i="27"/>
  <c r="Z428" i="27"/>
  <c r="Y428" i="27"/>
  <c r="AA427" i="27"/>
  <c r="Z427" i="27"/>
  <c r="Y427" i="27"/>
  <c r="AA426" i="27"/>
  <c r="Z426" i="27"/>
  <c r="Y426" i="27"/>
  <c r="AA425" i="27"/>
  <c r="Z425" i="27"/>
  <c r="Y425" i="27"/>
  <c r="AA424" i="27"/>
  <c r="Z424" i="27"/>
  <c r="Y424" i="27"/>
  <c r="AA423" i="27"/>
  <c r="Z423" i="27"/>
  <c r="Y423" i="27"/>
  <c r="AA422" i="27"/>
  <c r="Z422" i="27"/>
  <c r="Y422" i="27"/>
  <c r="AA421" i="27"/>
  <c r="Z421" i="27"/>
  <c r="Y421" i="27"/>
  <c r="AA419" i="27"/>
  <c r="Z419" i="27"/>
  <c r="Y419" i="27"/>
  <c r="AA418" i="27"/>
  <c r="Z418" i="27"/>
  <c r="Y418" i="27"/>
  <c r="AA417" i="27"/>
  <c r="Z417" i="27"/>
  <c r="Y417" i="27"/>
  <c r="AA416" i="27"/>
  <c r="Z416" i="27"/>
  <c r="Y416" i="27"/>
  <c r="AA415" i="27"/>
  <c r="Z415" i="27"/>
  <c r="Y415" i="27"/>
  <c r="AA414" i="27"/>
  <c r="Z414" i="27"/>
  <c r="Y414" i="27"/>
  <c r="AA413" i="27"/>
  <c r="Z413" i="27"/>
  <c r="Y413" i="27"/>
  <c r="AA412" i="27"/>
  <c r="Z412" i="27"/>
  <c r="Y412" i="27"/>
  <c r="AA411" i="27"/>
  <c r="Z411" i="27"/>
  <c r="Y411" i="27"/>
  <c r="AA410" i="27"/>
  <c r="Z410" i="27"/>
  <c r="Y410" i="27"/>
  <c r="AA409" i="27"/>
  <c r="Z409" i="27"/>
  <c r="Y409" i="27"/>
  <c r="AA408" i="27"/>
  <c r="Z408" i="27"/>
  <c r="Y408" i="27"/>
  <c r="AA407" i="27"/>
  <c r="Z407" i="27"/>
  <c r="Y407" i="27"/>
  <c r="AA406" i="27"/>
  <c r="Z406" i="27"/>
  <c r="Y406" i="27"/>
  <c r="AA405" i="27"/>
  <c r="Z405" i="27"/>
  <c r="Y405" i="27"/>
  <c r="AA404" i="27"/>
  <c r="Z404" i="27"/>
  <c r="Y404" i="27"/>
  <c r="AA403" i="27"/>
  <c r="Z403" i="27"/>
  <c r="Y403" i="27"/>
  <c r="AA402" i="27"/>
  <c r="Z402" i="27"/>
  <c r="Y402" i="27"/>
  <c r="AA401" i="27"/>
  <c r="Z401" i="27"/>
  <c r="Y401" i="27"/>
  <c r="AA400" i="27"/>
  <c r="Z400" i="27"/>
  <c r="Y400" i="27"/>
  <c r="AA399" i="27"/>
  <c r="Z399" i="27"/>
  <c r="Y399" i="27"/>
  <c r="AA398" i="27"/>
  <c r="Z398" i="27"/>
  <c r="Y398" i="27"/>
  <c r="AA397" i="27"/>
  <c r="Z397" i="27"/>
  <c r="Y397" i="27"/>
  <c r="AA396" i="27"/>
  <c r="Z396" i="27"/>
  <c r="Y396" i="27"/>
  <c r="AA395" i="27"/>
  <c r="Z395" i="27"/>
  <c r="Y395" i="27"/>
  <c r="AA394" i="27"/>
  <c r="Z394" i="27"/>
  <c r="Y394" i="27"/>
  <c r="AA393" i="27"/>
  <c r="Z393" i="27"/>
  <c r="Y393" i="27"/>
  <c r="AA392" i="27"/>
  <c r="Z392" i="27"/>
  <c r="Y392" i="27"/>
  <c r="AA391" i="27"/>
  <c r="Z391" i="27"/>
  <c r="Y391" i="27"/>
  <c r="AA390" i="27"/>
  <c r="Z390" i="27"/>
  <c r="Y390" i="27"/>
  <c r="AA389" i="27"/>
  <c r="Z389" i="27"/>
  <c r="Y389" i="27"/>
  <c r="AA388" i="27"/>
  <c r="Z388" i="27"/>
  <c r="Y388" i="27"/>
  <c r="AA387" i="27"/>
  <c r="Z387" i="27"/>
  <c r="Y387" i="27"/>
  <c r="AA386" i="27"/>
  <c r="Z386" i="27"/>
  <c r="Y386" i="27"/>
  <c r="AA385" i="27"/>
  <c r="Z385" i="27"/>
  <c r="Y385" i="27"/>
  <c r="AA384" i="27"/>
  <c r="Z384" i="27"/>
  <c r="Y384" i="27"/>
  <c r="AA383" i="27"/>
  <c r="Z383" i="27"/>
  <c r="Y383" i="27"/>
  <c r="AA382" i="27"/>
  <c r="Z382" i="27"/>
  <c r="Y382" i="27"/>
  <c r="AA381" i="27"/>
  <c r="Z381" i="27"/>
  <c r="Y381" i="27"/>
  <c r="AA380" i="27"/>
  <c r="Z380" i="27"/>
  <c r="Y380" i="27"/>
  <c r="AA379" i="27"/>
  <c r="Z379" i="27"/>
  <c r="Y379" i="27"/>
  <c r="AA378" i="27"/>
  <c r="Z378" i="27"/>
  <c r="Y378" i="27"/>
  <c r="AA377" i="27"/>
  <c r="Z377" i="27"/>
  <c r="Y377" i="27"/>
  <c r="AA376" i="27"/>
  <c r="Z376" i="27"/>
  <c r="Y376" i="27"/>
  <c r="AA375" i="27"/>
  <c r="Z375" i="27"/>
  <c r="Y375" i="27"/>
  <c r="AA374" i="27"/>
  <c r="Z374" i="27"/>
  <c r="Y374" i="27"/>
  <c r="AA373" i="27"/>
  <c r="Z373" i="27"/>
  <c r="Y373" i="27"/>
  <c r="AA372" i="27"/>
  <c r="Z372" i="27"/>
  <c r="Y372" i="27"/>
  <c r="AA371" i="27"/>
  <c r="Z371" i="27"/>
  <c r="Y371" i="27"/>
  <c r="AA370" i="27"/>
  <c r="Z370" i="27"/>
  <c r="Y370" i="27"/>
  <c r="AA369" i="27"/>
  <c r="Z369" i="27"/>
  <c r="Y369" i="27"/>
  <c r="AA368" i="27"/>
  <c r="Z368" i="27"/>
  <c r="Y368" i="27"/>
  <c r="AA367" i="27"/>
  <c r="Z367" i="27"/>
  <c r="Y367" i="27"/>
  <c r="AA366" i="27"/>
  <c r="Z366" i="27"/>
  <c r="Y366" i="27"/>
  <c r="AA365" i="27"/>
  <c r="Z365" i="27"/>
  <c r="Y365" i="27"/>
  <c r="AA364" i="27"/>
  <c r="Z364" i="27"/>
  <c r="Y364" i="27"/>
  <c r="AA363" i="27"/>
  <c r="Z363" i="27"/>
  <c r="Y363" i="27"/>
  <c r="AA362" i="27"/>
  <c r="Z362" i="27"/>
  <c r="Y362" i="27"/>
  <c r="AA361" i="27"/>
  <c r="Z361" i="27"/>
  <c r="Y361" i="27"/>
  <c r="AA359" i="27"/>
  <c r="Z359" i="27"/>
  <c r="Y359" i="27"/>
  <c r="AA358" i="27"/>
  <c r="Z358" i="27"/>
  <c r="Y358" i="27"/>
  <c r="AA357" i="27"/>
  <c r="Z357" i="27"/>
  <c r="Y357" i="27"/>
  <c r="AA356" i="27"/>
  <c r="Z356" i="27"/>
  <c r="Y356" i="27"/>
  <c r="AA355" i="27"/>
  <c r="Z355" i="27"/>
  <c r="Y355" i="27"/>
  <c r="AA354" i="27"/>
  <c r="Z354" i="27"/>
  <c r="Y354" i="27"/>
  <c r="AA353" i="27"/>
  <c r="Z353" i="27"/>
  <c r="Y353" i="27"/>
  <c r="AA352" i="27"/>
  <c r="Z352" i="27"/>
  <c r="Y352" i="27"/>
  <c r="AA351" i="27"/>
  <c r="Z351" i="27"/>
  <c r="Y351" i="27"/>
  <c r="AA350" i="27"/>
  <c r="Z350" i="27"/>
  <c r="Y350" i="27"/>
  <c r="AA349" i="27"/>
  <c r="Z349" i="27"/>
  <c r="Y349" i="27"/>
  <c r="AA348" i="27"/>
  <c r="Z348" i="27"/>
  <c r="Y348" i="27"/>
  <c r="AA347" i="27"/>
  <c r="Z347" i="27"/>
  <c r="Y347" i="27"/>
  <c r="AA346" i="27"/>
  <c r="Z346" i="27"/>
  <c r="Y346" i="27"/>
  <c r="AA345" i="27"/>
  <c r="Z345" i="27"/>
  <c r="Y345" i="27"/>
  <c r="AA344" i="27"/>
  <c r="Z344" i="27"/>
  <c r="Y344" i="27"/>
  <c r="AA343" i="27"/>
  <c r="Z343" i="27"/>
  <c r="Y343" i="27"/>
  <c r="AA342" i="27"/>
  <c r="Z342" i="27"/>
  <c r="Y342" i="27"/>
  <c r="AA341" i="27"/>
  <c r="Z341" i="27"/>
  <c r="Y341" i="27"/>
  <c r="AA340" i="27"/>
  <c r="Z340" i="27"/>
  <c r="Y340" i="27"/>
  <c r="AA339" i="27"/>
  <c r="Z339" i="27"/>
  <c r="Y339" i="27"/>
  <c r="AA338" i="27"/>
  <c r="Z338" i="27"/>
  <c r="Y338" i="27"/>
  <c r="AA337" i="27"/>
  <c r="Z337" i="27"/>
  <c r="Y337" i="27"/>
  <c r="AA336" i="27"/>
  <c r="Z336" i="27"/>
  <c r="Y336" i="27"/>
  <c r="AA335" i="27"/>
  <c r="Z335" i="27"/>
  <c r="Y335" i="27"/>
  <c r="AA334" i="27"/>
  <c r="Z334" i="27"/>
  <c r="Y334" i="27"/>
  <c r="AA333" i="27"/>
  <c r="Z333" i="27"/>
  <c r="Y333" i="27"/>
  <c r="AA332" i="27"/>
  <c r="Z332" i="27"/>
  <c r="Y332" i="27"/>
  <c r="AA331" i="27"/>
  <c r="Z331" i="27"/>
  <c r="Y331" i="27"/>
  <c r="AA330" i="27"/>
  <c r="Z330" i="27"/>
  <c r="Y330" i="27"/>
  <c r="AA329" i="27"/>
  <c r="Z329" i="27"/>
  <c r="Y329" i="27"/>
  <c r="AA328" i="27"/>
  <c r="Z328" i="27"/>
  <c r="Y328" i="27"/>
  <c r="AA327" i="27"/>
  <c r="Z327" i="27"/>
  <c r="Y327" i="27"/>
  <c r="AA326" i="27"/>
  <c r="Z326" i="27"/>
  <c r="Y326" i="27"/>
  <c r="AA325" i="27"/>
  <c r="Z325" i="27"/>
  <c r="Y325" i="27"/>
  <c r="AA324" i="27"/>
  <c r="Z324" i="27"/>
  <c r="Y324" i="27"/>
  <c r="AA323" i="27"/>
  <c r="Z323" i="27"/>
  <c r="Y323" i="27"/>
  <c r="AA322" i="27"/>
  <c r="Z322" i="27"/>
  <c r="Y322" i="27"/>
  <c r="AA321" i="27"/>
  <c r="Z321" i="27"/>
  <c r="Y321" i="27"/>
  <c r="AA320" i="27"/>
  <c r="Z320" i="27"/>
  <c r="Y320" i="27"/>
  <c r="AA319" i="27"/>
  <c r="Z319" i="27"/>
  <c r="Y319" i="27"/>
  <c r="AA318" i="27"/>
  <c r="Z318" i="27"/>
  <c r="Y318" i="27"/>
  <c r="AA317" i="27"/>
  <c r="Z317" i="27"/>
  <c r="Y317" i="27"/>
  <c r="AA316" i="27"/>
  <c r="Z316" i="27"/>
  <c r="Y316" i="27"/>
  <c r="AA315" i="27"/>
  <c r="Z315" i="27"/>
  <c r="Y315" i="27"/>
  <c r="AA314" i="27"/>
  <c r="Z314" i="27"/>
  <c r="Y314" i="27"/>
  <c r="AA313" i="27"/>
  <c r="Z313" i="27"/>
  <c r="Y313" i="27"/>
  <c r="AA312" i="27"/>
  <c r="Z312" i="27"/>
  <c r="Y312" i="27"/>
  <c r="AA311" i="27"/>
  <c r="Z311" i="27"/>
  <c r="Y311" i="27"/>
  <c r="AA310" i="27"/>
  <c r="Z310" i="27"/>
  <c r="Y310" i="27"/>
  <c r="AA309" i="27"/>
  <c r="Z309" i="27"/>
  <c r="Y309" i="27"/>
  <c r="AA308" i="27"/>
  <c r="Z308" i="27"/>
  <c r="Y308" i="27"/>
  <c r="AA307" i="27"/>
  <c r="Z307" i="27"/>
  <c r="Y307" i="27"/>
  <c r="AA306" i="27"/>
  <c r="Z306" i="27"/>
  <c r="Y306" i="27"/>
  <c r="AA305" i="27"/>
  <c r="Z305" i="27"/>
  <c r="Y305" i="27"/>
  <c r="AA304" i="27"/>
  <c r="Z304" i="27"/>
  <c r="Y304" i="27"/>
  <c r="AA303" i="27"/>
  <c r="Z303" i="27"/>
  <c r="Y303" i="27"/>
  <c r="AA302" i="27"/>
  <c r="Z302" i="27"/>
  <c r="Y302" i="27"/>
  <c r="AA301" i="27"/>
  <c r="Z301" i="27"/>
  <c r="Y301" i="27"/>
  <c r="AA300" i="27"/>
  <c r="Z300" i="27"/>
  <c r="Y300" i="27"/>
  <c r="AA299" i="27"/>
  <c r="Z299" i="27"/>
  <c r="Y299" i="27"/>
  <c r="AA298" i="27"/>
  <c r="Z298" i="27"/>
  <c r="Y298" i="27"/>
  <c r="AA297" i="27"/>
  <c r="Z297" i="27"/>
  <c r="Y297" i="27"/>
  <c r="AA296" i="27"/>
  <c r="Z296" i="27"/>
  <c r="Y296" i="27"/>
  <c r="AA295" i="27"/>
  <c r="Z295" i="27"/>
  <c r="Y295" i="27"/>
  <c r="AA294" i="27"/>
  <c r="Z294" i="27"/>
  <c r="Y294" i="27"/>
  <c r="AA293" i="27"/>
  <c r="Z293" i="27"/>
  <c r="Y293" i="27"/>
  <c r="AA292" i="27"/>
  <c r="Z292" i="27"/>
  <c r="Y292" i="27"/>
  <c r="AA291" i="27"/>
  <c r="Z291" i="27"/>
  <c r="Y291" i="27"/>
  <c r="AA290" i="27"/>
  <c r="Z290" i="27"/>
  <c r="Y290" i="27"/>
  <c r="AA289" i="27"/>
  <c r="Z289" i="27"/>
  <c r="Y289" i="27"/>
  <c r="AA288" i="27"/>
  <c r="Z288" i="27"/>
  <c r="Y288" i="27"/>
  <c r="AA287" i="27"/>
  <c r="Z287" i="27"/>
  <c r="Y287" i="27"/>
  <c r="AA286" i="27"/>
  <c r="Z286" i="27"/>
  <c r="Y286" i="27"/>
  <c r="AA285" i="27"/>
  <c r="Z285" i="27"/>
  <c r="Y285" i="27"/>
  <c r="AA284" i="27"/>
  <c r="Z284" i="27"/>
  <c r="Y284" i="27"/>
  <c r="AA283" i="27"/>
  <c r="Z283" i="27"/>
  <c r="Y283" i="27"/>
  <c r="AA282" i="27"/>
  <c r="Z282" i="27"/>
  <c r="Y282" i="27"/>
  <c r="AA281" i="27"/>
  <c r="Z281" i="27"/>
  <c r="Y281" i="27"/>
  <c r="AA280" i="27"/>
  <c r="Z280" i="27"/>
  <c r="Y280" i="27"/>
  <c r="AA279" i="27"/>
  <c r="Z279" i="27"/>
  <c r="Y279" i="27"/>
  <c r="AA278" i="27"/>
  <c r="Z278" i="27"/>
  <c r="Y278" i="27"/>
  <c r="AA277" i="27"/>
  <c r="Z277" i="27"/>
  <c r="Y277" i="27"/>
  <c r="AA276" i="27"/>
  <c r="Z276" i="27"/>
  <c r="Y276" i="27"/>
  <c r="AA275" i="27"/>
  <c r="Z275" i="27"/>
  <c r="Y275" i="27"/>
  <c r="AA274" i="27"/>
  <c r="Z274" i="27"/>
  <c r="Y274" i="27"/>
  <c r="AA273" i="27"/>
  <c r="Z273" i="27"/>
  <c r="Y273" i="27"/>
  <c r="AA272" i="27"/>
  <c r="Z272" i="27"/>
  <c r="Y272" i="27"/>
  <c r="AA271" i="27"/>
  <c r="Z271" i="27"/>
  <c r="Y271" i="27"/>
  <c r="AA270" i="27"/>
  <c r="Z270" i="27"/>
  <c r="Y270" i="27"/>
  <c r="AA269" i="27"/>
  <c r="Z269" i="27"/>
  <c r="Y269" i="27"/>
  <c r="AA268" i="27"/>
  <c r="Z268" i="27"/>
  <c r="Y268" i="27"/>
  <c r="AA267" i="27"/>
  <c r="Z267" i="27"/>
  <c r="Y267" i="27"/>
  <c r="AA266" i="27"/>
  <c r="Z266" i="27"/>
  <c r="Y266" i="27"/>
  <c r="AA265" i="27"/>
  <c r="Z265" i="27"/>
  <c r="Y265" i="27"/>
  <c r="AA264" i="27"/>
  <c r="Z264" i="27"/>
  <c r="Y264" i="27"/>
  <c r="AA263" i="27"/>
  <c r="Z263" i="27"/>
  <c r="Y263" i="27"/>
  <c r="AA262" i="27"/>
  <c r="Z262" i="27"/>
  <c r="Y262" i="27"/>
  <c r="AA261" i="27"/>
  <c r="Z261" i="27"/>
  <c r="Y261" i="27"/>
  <c r="AA260" i="27"/>
  <c r="Z260" i="27"/>
  <c r="Y260" i="27"/>
  <c r="AA259" i="27"/>
  <c r="Z259" i="27"/>
  <c r="Y259" i="27"/>
  <c r="AA258" i="27"/>
  <c r="Z258" i="27"/>
  <c r="Y258" i="27"/>
  <c r="AA257" i="27"/>
  <c r="Z257" i="27"/>
  <c r="Y257" i="27"/>
  <c r="AA256" i="27"/>
  <c r="Z256" i="27"/>
  <c r="Y256" i="27"/>
  <c r="AA255" i="27"/>
  <c r="Z255" i="27"/>
  <c r="Y255" i="27"/>
  <c r="AA254" i="27"/>
  <c r="Z254" i="27"/>
  <c r="Y254" i="27"/>
  <c r="AA253" i="27"/>
  <c r="Z253" i="27"/>
  <c r="Y253" i="27"/>
  <c r="AA252" i="27"/>
  <c r="Z252" i="27"/>
  <c r="Y252" i="27"/>
  <c r="AA251" i="27"/>
  <c r="Z251" i="27"/>
  <c r="Y251" i="27"/>
  <c r="AA250" i="27"/>
  <c r="Z250" i="27"/>
  <c r="Y250" i="27"/>
  <c r="AA249" i="27"/>
  <c r="Z249" i="27"/>
  <c r="Y249" i="27"/>
  <c r="AA248" i="27"/>
  <c r="Z248" i="27"/>
  <c r="Y248" i="27"/>
  <c r="AA247" i="27"/>
  <c r="Z247" i="27"/>
  <c r="Y247" i="27"/>
  <c r="AA246" i="27"/>
  <c r="Z246" i="27"/>
  <c r="Y246" i="27"/>
  <c r="AA245" i="27"/>
  <c r="Z245" i="27"/>
  <c r="Y245" i="27"/>
  <c r="AA244" i="27"/>
  <c r="Z244" i="27"/>
  <c r="Y244" i="27"/>
  <c r="AA243" i="27"/>
  <c r="Z243" i="27"/>
  <c r="Y243" i="27"/>
  <c r="AA242" i="27"/>
  <c r="Z242" i="27"/>
  <c r="Y242" i="27"/>
  <c r="AA241" i="27"/>
  <c r="Z241" i="27"/>
  <c r="Y241" i="27"/>
  <c r="AA240" i="27"/>
  <c r="Z240" i="27"/>
  <c r="Y240" i="27"/>
  <c r="AA239" i="27"/>
  <c r="Z239" i="27"/>
  <c r="Y239" i="27"/>
  <c r="AA238" i="27"/>
  <c r="Z238" i="27"/>
  <c r="Y238" i="27"/>
  <c r="AA237" i="27"/>
  <c r="Z237" i="27"/>
  <c r="Y237" i="27"/>
  <c r="AA236" i="27"/>
  <c r="Z236" i="27"/>
  <c r="Y236" i="27"/>
  <c r="AA235" i="27"/>
  <c r="Z235" i="27"/>
  <c r="Y235" i="27"/>
  <c r="AA234" i="27"/>
  <c r="Z234" i="27"/>
  <c r="Y234" i="27"/>
  <c r="AA233" i="27"/>
  <c r="Z233" i="27"/>
  <c r="Y233" i="27"/>
  <c r="AA232" i="27"/>
  <c r="Z232" i="27"/>
  <c r="Y232" i="27"/>
  <c r="AA231" i="27"/>
  <c r="Z231" i="27"/>
  <c r="Y231" i="27"/>
  <c r="AA230" i="27"/>
  <c r="Z230" i="27"/>
  <c r="Y230" i="27"/>
  <c r="AA229" i="27"/>
  <c r="Z229" i="27"/>
  <c r="Y229" i="27"/>
  <c r="AA228" i="27"/>
  <c r="Z228" i="27"/>
  <c r="Y228" i="27"/>
  <c r="AA227" i="27"/>
  <c r="Z227" i="27"/>
  <c r="Y227" i="27"/>
  <c r="AA226" i="27"/>
  <c r="Z226" i="27"/>
  <c r="Y226" i="27"/>
  <c r="AA225" i="27"/>
  <c r="Z225" i="27"/>
  <c r="Y225" i="27"/>
  <c r="AA224" i="27"/>
  <c r="Z224" i="27"/>
  <c r="Y224" i="27"/>
  <c r="AA223" i="27"/>
  <c r="Z223" i="27"/>
  <c r="Y223" i="27"/>
  <c r="AA222" i="27"/>
  <c r="Z222" i="27"/>
  <c r="Y222" i="27"/>
  <c r="AA221" i="27"/>
  <c r="Z221" i="27"/>
  <c r="Y221" i="27"/>
  <c r="AA220" i="27"/>
  <c r="Z220" i="27"/>
  <c r="Y220" i="27"/>
  <c r="AA219" i="27"/>
  <c r="Z219" i="27"/>
  <c r="Y219" i="27"/>
  <c r="AA218" i="27"/>
  <c r="Z218" i="27"/>
  <c r="Y218" i="27"/>
  <c r="AA217" i="27"/>
  <c r="Z217" i="27"/>
  <c r="Y217" i="27"/>
  <c r="AA216" i="27"/>
  <c r="Z216" i="27"/>
  <c r="Y216" i="27"/>
  <c r="AA215" i="27"/>
  <c r="Z215" i="27"/>
  <c r="Y215" i="27"/>
  <c r="AA214" i="27"/>
  <c r="Z214" i="27"/>
  <c r="Y214" i="27"/>
  <c r="AA213" i="27"/>
  <c r="Z213" i="27"/>
  <c r="Y213" i="27"/>
  <c r="AA212" i="27"/>
  <c r="Z212" i="27"/>
  <c r="Y212" i="27"/>
  <c r="AA211" i="27"/>
  <c r="Z211" i="27"/>
  <c r="Y211" i="27"/>
  <c r="AA210" i="27"/>
  <c r="Z210" i="27"/>
  <c r="Y210" i="27"/>
  <c r="AA209" i="27"/>
  <c r="Z209" i="27"/>
  <c r="Y209" i="27"/>
  <c r="AA208" i="27"/>
  <c r="Z208" i="27"/>
  <c r="Y208" i="27"/>
  <c r="AA207" i="27"/>
  <c r="Z207" i="27"/>
  <c r="Y207" i="27"/>
  <c r="AA206" i="27"/>
  <c r="Z206" i="27"/>
  <c r="Y206" i="27"/>
  <c r="AA205" i="27"/>
  <c r="Z205" i="27"/>
  <c r="Y205" i="27"/>
  <c r="AA204" i="27"/>
  <c r="Z204" i="27"/>
  <c r="Y204" i="27"/>
  <c r="AA203" i="27"/>
  <c r="Z203" i="27"/>
  <c r="Y203" i="27"/>
  <c r="AA202" i="27"/>
  <c r="Z202" i="27"/>
  <c r="Y202" i="27"/>
  <c r="AA201" i="27"/>
  <c r="Z201" i="27"/>
  <c r="Y201" i="27"/>
  <c r="AA200" i="27"/>
  <c r="Z200" i="27"/>
  <c r="Y200" i="27"/>
  <c r="AA199" i="27"/>
  <c r="Z199" i="27"/>
  <c r="Y199" i="27"/>
  <c r="AA198" i="27"/>
  <c r="Z198" i="27"/>
  <c r="Y198" i="27"/>
  <c r="AA197" i="27"/>
  <c r="Z197" i="27"/>
  <c r="Y197" i="27"/>
  <c r="AA196" i="27"/>
  <c r="Z196" i="27"/>
  <c r="Y196" i="27"/>
  <c r="AA195" i="27"/>
  <c r="Z195" i="27"/>
  <c r="Y195" i="27"/>
  <c r="AA194" i="27"/>
  <c r="Z194" i="27"/>
  <c r="Y194" i="27"/>
  <c r="AA193" i="27"/>
  <c r="Z193" i="27"/>
  <c r="Y193" i="27"/>
  <c r="AA192" i="27"/>
  <c r="Z192" i="27"/>
  <c r="Y192" i="27"/>
  <c r="AA191" i="27"/>
  <c r="Z191" i="27"/>
  <c r="Y191" i="27"/>
  <c r="AA190" i="27"/>
  <c r="Z190" i="27"/>
  <c r="Y190" i="27"/>
  <c r="AA189" i="27"/>
  <c r="Z189" i="27"/>
  <c r="Y189" i="27"/>
  <c r="AA188" i="27"/>
  <c r="Z188" i="27"/>
  <c r="Y188" i="27"/>
  <c r="AA187" i="27"/>
  <c r="Z187" i="27"/>
  <c r="Y187" i="27"/>
  <c r="AA186" i="27"/>
  <c r="Z186" i="27"/>
  <c r="Y186" i="27"/>
  <c r="AA185" i="27"/>
  <c r="Z185" i="27"/>
  <c r="Y185" i="27"/>
  <c r="AA184" i="27"/>
  <c r="Z184" i="27"/>
  <c r="Y184" i="27"/>
  <c r="AA183" i="27"/>
  <c r="Z183" i="27"/>
  <c r="Y183" i="27"/>
  <c r="AA182" i="27"/>
  <c r="Z182" i="27"/>
  <c r="Y182" i="27"/>
  <c r="AA181" i="27"/>
  <c r="Z181" i="27"/>
  <c r="Y181" i="27"/>
  <c r="AA180" i="27"/>
  <c r="Z180" i="27"/>
  <c r="Y180" i="27"/>
  <c r="AA179" i="27"/>
  <c r="Z179" i="27"/>
  <c r="Y179" i="27"/>
  <c r="AA178" i="27"/>
  <c r="Z178" i="27"/>
  <c r="Y178" i="27"/>
  <c r="AA177" i="27"/>
  <c r="Z177" i="27"/>
  <c r="Y177" i="27"/>
  <c r="AA176" i="27"/>
  <c r="Z176" i="27"/>
  <c r="Y176" i="27"/>
  <c r="AA175" i="27"/>
  <c r="Z175" i="27"/>
  <c r="Y175" i="27"/>
  <c r="AA174" i="27"/>
  <c r="Z174" i="27"/>
  <c r="Y174" i="27"/>
  <c r="AA173" i="27"/>
  <c r="Z173" i="27"/>
  <c r="Y173" i="27"/>
  <c r="AA172" i="27"/>
  <c r="Z172" i="27"/>
  <c r="Y172" i="27"/>
  <c r="AA171" i="27"/>
  <c r="Z171" i="27"/>
  <c r="Y171" i="27"/>
  <c r="AA170" i="27"/>
  <c r="Z170" i="27"/>
  <c r="Y170" i="27"/>
  <c r="AA169" i="27"/>
  <c r="Z169" i="27"/>
  <c r="Y169" i="27"/>
  <c r="AA168" i="27"/>
  <c r="Z168" i="27"/>
  <c r="Y168" i="27"/>
  <c r="AA167" i="27"/>
  <c r="Z167" i="27"/>
  <c r="Y167" i="27"/>
  <c r="AA166" i="27"/>
  <c r="Z166" i="27"/>
  <c r="Y166" i="27"/>
  <c r="AA165" i="27"/>
  <c r="Z165" i="27"/>
  <c r="Y165" i="27"/>
  <c r="AA164" i="27"/>
  <c r="Z164" i="27"/>
  <c r="Y164" i="27"/>
  <c r="AA163" i="27"/>
  <c r="Z163" i="27"/>
  <c r="Y163" i="27"/>
  <c r="AA162" i="27"/>
  <c r="Z162" i="27"/>
  <c r="Y162" i="27"/>
  <c r="AA161" i="27"/>
  <c r="Z161" i="27"/>
  <c r="Y161" i="27"/>
  <c r="AA160" i="27"/>
  <c r="Z160" i="27"/>
  <c r="Y160" i="27"/>
  <c r="AA159" i="27"/>
  <c r="Z159" i="27"/>
  <c r="Y159" i="27"/>
  <c r="AA158" i="27"/>
  <c r="Z158" i="27"/>
  <c r="Y158" i="27"/>
  <c r="AA157" i="27"/>
  <c r="Z157" i="27"/>
  <c r="Y157" i="27"/>
  <c r="AA156" i="27"/>
  <c r="Z156" i="27"/>
  <c r="Y156" i="27"/>
  <c r="AA155" i="27"/>
  <c r="Z155" i="27"/>
  <c r="Y155" i="27"/>
  <c r="AA154" i="27"/>
  <c r="Z154" i="27"/>
  <c r="Y154" i="27"/>
  <c r="AA153" i="27"/>
  <c r="Z153" i="27"/>
  <c r="Y153" i="27"/>
  <c r="AA152" i="27"/>
  <c r="Z152" i="27"/>
  <c r="Y152" i="27"/>
  <c r="AA151" i="27"/>
  <c r="Z151" i="27"/>
  <c r="Y151" i="27"/>
  <c r="AA150" i="27"/>
  <c r="Z150" i="27"/>
  <c r="Y150" i="27"/>
  <c r="AA149" i="27"/>
  <c r="Z149" i="27"/>
  <c r="Y149" i="27"/>
  <c r="AA148" i="27"/>
  <c r="Z148" i="27"/>
  <c r="Y148" i="27"/>
  <c r="AA147" i="27"/>
  <c r="Z147" i="27"/>
  <c r="Y147" i="27"/>
  <c r="AA146" i="27"/>
  <c r="Z146" i="27"/>
  <c r="Y146" i="27"/>
  <c r="AA145" i="27"/>
  <c r="Z145" i="27"/>
  <c r="Y145" i="27"/>
  <c r="AA144" i="27"/>
  <c r="Z144" i="27"/>
  <c r="Y144" i="27"/>
  <c r="AA143" i="27"/>
  <c r="Z143" i="27"/>
  <c r="Y143" i="27"/>
  <c r="AA142" i="27"/>
  <c r="Z142" i="27"/>
  <c r="Y142" i="27"/>
  <c r="AA141" i="27"/>
  <c r="Z141" i="27"/>
  <c r="Y141" i="27"/>
  <c r="AA140" i="27"/>
  <c r="Z140" i="27"/>
  <c r="Y140" i="27"/>
  <c r="AA139" i="27"/>
  <c r="Z139" i="27"/>
  <c r="Y139" i="27"/>
  <c r="AA138" i="27"/>
  <c r="Z138" i="27"/>
  <c r="Y138" i="27"/>
  <c r="AA137" i="27"/>
  <c r="Z137" i="27"/>
  <c r="Y137" i="27"/>
  <c r="AA136" i="27"/>
  <c r="Z136" i="27"/>
  <c r="Y136" i="27"/>
  <c r="AA135" i="27"/>
  <c r="Z135" i="27"/>
  <c r="Y135" i="27"/>
  <c r="AA134" i="27"/>
  <c r="Z134" i="27"/>
  <c r="Y134" i="27"/>
  <c r="AA133" i="27"/>
  <c r="Z133" i="27"/>
  <c r="Y133" i="27"/>
  <c r="AA132" i="27"/>
  <c r="Z132" i="27"/>
  <c r="Y132" i="27"/>
  <c r="AA131" i="27"/>
  <c r="Z131" i="27"/>
  <c r="Y131" i="27"/>
  <c r="AA130" i="27"/>
  <c r="Z130" i="27"/>
  <c r="Y130" i="27"/>
  <c r="AA129" i="27"/>
  <c r="Z129" i="27"/>
  <c r="Y129" i="27"/>
  <c r="AA128" i="27"/>
  <c r="Z128" i="27"/>
  <c r="Y128" i="27"/>
  <c r="AA127" i="27"/>
  <c r="Z127" i="27"/>
  <c r="Y127" i="27"/>
  <c r="AA126" i="27"/>
  <c r="Z126" i="27"/>
  <c r="Y126" i="27"/>
  <c r="AA125" i="27"/>
  <c r="Z125" i="27"/>
  <c r="Y125" i="27"/>
  <c r="AA124" i="27"/>
  <c r="Z124" i="27"/>
  <c r="Y124" i="27"/>
  <c r="AA123" i="27"/>
  <c r="Z123" i="27"/>
  <c r="Y123" i="27"/>
  <c r="AA122" i="27"/>
  <c r="Z122" i="27"/>
  <c r="Y122" i="27"/>
  <c r="AA121" i="27"/>
  <c r="Z121" i="27"/>
  <c r="Y121" i="27"/>
  <c r="AA120" i="27"/>
  <c r="Z120" i="27"/>
  <c r="Y120" i="27"/>
  <c r="AA119" i="27"/>
  <c r="Z119" i="27"/>
  <c r="Y119" i="27"/>
  <c r="AA118" i="27"/>
  <c r="Z118" i="27"/>
  <c r="Y118" i="27"/>
  <c r="AA117" i="27"/>
  <c r="Z117" i="27"/>
  <c r="Y117" i="27"/>
  <c r="AA116" i="27"/>
  <c r="Z116" i="27"/>
  <c r="Y116" i="27"/>
  <c r="AA115" i="27"/>
  <c r="Z115" i="27"/>
  <c r="Y115" i="27"/>
  <c r="AA114" i="27"/>
  <c r="Z114" i="27"/>
  <c r="Y114" i="27"/>
  <c r="AA113" i="27"/>
  <c r="Z113" i="27"/>
  <c r="Y113" i="27"/>
  <c r="AA112" i="27"/>
  <c r="Z112" i="27"/>
  <c r="Y112" i="27"/>
  <c r="AA111" i="27"/>
  <c r="Z111" i="27"/>
  <c r="Y111" i="27"/>
  <c r="AA110" i="27"/>
  <c r="Z110" i="27"/>
  <c r="Y110" i="27"/>
  <c r="AA109" i="27"/>
  <c r="Z109" i="27"/>
  <c r="Y109" i="27"/>
  <c r="AA108" i="27"/>
  <c r="Z108" i="27"/>
  <c r="Y108" i="27"/>
  <c r="AA107" i="27"/>
  <c r="Z107" i="27"/>
  <c r="Y107" i="27"/>
  <c r="AA106" i="27"/>
  <c r="Z106" i="27"/>
  <c r="Y106" i="27"/>
  <c r="AA105" i="27"/>
  <c r="Z105" i="27"/>
  <c r="Y105" i="27"/>
  <c r="AA104" i="27"/>
  <c r="Z104" i="27"/>
  <c r="Y104" i="27"/>
  <c r="AA103" i="27"/>
  <c r="Z103" i="27"/>
  <c r="Y103" i="27"/>
  <c r="AA102" i="27"/>
  <c r="Z102" i="27"/>
  <c r="Y102" i="27"/>
  <c r="AA101" i="27"/>
  <c r="Z101" i="27"/>
  <c r="Y101" i="27"/>
  <c r="AA100" i="27"/>
  <c r="Z100" i="27"/>
  <c r="Y100" i="27"/>
  <c r="AA99" i="27"/>
  <c r="Z99" i="27"/>
  <c r="Y99" i="27"/>
  <c r="AA98" i="27"/>
  <c r="Z98" i="27"/>
  <c r="Y98" i="27"/>
  <c r="AA97" i="27"/>
  <c r="Z97" i="27"/>
  <c r="Y97" i="27"/>
  <c r="AA96" i="27"/>
  <c r="Z96" i="27"/>
  <c r="Y96" i="27"/>
  <c r="AA95" i="27"/>
  <c r="Z95" i="27"/>
  <c r="Y95" i="27"/>
  <c r="AA94" i="27"/>
  <c r="Z94" i="27"/>
  <c r="Y94" i="27"/>
  <c r="AA93" i="27"/>
  <c r="Z93" i="27"/>
  <c r="Y93" i="27"/>
  <c r="AA92" i="27"/>
  <c r="Z92" i="27"/>
  <c r="Y92" i="27"/>
  <c r="AA91" i="27"/>
  <c r="Z91" i="27"/>
  <c r="Y91" i="27"/>
  <c r="AA90" i="27"/>
  <c r="Z90" i="27"/>
  <c r="Y90" i="27"/>
  <c r="AA89" i="27"/>
  <c r="Z89" i="27"/>
  <c r="Y89" i="27"/>
  <c r="AA88" i="27"/>
  <c r="Z88" i="27"/>
  <c r="Y88" i="27"/>
  <c r="AA87" i="27"/>
  <c r="Z87" i="27"/>
  <c r="Y87" i="27"/>
  <c r="AA86" i="27"/>
  <c r="Z86" i="27"/>
  <c r="Y86" i="27"/>
  <c r="AA81" i="27"/>
  <c r="Z81" i="27"/>
  <c r="Y81" i="27"/>
  <c r="AA79" i="27"/>
  <c r="Z79" i="27"/>
  <c r="Y79" i="27"/>
  <c r="AA77" i="27"/>
  <c r="Z77" i="27"/>
  <c r="Y77" i="27"/>
  <c r="AA69" i="27"/>
  <c r="Z69" i="27"/>
  <c r="Y69" i="27"/>
  <c r="AA67" i="27"/>
  <c r="Z67" i="27"/>
  <c r="Y67" i="27"/>
  <c r="AA66" i="27"/>
  <c r="Z66" i="27"/>
  <c r="Y66" i="27"/>
  <c r="AA65" i="27"/>
  <c r="Z65" i="27"/>
  <c r="Y65" i="27"/>
  <c r="AA64" i="27"/>
  <c r="Z64" i="27"/>
  <c r="Y64" i="27"/>
  <c r="AA63" i="27"/>
  <c r="Z63" i="27"/>
  <c r="Y63" i="27"/>
  <c r="AA62" i="27"/>
  <c r="Z62" i="27"/>
  <c r="Y62" i="27"/>
  <c r="AA61" i="27"/>
  <c r="Z61" i="27"/>
  <c r="Y61" i="27"/>
  <c r="AA60" i="27"/>
  <c r="Z60" i="27"/>
  <c r="Y60" i="27"/>
  <c r="AA59" i="27"/>
  <c r="Z59" i="27"/>
  <c r="Y59" i="27"/>
  <c r="AA58" i="27"/>
  <c r="Z58" i="27"/>
  <c r="Y58" i="27"/>
  <c r="AA57" i="27"/>
  <c r="Z57" i="27"/>
  <c r="Y57" i="27"/>
  <c r="AA56" i="27"/>
  <c r="Z56" i="27"/>
  <c r="Y56" i="27"/>
  <c r="AA55" i="27"/>
  <c r="Z55" i="27"/>
  <c r="Y55" i="27"/>
  <c r="AA54" i="27"/>
  <c r="Z54" i="27"/>
  <c r="Y54" i="27"/>
  <c r="AA53" i="27"/>
  <c r="Z53" i="27"/>
  <c r="Y53" i="27"/>
  <c r="AA49" i="27"/>
  <c r="Z49" i="27"/>
  <c r="Y49" i="27"/>
  <c r="AA48" i="27"/>
  <c r="Z48" i="27"/>
  <c r="Y48" i="27"/>
  <c r="AA47" i="27"/>
  <c r="Z47" i="27"/>
  <c r="Y47" i="27"/>
  <c r="AA46" i="27"/>
  <c r="Z46" i="27"/>
  <c r="Y46" i="27"/>
  <c r="AA45" i="27"/>
  <c r="Z45" i="27"/>
  <c r="Y45" i="27"/>
  <c r="AA44" i="27"/>
  <c r="Z44" i="27"/>
  <c r="Y44" i="27"/>
  <c r="AA43" i="27"/>
  <c r="Z43" i="27"/>
  <c r="Y43" i="27"/>
  <c r="AA42" i="27"/>
  <c r="Z42" i="27"/>
  <c r="Y42" i="27"/>
  <c r="AA41" i="27"/>
  <c r="Z41" i="27"/>
  <c r="Y41" i="27"/>
  <c r="AA40" i="27"/>
  <c r="Z40" i="27"/>
  <c r="Y40" i="27"/>
  <c r="AA39" i="27"/>
  <c r="Z39" i="27"/>
  <c r="Y39" i="27"/>
  <c r="AA38" i="27"/>
  <c r="Z38" i="27"/>
  <c r="Y38" i="27"/>
  <c r="AA37" i="27"/>
  <c r="Z37" i="27"/>
  <c r="Y37" i="27"/>
  <c r="AA36" i="27"/>
  <c r="Z36" i="27"/>
  <c r="Y36" i="27"/>
  <c r="AA35" i="27"/>
  <c r="Z35" i="27"/>
  <c r="Y35" i="27"/>
  <c r="AA34" i="27"/>
  <c r="Z34" i="27"/>
  <c r="Y34" i="27"/>
  <c r="AA33" i="27"/>
  <c r="Z33" i="27"/>
  <c r="Y33" i="27"/>
  <c r="AA32" i="27"/>
  <c r="Z32" i="27"/>
  <c r="Y32" i="27"/>
  <c r="AA31" i="27"/>
  <c r="Z31" i="27"/>
  <c r="Y31" i="27"/>
  <c r="AA30" i="27"/>
  <c r="Z30" i="27"/>
  <c r="Y30" i="27"/>
  <c r="AA29" i="27"/>
  <c r="Z29" i="27"/>
  <c r="Y29" i="27"/>
  <c r="AA28" i="27"/>
  <c r="Z28" i="27"/>
  <c r="Y28" i="27"/>
  <c r="AA27" i="27"/>
  <c r="Z27" i="27"/>
  <c r="Y27" i="27"/>
  <c r="AA25" i="27"/>
  <c r="Z25" i="27"/>
  <c r="Y25" i="27"/>
  <c r="AA24" i="27"/>
  <c r="Z24" i="27"/>
  <c r="Y24" i="27"/>
  <c r="AA23" i="27"/>
  <c r="Z23" i="27"/>
  <c r="Y23" i="27"/>
  <c r="AA22" i="27"/>
  <c r="Z22" i="27"/>
  <c r="Y22" i="27"/>
  <c r="AA21" i="27"/>
  <c r="Z21" i="27"/>
  <c r="Y21" i="27"/>
  <c r="AA20" i="27"/>
  <c r="Z20" i="27"/>
  <c r="Y20" i="27"/>
  <c r="AA19" i="27"/>
  <c r="Z19" i="27"/>
  <c r="Y19" i="27"/>
  <c r="AA16" i="27"/>
  <c r="Z16" i="27"/>
  <c r="Y16" i="27"/>
  <c r="AA15" i="27"/>
  <c r="Z15" i="27"/>
  <c r="Y15" i="27"/>
  <c r="AA13" i="27"/>
  <c r="Z13" i="27"/>
  <c r="Y13" i="27"/>
  <c r="AA10" i="27"/>
  <c r="Z10" i="27"/>
  <c r="Y10" i="27"/>
  <c r="AA8" i="27"/>
  <c r="Z8" i="27"/>
  <c r="Y8" i="27"/>
  <c r="AA7" i="27"/>
  <c r="Z7" i="27"/>
  <c r="Y7" i="27"/>
  <c r="AA6" i="27"/>
  <c r="Z6" i="27"/>
  <c r="Y6" i="27"/>
  <c r="AA5" i="27"/>
  <c r="Z5" i="27"/>
  <c r="Y5" i="27"/>
  <c r="AA4" i="27"/>
  <c r="Z4" i="27"/>
  <c r="Y4" i="27"/>
  <c r="Q459" i="27" l="1"/>
  <c r="R459" i="27"/>
  <c r="H42" i="17" l="1"/>
  <c r="O19" i="17" l="1"/>
  <c r="O18" i="17"/>
  <c r="L6" i="25" l="1"/>
  <c r="M6" i="25"/>
  <c r="N6" i="25"/>
  <c r="K6" i="25"/>
  <c r="K7" i="25"/>
  <c r="L7" i="25"/>
  <c r="M7" i="25"/>
  <c r="N7" i="25"/>
  <c r="K8" i="25"/>
  <c r="L8" i="25"/>
  <c r="M8" i="25"/>
  <c r="N8" i="25"/>
  <c r="K9" i="25"/>
  <c r="L9" i="25"/>
  <c r="M9" i="25"/>
  <c r="N9" i="25"/>
  <c r="K10" i="25"/>
  <c r="L10" i="25"/>
  <c r="M10" i="25"/>
  <c r="N10" i="25"/>
  <c r="K11" i="25"/>
  <c r="L11" i="25"/>
  <c r="M11" i="25"/>
  <c r="N11" i="25"/>
  <c r="K12" i="25"/>
  <c r="L12" i="25"/>
  <c r="M12" i="25"/>
  <c r="N12" i="25"/>
  <c r="K13" i="25"/>
  <c r="L13" i="25"/>
  <c r="M13" i="25"/>
  <c r="N13" i="25"/>
  <c r="K14" i="25"/>
  <c r="L14" i="25"/>
  <c r="M14" i="25"/>
  <c r="N14" i="25"/>
  <c r="K15" i="25"/>
  <c r="L15" i="25"/>
  <c r="M15" i="25"/>
  <c r="N15" i="25"/>
  <c r="K16" i="25"/>
  <c r="L16" i="25"/>
  <c r="M16" i="25"/>
  <c r="N16" i="25"/>
  <c r="K17" i="25"/>
  <c r="L17" i="25"/>
  <c r="M17" i="25"/>
  <c r="N17" i="25"/>
  <c r="K18" i="25"/>
  <c r="L18" i="25"/>
  <c r="M18" i="25"/>
  <c r="N18" i="25"/>
  <c r="K19" i="25"/>
  <c r="L19" i="25"/>
  <c r="M19" i="25"/>
  <c r="N19" i="25"/>
  <c r="K20" i="25"/>
  <c r="L20" i="25"/>
  <c r="M20" i="25"/>
  <c r="N20" i="25"/>
  <c r="K21" i="25"/>
  <c r="L21" i="25"/>
  <c r="M21" i="25"/>
  <c r="N21" i="25"/>
  <c r="K22" i="25"/>
  <c r="L22" i="25"/>
  <c r="M22" i="25"/>
  <c r="N22" i="25"/>
  <c r="K23" i="25"/>
  <c r="L23" i="25"/>
  <c r="M23" i="25"/>
  <c r="N23" i="25"/>
  <c r="K24" i="25"/>
  <c r="L24" i="25"/>
  <c r="M24" i="25"/>
  <c r="N24" i="25"/>
  <c r="K25" i="25"/>
  <c r="L25" i="25"/>
  <c r="M25" i="25"/>
  <c r="N25" i="25"/>
  <c r="K26" i="25"/>
  <c r="L26" i="25"/>
  <c r="M26" i="25"/>
  <c r="N26" i="25"/>
  <c r="K27" i="25"/>
  <c r="L27" i="25"/>
  <c r="M27" i="25"/>
  <c r="N27" i="25"/>
  <c r="K28" i="25"/>
  <c r="L28" i="25"/>
  <c r="M28" i="25"/>
  <c r="N28" i="25"/>
  <c r="K29" i="25"/>
  <c r="L29" i="25"/>
  <c r="M29" i="25"/>
  <c r="N29" i="25"/>
  <c r="K30" i="25"/>
  <c r="L30" i="25"/>
  <c r="M30" i="25"/>
  <c r="N30" i="25"/>
  <c r="K31" i="25"/>
  <c r="L31" i="25"/>
  <c r="M31" i="25"/>
  <c r="N31" i="25"/>
  <c r="K32" i="25"/>
  <c r="L32" i="25"/>
  <c r="M32" i="25"/>
  <c r="N32" i="25"/>
  <c r="K33" i="25"/>
  <c r="L33" i="25"/>
  <c r="M33" i="25"/>
  <c r="N33" i="25"/>
  <c r="K34" i="25"/>
  <c r="L34" i="25"/>
  <c r="M34" i="25"/>
  <c r="N34" i="25"/>
  <c r="K35" i="25"/>
  <c r="L35" i="25"/>
  <c r="M35" i="25"/>
  <c r="N35" i="25"/>
  <c r="K36" i="25"/>
  <c r="L36" i="25"/>
  <c r="M36" i="25"/>
  <c r="N36" i="25"/>
  <c r="K37" i="25"/>
  <c r="L37" i="25"/>
  <c r="M37" i="25"/>
  <c r="N37" i="25"/>
  <c r="K38" i="25"/>
  <c r="L38" i="25"/>
  <c r="M38" i="25"/>
  <c r="N38" i="25"/>
  <c r="K39" i="25"/>
  <c r="L39" i="25"/>
  <c r="M39" i="25"/>
  <c r="N39" i="25"/>
  <c r="K40" i="25"/>
  <c r="L40" i="25"/>
  <c r="M40" i="25"/>
  <c r="N40" i="25"/>
  <c r="K41" i="25"/>
  <c r="L41" i="25"/>
  <c r="M41" i="25"/>
  <c r="N41" i="25"/>
  <c r="K42" i="25"/>
  <c r="L42" i="25"/>
  <c r="M42" i="25"/>
  <c r="N42" i="25"/>
  <c r="K43" i="25"/>
  <c r="L43" i="25"/>
  <c r="M43" i="25"/>
  <c r="N43" i="25"/>
  <c r="F7" i="25"/>
  <c r="F8" i="25"/>
  <c r="F9" i="25"/>
  <c r="F12" i="25"/>
  <c r="F13" i="25"/>
  <c r="F14" i="25"/>
  <c r="F15" i="25"/>
  <c r="F17" i="25"/>
  <c r="F22" i="25"/>
  <c r="F24" i="25"/>
  <c r="F26" i="25"/>
  <c r="F29" i="25"/>
  <c r="F30" i="25"/>
  <c r="F34" i="25"/>
  <c r="F36" i="25"/>
  <c r="F37" i="25"/>
  <c r="F39" i="25"/>
  <c r="E17" i="25"/>
  <c r="B3" i="25"/>
  <c r="J8" i="25" l="1"/>
  <c r="J7" i="25"/>
  <c r="J11" i="25"/>
  <c r="J13" i="25"/>
  <c r="J23" i="25"/>
  <c r="J10" i="25"/>
  <c r="J41" i="25"/>
  <c r="J29" i="25"/>
  <c r="J25" i="25"/>
  <c r="J21" i="25"/>
  <c r="J9" i="25"/>
  <c r="J15" i="25"/>
  <c r="J12" i="25"/>
  <c r="J34" i="25"/>
  <c r="J14" i="25"/>
  <c r="J37" i="25"/>
  <c r="J33" i="25"/>
  <c r="J30" i="25"/>
  <c r="J19" i="25"/>
  <c r="J26" i="25"/>
  <c r="J22" i="25"/>
  <c r="J39" i="25"/>
  <c r="J35" i="25"/>
  <c r="J31" i="25"/>
  <c r="J27" i="25"/>
  <c r="J43" i="25"/>
  <c r="J42" i="25"/>
  <c r="J40" i="25"/>
  <c r="J38" i="25"/>
  <c r="J36" i="25"/>
  <c r="J32" i="25"/>
  <c r="J28" i="25"/>
  <c r="J24" i="25"/>
  <c r="AA9" i="25"/>
  <c r="Y9" i="25"/>
  <c r="W9" i="25"/>
  <c r="U8" i="25"/>
  <c r="W8" i="25"/>
  <c r="J20" i="25"/>
  <c r="M44" i="25"/>
  <c r="N44" i="25"/>
  <c r="Y8" i="25"/>
  <c r="J6" i="25"/>
  <c r="U9" i="25"/>
  <c r="J18" i="25"/>
  <c r="AA8" i="25"/>
  <c r="K44" i="25"/>
  <c r="L44" i="25"/>
  <c r="E5" i="17"/>
  <c r="E12" i="17"/>
  <c r="E39" i="17"/>
  <c r="E19" i="17"/>
  <c r="E21" i="17"/>
  <c r="E33" i="17"/>
  <c r="E31" i="17"/>
  <c r="E22" i="17"/>
  <c r="E36" i="17"/>
  <c r="E29" i="17"/>
  <c r="E37" i="17"/>
  <c r="E9" i="17"/>
  <c r="E34" i="17"/>
  <c r="E30" i="17"/>
  <c r="E11" i="17"/>
  <c r="E7" i="17"/>
  <c r="E8" i="17"/>
  <c r="E28" i="17"/>
  <c r="E10" i="17"/>
  <c r="E16" i="17"/>
  <c r="E6" i="17"/>
  <c r="E18" i="17"/>
  <c r="E17" i="17"/>
  <c r="E24" i="17"/>
  <c r="E26" i="17"/>
  <c r="E23" i="17"/>
  <c r="E32" i="17"/>
  <c r="E25" i="17"/>
  <c r="E15" i="17"/>
  <c r="E13" i="17"/>
  <c r="E20" i="17"/>
  <c r="E41" i="17"/>
  <c r="E27" i="17"/>
  <c r="E35" i="17"/>
  <c r="E14" i="17"/>
  <c r="T8" i="25" l="1"/>
  <c r="Z8" i="25" s="1"/>
  <c r="T9" i="25"/>
  <c r="V9" i="25" s="1"/>
  <c r="X42" i="17"/>
  <c r="AC36" i="1"/>
  <c r="F11" i="25"/>
  <c r="AE36" i="1"/>
  <c r="E29" i="25"/>
  <c r="AD36" i="1"/>
  <c r="F16" i="25" l="1"/>
  <c r="E16" i="25"/>
  <c r="AB8" i="25"/>
  <c r="X8" i="25"/>
  <c r="V8" i="25"/>
  <c r="F27" i="25"/>
  <c r="F35" i="25"/>
  <c r="F23" i="25"/>
  <c r="F18" i="25"/>
  <c r="AB9" i="25"/>
  <c r="X9" i="25"/>
  <c r="Z9" i="25"/>
  <c r="F43" i="25"/>
  <c r="F32" i="25"/>
  <c r="F40" i="25"/>
  <c r="F19" i="25"/>
  <c r="F10" i="25"/>
  <c r="F28" i="25"/>
  <c r="F31" i="25"/>
  <c r="F21" i="25"/>
  <c r="F41" i="25"/>
  <c r="F25" i="25"/>
  <c r="F20" i="25"/>
  <c r="E33" i="25"/>
  <c r="F33" i="25"/>
  <c r="E42" i="25"/>
  <c r="F42" i="25"/>
  <c r="F38" i="25"/>
  <c r="E8" i="25"/>
  <c r="E37" i="25"/>
  <c r="E14" i="25"/>
  <c r="E26" i="25"/>
  <c r="E9" i="25"/>
  <c r="E32" i="25"/>
  <c r="E40" i="25"/>
  <c r="E19" i="25"/>
  <c r="E31" i="25"/>
  <c r="E12" i="25"/>
  <c r="E25" i="25"/>
  <c r="E13" i="25"/>
  <c r="E30" i="25"/>
  <c r="E23" i="25"/>
  <c r="E21" i="25"/>
  <c r="E41" i="25"/>
  <c r="E27" i="25"/>
  <c r="E43" i="25"/>
  <c r="E35" i="25"/>
  <c r="E20" i="25"/>
  <c r="E24" i="25"/>
  <c r="E39" i="25"/>
  <c r="E11" i="25"/>
  <c r="E18" i="25"/>
  <c r="E15" i="25"/>
  <c r="E36" i="25"/>
  <c r="E28" i="25"/>
  <c r="E22" i="25"/>
  <c r="E38" i="25"/>
  <c r="E34" i="25"/>
  <c r="E7" i="25"/>
  <c r="E10" i="25"/>
  <c r="F6" i="25"/>
  <c r="E6" i="25"/>
  <c r="S544" i="1"/>
  <c r="F42" i="17" l="1"/>
  <c r="E8" i="20"/>
  <c r="E7" i="20"/>
  <c r="T34" i="17" l="1"/>
  <c r="T5" i="17"/>
  <c r="T24" i="17"/>
  <c r="T12" i="17"/>
  <c r="S40" i="17"/>
  <c r="S41" i="17"/>
  <c r="S10" i="17"/>
  <c r="S26" i="17"/>
  <c r="S30" i="17"/>
  <c r="S6" i="17"/>
  <c r="S36" i="17"/>
  <c r="S15" i="17"/>
  <c r="S8" i="17"/>
  <c r="S33" i="17"/>
  <c r="S32" i="17"/>
  <c r="S29" i="17"/>
  <c r="S37" i="17"/>
  <c r="S34" i="17"/>
  <c r="S16" i="17"/>
  <c r="T35" i="17"/>
  <c r="S21" i="17"/>
  <c r="S7" i="17"/>
  <c r="S9" i="17"/>
  <c r="S13" i="17"/>
  <c r="S25" i="17"/>
  <c r="S11" i="17"/>
  <c r="S14" i="17"/>
  <c r="S12" i="17"/>
  <c r="S28" i="17"/>
  <c r="T15" i="17"/>
  <c r="S35" i="17"/>
  <c r="S27" i="17"/>
  <c r="T6" i="17"/>
  <c r="S39" i="17"/>
  <c r="S23" i="17"/>
  <c r="S19" i="17"/>
  <c r="S31" i="17"/>
  <c r="S22" i="17"/>
  <c r="T41" i="17"/>
  <c r="S20" i="17"/>
  <c r="T40" i="17"/>
  <c r="S17" i="17"/>
  <c r="S18" i="17"/>
  <c r="T30" i="17"/>
  <c r="S24" i="17"/>
  <c r="T27" i="17"/>
  <c r="T14" i="17"/>
  <c r="T8" i="17"/>
  <c r="T22" i="17"/>
  <c r="T28" i="17"/>
  <c r="T21" i="17"/>
  <c r="T31" i="17"/>
  <c r="T19" i="17"/>
  <c r="T17" i="17"/>
  <c r="T16" i="17"/>
  <c r="T36" i="17"/>
  <c r="T20" i="17"/>
  <c r="T33" i="17"/>
  <c r="T32" i="17"/>
  <c r="T10" i="17"/>
  <c r="T18" i="17"/>
  <c r="T25" i="17"/>
  <c r="T37" i="17"/>
  <c r="T9" i="17"/>
  <c r="T23" i="17"/>
  <c r="T7" i="17"/>
  <c r="T11" i="17"/>
  <c r="T13" i="17"/>
  <c r="T29" i="17"/>
  <c r="T26" i="17"/>
  <c r="T39" i="17"/>
  <c r="F8" i="20"/>
  <c r="F7" i="20"/>
  <c r="Y34" i="17" l="1"/>
  <c r="Y35" i="17"/>
  <c r="Y12" i="17"/>
  <c r="Y24" i="17"/>
  <c r="Y27" i="17"/>
  <c r="Y29" i="17"/>
  <c r="Y32" i="17"/>
  <c r="Y14" i="17"/>
  <c r="Y17" i="17"/>
  <c r="Y11" i="17"/>
  <c r="Y16" i="17"/>
  <c r="Y39" i="17"/>
  <c r="Y28" i="17"/>
  <c r="Y8" i="17"/>
  <c r="Y33" i="17"/>
  <c r="Y15" i="17"/>
  <c r="Y18" i="17"/>
  <c r="Y36" i="17"/>
  <c r="Y6" i="17"/>
  <c r="Y25" i="17"/>
  <c r="Y30" i="17"/>
  <c r="Y20" i="17"/>
  <c r="Y13" i="17"/>
  <c r="Y26" i="17"/>
  <c r="Y9" i="17"/>
  <c r="Y10" i="17"/>
  <c r="Y22" i="17"/>
  <c r="Y7" i="17"/>
  <c r="Y41" i="17"/>
  <c r="Y31" i="17"/>
  <c r="Y21" i="17"/>
  <c r="Y40" i="17"/>
  <c r="Y19" i="17"/>
  <c r="Y23" i="17"/>
  <c r="Y37" i="17"/>
  <c r="AB544" i="1"/>
  <c r="O39" i="17" l="1"/>
  <c r="P39" i="17" s="1"/>
  <c r="Q39" i="17" s="1"/>
  <c r="O20" i="17"/>
  <c r="P20" i="17" s="1"/>
  <c r="Q20" i="17" s="1"/>
  <c r="O28" i="17"/>
  <c r="P28" i="17" s="1"/>
  <c r="Q28" i="17" s="1"/>
  <c r="O26" i="17"/>
  <c r="P26" i="17" s="1"/>
  <c r="Q26" i="17" s="1"/>
  <c r="O24" i="17"/>
  <c r="P24" i="17" s="1"/>
  <c r="Q24" i="17" s="1"/>
  <c r="O16" i="17"/>
  <c r="P16" i="17" s="1"/>
  <c r="Q16" i="17" s="1"/>
  <c r="O27" i="17"/>
  <c r="P27" i="17" s="1"/>
  <c r="Q27" i="17" s="1"/>
  <c r="O8" i="17"/>
  <c r="P8" i="17" s="1"/>
  <c r="Q8" i="17" s="1"/>
  <c r="O33" i="17"/>
  <c r="P33" i="17" s="1"/>
  <c r="Q33" i="17" s="1"/>
  <c r="O40" i="17"/>
  <c r="P40" i="17" s="1"/>
  <c r="Q40" i="17" s="1"/>
  <c r="O21" i="17"/>
  <c r="P21" i="17" s="1"/>
  <c r="Q21" i="17" s="1"/>
  <c r="P19" i="17"/>
  <c r="Q19" i="17" s="1"/>
  <c r="O41" i="17"/>
  <c r="P41" i="17" s="1"/>
  <c r="Q41" i="17" s="1"/>
  <c r="O32" i="17"/>
  <c r="P32" i="17" s="1"/>
  <c r="Q32" i="17" s="1"/>
  <c r="O14" i="17"/>
  <c r="P14" i="17" s="1"/>
  <c r="Q14" i="17" s="1"/>
  <c r="O25" i="17"/>
  <c r="P25" i="17" s="1"/>
  <c r="Q25" i="17" s="1"/>
  <c r="O15" i="17"/>
  <c r="P15" i="17" s="1"/>
  <c r="Q15" i="17" s="1"/>
  <c r="O11" i="17"/>
  <c r="P11" i="17" s="1"/>
  <c r="Q11" i="17" s="1"/>
  <c r="O5" i="17"/>
  <c r="P5" i="17" s="1"/>
  <c r="Q5" i="17" s="1"/>
  <c r="O30" i="17"/>
  <c r="P30" i="17" s="1"/>
  <c r="Q30" i="17" s="1"/>
  <c r="O34" i="17"/>
  <c r="O6" i="17"/>
  <c r="P6" i="17" s="1"/>
  <c r="Q6" i="17" s="1"/>
  <c r="O10" i="17"/>
  <c r="P10" i="17" s="1"/>
  <c r="Q10" i="17" s="1"/>
  <c r="O9" i="17"/>
  <c r="P9" i="17" s="1"/>
  <c r="Q9" i="17" s="1"/>
  <c r="O23" i="17"/>
  <c r="P23" i="17" s="1"/>
  <c r="Q23" i="17" s="1"/>
  <c r="O31" i="17"/>
  <c r="O7" i="17"/>
  <c r="P7" i="17" s="1"/>
  <c r="Q7" i="17" s="1"/>
  <c r="O22" i="17"/>
  <c r="P22" i="17" s="1"/>
  <c r="Q22" i="17" s="1"/>
  <c r="O35" i="17"/>
  <c r="P35" i="17" s="1"/>
  <c r="Q35" i="17" s="1"/>
  <c r="P18" i="17"/>
  <c r="Q18" i="17" s="1"/>
  <c r="O36" i="17"/>
  <c r="P36" i="17" s="1"/>
  <c r="Q36" i="17" s="1"/>
  <c r="B544" i="1"/>
  <c r="O37" i="17"/>
  <c r="P37" i="17" s="1"/>
  <c r="Q37" i="17" s="1"/>
  <c r="O17" i="17"/>
  <c r="P17" i="17" s="1"/>
  <c r="Q17" i="17" s="1"/>
  <c r="O29" i="17"/>
  <c r="O13" i="17"/>
  <c r="P13" i="17" s="1"/>
  <c r="Q13" i="17" s="1"/>
  <c r="K30" i="17"/>
  <c r="K35" i="17"/>
  <c r="K39" i="17"/>
  <c r="K13" i="17"/>
  <c r="Z13" i="17" s="1"/>
  <c r="K15" i="17"/>
  <c r="Z15" i="17" s="1"/>
  <c r="K22" i="17"/>
  <c r="K23" i="17"/>
  <c r="S5" i="17"/>
  <c r="K41" i="17"/>
  <c r="Z41" i="17" s="1"/>
  <c r="K8" i="17"/>
  <c r="K16" i="17"/>
  <c r="Z16" i="17" s="1"/>
  <c r="K34" i="17"/>
  <c r="K26" i="17"/>
  <c r="K36" i="17"/>
  <c r="Z36" i="17" s="1"/>
  <c r="K7" i="17"/>
  <c r="Z7" i="17" s="1"/>
  <c r="K20" i="17"/>
  <c r="Z20" i="17" s="1"/>
  <c r="K19" i="17"/>
  <c r="Z19" i="17" s="1"/>
  <c r="K37" i="17"/>
  <c r="Z37" i="17" s="1"/>
  <c r="K32" i="17"/>
  <c r="Z32" i="17" s="1"/>
  <c r="K18" i="17"/>
  <c r="Z18" i="17" s="1"/>
  <c r="K17" i="17"/>
  <c r="Z17" i="17" s="1"/>
  <c r="K33" i="17"/>
  <c r="K21" i="17"/>
  <c r="K29" i="17"/>
  <c r="K40" i="17"/>
  <c r="Z40" i="17" s="1"/>
  <c r="G5" i="17"/>
  <c r="K27" i="17"/>
  <c r="K12" i="17"/>
  <c r="Z12" i="17" s="1"/>
  <c r="K14" i="17"/>
  <c r="Z14" i="17" s="1"/>
  <c r="K25" i="17"/>
  <c r="Z25" i="17" s="1"/>
  <c r="G34" i="17"/>
  <c r="K24" i="17"/>
  <c r="Z24" i="17" s="1"/>
  <c r="K6" i="17"/>
  <c r="Z6" i="17" s="1"/>
  <c r="K31" i="17"/>
  <c r="Z31" i="17" s="1"/>
  <c r="K11" i="17"/>
  <c r="E40" i="17"/>
  <c r="K10" i="17"/>
  <c r="Z10" i="17" s="1"/>
  <c r="K28" i="17"/>
  <c r="K9" i="17"/>
  <c r="Z9" i="17" s="1"/>
  <c r="O12" i="17"/>
  <c r="P12" i="17" s="1"/>
  <c r="Q12" i="17" s="1"/>
  <c r="L4" i="32" l="1"/>
  <c r="L20" i="32"/>
  <c r="L5" i="32"/>
  <c r="L21" i="32"/>
  <c r="L6" i="32"/>
  <c r="L22" i="32"/>
  <c r="L38" i="32"/>
  <c r="L7" i="32"/>
  <c r="L23" i="32"/>
  <c r="L3" i="32"/>
  <c r="L32" i="32"/>
  <c r="L8" i="32"/>
  <c r="L24" i="32"/>
  <c r="L17" i="32"/>
  <c r="L9" i="32"/>
  <c r="L25" i="32"/>
  <c r="L18" i="32"/>
  <c r="L10" i="32"/>
  <c r="L26" i="32"/>
  <c r="L34" i="32"/>
  <c r="L11" i="32"/>
  <c r="L27" i="32"/>
  <c r="L33" i="32"/>
  <c r="L12" i="32"/>
  <c r="L28" i="32"/>
  <c r="L13" i="32"/>
  <c r="L29" i="32"/>
  <c r="L30" i="32"/>
  <c r="L14" i="32"/>
  <c r="L15" i="32"/>
  <c r="L31" i="32"/>
  <c r="L16" i="32"/>
  <c r="L19" i="32"/>
  <c r="L35" i="32"/>
  <c r="L36" i="32"/>
  <c r="L37" i="32"/>
  <c r="U27" i="17"/>
  <c r="Z27" i="17"/>
  <c r="U34" i="17"/>
  <c r="Z34" i="17"/>
  <c r="U8" i="17"/>
  <c r="Z8" i="17"/>
  <c r="U29" i="17"/>
  <c r="Z29" i="17"/>
  <c r="U21" i="17"/>
  <c r="Z21" i="17"/>
  <c r="U23" i="17"/>
  <c r="Z23" i="17"/>
  <c r="U28" i="17"/>
  <c r="Z28" i="17"/>
  <c r="U33" i="17"/>
  <c r="Z33" i="17"/>
  <c r="U22" i="17"/>
  <c r="Z22" i="17"/>
  <c r="U11" i="17"/>
  <c r="Z11" i="17"/>
  <c r="U39" i="17"/>
  <c r="Z39" i="17"/>
  <c r="U35" i="17"/>
  <c r="Z35" i="17"/>
  <c r="U30" i="17"/>
  <c r="Z30" i="17"/>
  <c r="U26" i="17"/>
  <c r="Z26" i="17"/>
  <c r="J5" i="17"/>
  <c r="P31" i="17"/>
  <c r="Q31" i="17" s="1"/>
  <c r="W5" i="17"/>
  <c r="G32" i="17"/>
  <c r="J32" i="17" s="1"/>
  <c r="V32" i="17"/>
  <c r="W32" i="17"/>
  <c r="G24" i="17"/>
  <c r="I24" i="17" s="1"/>
  <c r="V24" i="17"/>
  <c r="W24" i="17"/>
  <c r="G18" i="17"/>
  <c r="W18" i="17"/>
  <c r="V18" i="17"/>
  <c r="G37" i="17"/>
  <c r="W37" i="17"/>
  <c r="V37" i="17"/>
  <c r="G36" i="17"/>
  <c r="W36" i="17"/>
  <c r="V36" i="17"/>
  <c r="G19" i="17"/>
  <c r="W19" i="17"/>
  <c r="V19" i="17"/>
  <c r="G13" i="17"/>
  <c r="I13" i="17" s="1"/>
  <c r="V13" i="17"/>
  <c r="W13" i="17"/>
  <c r="G11" i="17"/>
  <c r="V11" i="17"/>
  <c r="W11" i="17"/>
  <c r="G22" i="17"/>
  <c r="W22" i="17"/>
  <c r="V22" i="17"/>
  <c r="G28" i="17"/>
  <c r="V28" i="17"/>
  <c r="W28" i="17"/>
  <c r="W7" i="17"/>
  <c r="V7" i="17"/>
  <c r="G29" i="17"/>
  <c r="J29" i="17" s="1"/>
  <c r="W29" i="17"/>
  <c r="W9" i="17"/>
  <c r="V9" i="17"/>
  <c r="G8" i="17"/>
  <c r="W8" i="17"/>
  <c r="V8" i="17"/>
  <c r="G35" i="17"/>
  <c r="V35" i="17"/>
  <c r="W35" i="17"/>
  <c r="G33" i="17"/>
  <c r="V33" i="17"/>
  <c r="W33" i="17"/>
  <c r="G14" i="17"/>
  <c r="V14" i="17"/>
  <c r="W14" i="17"/>
  <c r="G31" i="17"/>
  <c r="J31" i="17" s="1"/>
  <c r="W31" i="17"/>
  <c r="G41" i="17"/>
  <c r="I41" i="17" s="1"/>
  <c r="V41" i="17"/>
  <c r="W41" i="17"/>
  <c r="G26" i="17"/>
  <c r="V26" i="17"/>
  <c r="W26" i="17"/>
  <c r="G15" i="17"/>
  <c r="V15" i="17"/>
  <c r="W15" i="17"/>
  <c r="G21" i="17"/>
  <c r="W21" i="17"/>
  <c r="V21" i="17"/>
  <c r="V25" i="17"/>
  <c r="W25" i="17"/>
  <c r="W39" i="17"/>
  <c r="V39" i="17"/>
  <c r="G12" i="17"/>
  <c r="R12" i="17" s="1"/>
  <c r="V12" i="17"/>
  <c r="W12" i="17"/>
  <c r="G40" i="17"/>
  <c r="V40" i="17"/>
  <c r="W40" i="17"/>
  <c r="G6" i="17"/>
  <c r="V6" i="17"/>
  <c r="W6" i="17"/>
  <c r="G17" i="17"/>
  <c r="V17" i="17"/>
  <c r="W17" i="17"/>
  <c r="G27" i="17"/>
  <c r="W27" i="17"/>
  <c r="V27" i="17"/>
  <c r="G30" i="17"/>
  <c r="R30" i="17" s="1"/>
  <c r="V30" i="17"/>
  <c r="W30" i="17"/>
  <c r="V16" i="17"/>
  <c r="W16" i="17"/>
  <c r="G23" i="17"/>
  <c r="W23" i="17"/>
  <c r="V23" i="17"/>
  <c r="G10" i="17"/>
  <c r="W10" i="17"/>
  <c r="V10" i="17"/>
  <c r="P34" i="17"/>
  <c r="Q34" i="17" s="1"/>
  <c r="W34" i="17"/>
  <c r="G20" i="17"/>
  <c r="V20" i="17"/>
  <c r="W20" i="17"/>
  <c r="V5" i="17"/>
  <c r="Y5" i="17"/>
  <c r="P29" i="17"/>
  <c r="Q29" i="17" s="1"/>
  <c r="U31" i="17"/>
  <c r="U9" i="17"/>
  <c r="T42" i="17"/>
  <c r="S42" i="17"/>
  <c r="U37" i="17"/>
  <c r="U6" i="17"/>
  <c r="U15" i="17"/>
  <c r="U16" i="17"/>
  <c r="U13" i="17"/>
  <c r="O42" i="17"/>
  <c r="Z5" i="17"/>
  <c r="U7" i="17"/>
  <c r="R5" i="17"/>
  <c r="E42" i="17"/>
  <c r="I5" i="17"/>
  <c r="J34" i="17"/>
  <c r="I34" i="17"/>
  <c r="R34" i="17"/>
  <c r="U20" i="17"/>
  <c r="U12" i="17"/>
  <c r="U40" i="17"/>
  <c r="K42" i="17"/>
  <c r="U42" i="17" s="1"/>
  <c r="U24" i="17"/>
  <c r="U19" i="17"/>
  <c r="G7" i="17"/>
  <c r="U10" i="17"/>
  <c r="G16" i="17"/>
  <c r="G25" i="17"/>
  <c r="U17" i="17"/>
  <c r="U32" i="17"/>
  <c r="U36" i="17"/>
  <c r="U14" i="17"/>
  <c r="U18" i="17"/>
  <c r="G39" i="17"/>
  <c r="U41" i="17"/>
  <c r="G9" i="17"/>
  <c r="U25" i="17"/>
  <c r="U5" i="17"/>
  <c r="L39" i="32" l="1"/>
  <c r="R32" i="17"/>
  <c r="I32" i="17"/>
  <c r="R31" i="17"/>
  <c r="I31" i="17"/>
  <c r="R24" i="17"/>
  <c r="J41" i="17"/>
  <c r="R29" i="17"/>
  <c r="R41" i="17"/>
  <c r="I29" i="17"/>
  <c r="I12" i="17"/>
  <c r="I20" i="17"/>
  <c r="R10" i="17"/>
  <c r="R23" i="17"/>
  <c r="J30" i="17"/>
  <c r="R27" i="17"/>
  <c r="J17" i="17"/>
  <c r="I6" i="17"/>
  <c r="J40" i="17"/>
  <c r="J12" i="17"/>
  <c r="I21" i="17"/>
  <c r="J15" i="17"/>
  <c r="I26" i="17"/>
  <c r="I14" i="17"/>
  <c r="R33" i="17"/>
  <c r="R35" i="17"/>
  <c r="J8" i="17"/>
  <c r="R28" i="17"/>
  <c r="I22" i="17"/>
  <c r="R11" i="17"/>
  <c r="J13" i="17"/>
  <c r="I19" i="17"/>
  <c r="R36" i="17"/>
  <c r="I37" i="17"/>
  <c r="I18" i="17"/>
  <c r="J24" i="17"/>
  <c r="I30" i="17"/>
  <c r="R13" i="17"/>
  <c r="J18" i="17"/>
  <c r="I11" i="17"/>
  <c r="R18" i="17"/>
  <c r="R8" i="17"/>
  <c r="J11" i="17"/>
  <c r="I8" i="17"/>
  <c r="J35" i="17"/>
  <c r="J22" i="17"/>
  <c r="R22" i="17"/>
  <c r="I40" i="17"/>
  <c r="I35" i="17"/>
  <c r="R40" i="17"/>
  <c r="R26" i="17"/>
  <c r="J26" i="17"/>
  <c r="P42" i="17"/>
  <c r="J33" i="17"/>
  <c r="J6" i="17"/>
  <c r="J10" i="17"/>
  <c r="I28" i="17"/>
  <c r="V31" i="17"/>
  <c r="J28" i="17"/>
  <c r="I15" i="17"/>
  <c r="R37" i="17"/>
  <c r="I33" i="17"/>
  <c r="V29" i="17"/>
  <c r="V34" i="17"/>
  <c r="J27" i="17"/>
  <c r="J20" i="17"/>
  <c r="R20" i="17"/>
  <c r="I27" i="17"/>
  <c r="R6" i="17"/>
  <c r="J23" i="17"/>
  <c r="I23" i="17"/>
  <c r="R21" i="17"/>
  <c r="J21" i="17"/>
  <c r="J14" i="17"/>
  <c r="I10" i="17"/>
  <c r="R19" i="17"/>
  <c r="I36" i="17"/>
  <c r="J37" i="17"/>
  <c r="R15" i="17"/>
  <c r="R17" i="17"/>
  <c r="J36" i="17"/>
  <c r="J19" i="17"/>
  <c r="R14" i="17"/>
  <c r="I17" i="17"/>
  <c r="Y42" i="17"/>
  <c r="Z42" i="17"/>
  <c r="I39" i="17"/>
  <c r="J39" i="17"/>
  <c r="R39" i="17"/>
  <c r="R25" i="17"/>
  <c r="J25" i="17"/>
  <c r="I25" i="17"/>
  <c r="G42" i="17"/>
  <c r="J42" i="17" s="1"/>
  <c r="I16" i="17"/>
  <c r="J16" i="17"/>
  <c r="R16" i="17"/>
  <c r="R9" i="17"/>
  <c r="J9" i="17"/>
  <c r="I9" i="17"/>
  <c r="J7" i="17"/>
  <c r="R7" i="17"/>
  <c r="I7" i="17"/>
  <c r="Q42" i="17" l="1"/>
  <c r="I42" i="17"/>
  <c r="R42" i="17"/>
  <c r="I15" i="25" l="1"/>
  <c r="G15" i="25"/>
  <c r="I29" i="25"/>
  <c r="G29" i="25"/>
  <c r="F44" i="25" l="1"/>
  <c r="Q8" i="25"/>
  <c r="I39" i="25"/>
  <c r="G39" i="25"/>
  <c r="I12" i="25"/>
  <c r="G12" i="25"/>
  <c r="I38" i="25"/>
  <c r="G38" i="25"/>
  <c r="I24" i="25"/>
  <c r="G24" i="25"/>
  <c r="I31" i="25"/>
  <c r="G31" i="25"/>
  <c r="I20" i="25"/>
  <c r="G20" i="25"/>
  <c r="I7" i="25"/>
  <c r="G7" i="25"/>
  <c r="I22" i="25"/>
  <c r="G22" i="25"/>
  <c r="I35" i="25"/>
  <c r="G35" i="25"/>
  <c r="I40" i="25"/>
  <c r="G40" i="25"/>
  <c r="I28" i="25"/>
  <c r="G28" i="25"/>
  <c r="I36" i="25"/>
  <c r="G36" i="25"/>
  <c r="I27" i="25"/>
  <c r="G27" i="25"/>
  <c r="I19" i="25"/>
  <c r="G19" i="25"/>
  <c r="I41" i="25"/>
  <c r="G41" i="25"/>
  <c r="G32" i="25"/>
  <c r="I32" i="25"/>
  <c r="I42" i="25"/>
  <c r="G42" i="25"/>
  <c r="I43" i="25"/>
  <c r="G43" i="25"/>
  <c r="I21" i="25"/>
  <c r="G21" i="25"/>
  <c r="Q9" i="25"/>
  <c r="I18" i="25"/>
  <c r="G18" i="25"/>
  <c r="I23" i="25"/>
  <c r="G23" i="25"/>
  <c r="G9" i="25"/>
  <c r="I9" i="25"/>
  <c r="I8" i="25"/>
  <c r="G8" i="25"/>
  <c r="I10" i="25"/>
  <c r="G10" i="25"/>
  <c r="I11" i="25"/>
  <c r="G11" i="25"/>
  <c r="I30" i="25"/>
  <c r="G30" i="25"/>
  <c r="I26" i="25"/>
  <c r="G26" i="25"/>
  <c r="I34" i="25"/>
  <c r="G34" i="25"/>
  <c r="I33" i="25"/>
  <c r="G33" i="25"/>
  <c r="G13" i="25"/>
  <c r="I13" i="25"/>
  <c r="G14" i="25"/>
  <c r="I14" i="25"/>
  <c r="G6" i="25"/>
  <c r="E44" i="25"/>
  <c r="I6" i="25"/>
  <c r="G25" i="25"/>
  <c r="I25" i="25"/>
  <c r="I37" i="25"/>
  <c r="G37" i="25"/>
  <c r="S8" i="25" l="1"/>
  <c r="S9" i="25"/>
  <c r="G44" i="25"/>
  <c r="R8" i="25"/>
  <c r="R9" i="25"/>
</calcChain>
</file>

<file path=xl/sharedStrings.xml><?xml version="1.0" encoding="utf-8"?>
<sst xmlns="http://schemas.openxmlformats.org/spreadsheetml/2006/main" count="5499" uniqueCount="658">
  <si>
    <t>Last Modified</t>
  </si>
  <si>
    <t>To-Date Course Information Based on Processed Rosters</t>
  </si>
  <si>
    <t>Courses - Planned vs Need (Active Courses)</t>
  </si>
  <si>
    <t>CTR</t>
  </si>
  <si>
    <t>Dept</t>
  </si>
  <si>
    <t>Course Offerings Todate</t>
  </si>
  <si>
    <t>Online</t>
  </si>
  <si>
    <t>Resident</t>
  </si>
  <si>
    <t>Quotas Per Convening</t>
  </si>
  <si>
    <t>Quotas Provided</t>
  </si>
  <si>
    <t>Quotas Used</t>
  </si>
  <si>
    <t>Total Grads</t>
  </si>
  <si>
    <t>Fails</t>
  </si>
  <si>
    <t>No Shows</t>
  </si>
  <si>
    <t>Walk-ins</t>
  </si>
  <si>
    <t xml:space="preserve">Afloat Environmental Protection Coordinator (Global Online) </t>
  </si>
  <si>
    <t>EEM</t>
  </si>
  <si>
    <t>Facility Response Team (FRT) Five Day</t>
  </si>
  <si>
    <t>y</t>
  </si>
  <si>
    <t>Course Type</t>
  </si>
  <si>
    <r>
      <rPr>
        <b/>
        <sz val="10"/>
        <color rgb="FF000000"/>
        <rFont val="Calibri"/>
        <family val="2"/>
      </rPr>
      <t xml:space="preserve">Quotas Used </t>
    </r>
    <r>
      <rPr>
        <b/>
        <sz val="8"/>
        <color rgb="FF000000"/>
        <rFont val="Calibri"/>
        <family val="2"/>
      </rPr>
      <t>(Grads, Fails, No-Shows)</t>
    </r>
  </si>
  <si>
    <t>Grads</t>
  </si>
  <si>
    <t>% Grads</t>
  </si>
  <si>
    <t>%Fails</t>
  </si>
  <si>
    <t>No-Show</t>
  </si>
  <si>
    <t>%No-Shows</t>
  </si>
  <si>
    <t>Walk-in</t>
  </si>
  <si>
    <t>%Walk-in</t>
  </si>
  <si>
    <t>Facility Response Team (FRT) Three Day</t>
  </si>
  <si>
    <t>Hazardous Substance Incident Response Management (HSIRM)</t>
  </si>
  <si>
    <t>Safety</t>
  </si>
  <si>
    <t>Hazardous Substance Incident Response Management (HSIRM) Refresher</t>
  </si>
  <si>
    <t>Incident Command System 300 (ICS 300)</t>
  </si>
  <si>
    <t>Incident Command System 300 (ICS 300) Refresher</t>
  </si>
  <si>
    <t>Incident Command System 400 (ICS 400)</t>
  </si>
  <si>
    <t>Oil Hazardous Substance Spill Response Tabletop Exercise (OHS TTX)</t>
  </si>
  <si>
    <t xml:space="preserve">Tank Managers </t>
  </si>
  <si>
    <t xml:space="preserve">Aviation Safety Specialist (Global Online) </t>
  </si>
  <si>
    <t xml:space="preserve">General Industry Safety Standards (Global Online) </t>
  </si>
  <si>
    <t>Operational Risk Management Application &amp; Integration (Global Online)</t>
  </si>
  <si>
    <t xml:space="preserve">Safety Programs Afloat (Global Online) </t>
  </si>
  <si>
    <t>Asbestos Inspector</t>
  </si>
  <si>
    <t>Asbestos Inspector Refresher</t>
  </si>
  <si>
    <t xml:space="preserve">Asbestos Management Planner </t>
  </si>
  <si>
    <t>Asbestos Management Planner Refresher</t>
  </si>
  <si>
    <t>Asbestos Supervisor Initial</t>
  </si>
  <si>
    <t>Asbestos Supervisor Refresher</t>
  </si>
  <si>
    <t>Confined Space Safety</t>
  </si>
  <si>
    <t>Emergency Asbestos Response Team</t>
  </si>
  <si>
    <t>Industrial Noise</t>
  </si>
  <si>
    <t xml:space="preserve">Introduction to Hazardous Materials [Ashore] (Global Online) </t>
  </si>
  <si>
    <t xml:space="preserve">Introduction to Industrial Hygiene for Safety Professionals (Global Online) </t>
  </si>
  <si>
    <t>Navy Ergonomics Program (Global Online)</t>
  </si>
  <si>
    <t>Respiratory Protection Program Management</t>
  </si>
  <si>
    <t xml:space="preserve">Submarine Safety Officer (Global Online) </t>
  </si>
  <si>
    <t>Competent Person for Fall Protection Course (Resident)</t>
  </si>
  <si>
    <t>Construction Safety Standards</t>
  </si>
  <si>
    <t>Fall Protection Program Manager Course (Global Online)</t>
  </si>
  <si>
    <t>Fire Protection and Life Safety</t>
  </si>
  <si>
    <t xml:space="preserve">Introduction to Naval Safety and Occupational Health (Global Online) </t>
  </si>
  <si>
    <t xml:space="preserve">Machinery and Machine Guarding Standards (Global Online) </t>
  </si>
  <si>
    <t xml:space="preserve">Mishap Investigation (Global Online) </t>
  </si>
  <si>
    <t>Total</t>
  </si>
  <si>
    <t>Course Title</t>
  </si>
  <si>
    <t>CIN</t>
  </si>
  <si>
    <t>CDP</t>
  </si>
  <si>
    <t>Quotas</t>
  </si>
  <si>
    <t>Days</t>
  </si>
  <si>
    <t>Hours</t>
  </si>
  <si>
    <t>Instructor #1</t>
  </si>
  <si>
    <t>Instructor #2</t>
  </si>
  <si>
    <t>Instructor #3</t>
  </si>
  <si>
    <t>Format</t>
  </si>
  <si>
    <t>Location</t>
  </si>
  <si>
    <t>Live Session Start Time ET</t>
  </si>
  <si>
    <t>Roster Received By</t>
  </si>
  <si>
    <t>Afloat Environmental Protection Coordinator (Resident)</t>
  </si>
  <si>
    <t xml:space="preserve"> A-4J-0021</t>
  </si>
  <si>
    <t xml:space="preserve"> 430U</t>
  </si>
  <si>
    <t>BMC Sosaya</t>
  </si>
  <si>
    <t>Global Online</t>
  </si>
  <si>
    <t>Andros, Bahamas</t>
  </si>
  <si>
    <t>ABF3 Sherman</t>
  </si>
  <si>
    <t>A-4J-0022</t>
  </si>
  <si>
    <t>09ER</t>
  </si>
  <si>
    <t>M. Lacayo</t>
  </si>
  <si>
    <t>Annapolis, MD</t>
  </si>
  <si>
    <t>ABH3 Sutherland</t>
  </si>
  <si>
    <t>Asbestos Inspector Initial</t>
  </si>
  <si>
    <t>A-493-0014</t>
  </si>
  <si>
    <t>K. Seo</t>
  </si>
  <si>
    <t>Atsugi, Japan</t>
  </si>
  <si>
    <t>Bearup, Angie</t>
  </si>
  <si>
    <t>A-493-0015</t>
  </si>
  <si>
    <t>ENV Contractor</t>
  </si>
  <si>
    <t>Bahrain</t>
  </si>
  <si>
    <t>Benzick, Sue</t>
  </si>
  <si>
    <t>Asbestos Management Planner Initial</t>
  </si>
  <si>
    <t>A-493-0019</t>
  </si>
  <si>
    <t>Baltimore, MD</t>
  </si>
  <si>
    <t>Carter, Amanda</t>
  </si>
  <si>
    <t>A-493-0020</t>
  </si>
  <si>
    <t>Bangor, WA</t>
  </si>
  <si>
    <t>Weaver, Nicole</t>
  </si>
  <si>
    <t>A-493-0069</t>
  </si>
  <si>
    <t>450U</t>
  </si>
  <si>
    <t>Bath, ME</t>
  </si>
  <si>
    <t>Gain 1</t>
  </si>
  <si>
    <t>A-493-0070</t>
  </si>
  <si>
    <t>450V</t>
  </si>
  <si>
    <t>EMC Stroughn</t>
  </si>
  <si>
    <t>Beaufort, SC</t>
  </si>
  <si>
    <t>Gain 2</t>
  </si>
  <si>
    <t>Aviation Safety Specialist</t>
  </si>
  <si>
    <t>A-493-0065</t>
  </si>
  <si>
    <t>399A</t>
  </si>
  <si>
    <t>LTJG Bozenski</t>
  </si>
  <si>
    <t>Gain 3</t>
  </si>
  <si>
    <t>A-493-0665</t>
  </si>
  <si>
    <t>10KW</t>
  </si>
  <si>
    <t>PG-LCS</t>
  </si>
  <si>
    <t>Bremerton, WA</t>
  </si>
  <si>
    <t>A-493-0030</t>
  </si>
  <si>
    <t>286X</t>
  </si>
  <si>
    <t>LS1 Scoggins</t>
  </si>
  <si>
    <t>Camp Butler, Japan</t>
  </si>
  <si>
    <t>A-493-0021</t>
  </si>
  <si>
    <t>18BN</t>
  </si>
  <si>
    <t>Camp Lejeune, NC</t>
  </si>
  <si>
    <t>Electrical Standards</t>
  </si>
  <si>
    <t>A-493-0033</t>
  </si>
  <si>
    <t>287A</t>
  </si>
  <si>
    <t>Camp Pendleton, CA</t>
  </si>
  <si>
    <t>A-760-2166</t>
  </si>
  <si>
    <t>438J</t>
  </si>
  <si>
    <t>D. Rodriguez</t>
  </si>
  <si>
    <t>Cherry Point, NC</t>
  </si>
  <si>
    <t>A-493-0012</t>
  </si>
  <si>
    <t>S. Griffin</t>
  </si>
  <si>
    <t>Chinhae, Korea</t>
  </si>
  <si>
    <t>A-493-0013</t>
  </si>
  <si>
    <t>T. White</t>
  </si>
  <si>
    <t>Colts Neck, NJ</t>
  </si>
  <si>
    <t>A-493-0099</t>
  </si>
  <si>
    <t>12JW</t>
  </si>
  <si>
    <t>V. Kentish</t>
  </si>
  <si>
    <t>Coronado, CA</t>
  </si>
  <si>
    <t>A-493-0103</t>
  </si>
  <si>
    <t>12JY</t>
  </si>
  <si>
    <t>ETVCS Zellman</t>
  </si>
  <si>
    <t>Corpus Christi, TX</t>
  </si>
  <si>
    <t xml:space="preserve">Competent Person for Fall Protection Course (Global Online) </t>
  </si>
  <si>
    <t>FTC Sosa</t>
  </si>
  <si>
    <t>Crane, IN</t>
  </si>
  <si>
    <t xml:space="preserve">A-493-0075 </t>
  </si>
  <si>
    <t>714U</t>
  </si>
  <si>
    <t>TMC Newman</t>
  </si>
  <si>
    <t>Diego Garcia</t>
  </si>
  <si>
    <t>A-493-0061</t>
  </si>
  <si>
    <t>288E</t>
  </si>
  <si>
    <t>SOH Contractor</t>
  </si>
  <si>
    <t>Everett, WA</t>
  </si>
  <si>
    <t>Hazardous Material Control and Management [HMC&amp;M] Technician (Resident)</t>
  </si>
  <si>
    <t>A-322-2600</t>
  </si>
  <si>
    <t>438D</t>
  </si>
  <si>
    <t>Hazardous Material Control and Management [HMC&amp;M] Technician (Global Online)</t>
  </si>
  <si>
    <t>A-322-2604</t>
  </si>
  <si>
    <t>10ZZ</t>
  </si>
  <si>
    <t>Great Lakes, IL</t>
  </si>
  <si>
    <t>A-493-0077</t>
  </si>
  <si>
    <t>0381</t>
  </si>
  <si>
    <t>A. Harris</t>
  </si>
  <si>
    <t>Groton, CT</t>
  </si>
  <si>
    <t>A-493-0083</t>
  </si>
  <si>
    <t>339E</t>
  </si>
  <si>
    <t>B. Jung</t>
  </si>
  <si>
    <t>Guam</t>
  </si>
  <si>
    <t>A-493-2300</t>
  </si>
  <si>
    <t>993F</t>
  </si>
  <si>
    <t>J. Houston</t>
  </si>
  <si>
    <t>Guantanamo Bay, Cuba</t>
  </si>
  <si>
    <t>A-493-2301</t>
  </si>
  <si>
    <t>05ZD</t>
  </si>
  <si>
    <t>Gulfport, MS</t>
  </si>
  <si>
    <t>A-493-0216</t>
  </si>
  <si>
    <t>12X8</t>
  </si>
  <si>
    <t>W. Mitchell</t>
  </si>
  <si>
    <t>Hachinohe, Japan</t>
  </si>
  <si>
    <t>A-493-0092</t>
  </si>
  <si>
    <t>Hakozaki, Japan</t>
  </si>
  <si>
    <t>A-493-0331</t>
  </si>
  <si>
    <t>10UG</t>
  </si>
  <si>
    <t>LTJG Andrew</t>
  </si>
  <si>
    <t>Indian Head, MD</t>
  </si>
  <si>
    <t>A-493-0335</t>
  </si>
  <si>
    <t>09ND</t>
  </si>
  <si>
    <t>OH Contractor</t>
  </si>
  <si>
    <t>Indian Island, WA</t>
  </si>
  <si>
    <t>Introduction to Industrial Hygiene for Safety Professionals (Resident)</t>
  </si>
  <si>
    <t>A-493-0035</t>
  </si>
  <si>
    <t>287C</t>
  </si>
  <si>
    <t>CDR Schaal</t>
  </si>
  <si>
    <t>Iwakuni, Japan</t>
  </si>
  <si>
    <t>A-493-0550</t>
  </si>
  <si>
    <t>09K5</t>
  </si>
  <si>
    <t>J. Wilson</t>
  </si>
  <si>
    <t>Jacksonville, FL</t>
  </si>
  <si>
    <t>Introduction to Naval Safety and Occupational Health (Resident)</t>
  </si>
  <si>
    <t>A-493-0050</t>
  </si>
  <si>
    <t>287T</t>
  </si>
  <si>
    <t>Kekaha, HI (Barking Sands)</t>
  </si>
  <si>
    <t>A-493-0073</t>
  </si>
  <si>
    <t>714S</t>
  </si>
  <si>
    <t>Key West, FL</t>
  </si>
  <si>
    <t>A-493-0078</t>
  </si>
  <si>
    <t>Kings Bay, GA</t>
  </si>
  <si>
    <t xml:space="preserve">NAVOSH Assessment Tools &amp; Strategies (Global Online) </t>
  </si>
  <si>
    <t>A-493-0889</t>
  </si>
  <si>
    <t>11C5</t>
  </si>
  <si>
    <t>Kingsville, TX</t>
  </si>
  <si>
    <t>A-493-0085</t>
  </si>
  <si>
    <t>Lemoore, CA</t>
  </si>
  <si>
    <t>A-493-2501</t>
  </si>
  <si>
    <t>05ZE</t>
  </si>
  <si>
    <t>Little Creek, VA</t>
  </si>
  <si>
    <t>A-570-0100</t>
  </si>
  <si>
    <t>18B7</t>
  </si>
  <si>
    <t>Manchester, WA</t>
  </si>
  <si>
    <t>A-493-0072</t>
  </si>
  <si>
    <t>713U</t>
  </si>
  <si>
    <t>MARFORRES</t>
  </si>
  <si>
    <t>Safety Managers Course</t>
  </si>
  <si>
    <t>A-4J-0019</t>
  </si>
  <si>
    <t>28SL/285M</t>
  </si>
  <si>
    <t>Marianas</t>
  </si>
  <si>
    <t>Safety Programs Afloat (Resident)</t>
  </si>
  <si>
    <t>A-493-2099</t>
  </si>
  <si>
    <t>438G</t>
  </si>
  <si>
    <t>Marine Corps Base Hawaii</t>
  </si>
  <si>
    <t>A-493-2098</t>
  </si>
  <si>
    <t>09WW</t>
  </si>
  <si>
    <t>Mayport, FL</t>
  </si>
  <si>
    <t xml:space="preserve">Staff Training </t>
  </si>
  <si>
    <t>Staff</t>
  </si>
  <si>
    <t>Misawa, Japan</t>
  </si>
  <si>
    <t>Submarine Safety Officer</t>
  </si>
  <si>
    <t>F-4J-0020</t>
  </si>
  <si>
    <t>961Z</t>
  </si>
  <si>
    <t>Naples, Italy</t>
  </si>
  <si>
    <t>F-4J-0023</t>
  </si>
  <si>
    <t>11A2</t>
  </si>
  <si>
    <t>NAVFAC MIDLANT</t>
  </si>
  <si>
    <t>A-493-2017</t>
  </si>
  <si>
    <t>12x3</t>
  </si>
  <si>
    <t>New London, CT</t>
  </si>
  <si>
    <t>Professional Development Symposium</t>
  </si>
  <si>
    <t>PDS</t>
  </si>
  <si>
    <t>New Orleans, LA</t>
  </si>
  <si>
    <t>Holiday</t>
  </si>
  <si>
    <t>Newport, RI</t>
  </si>
  <si>
    <t>Classroom Reserved</t>
  </si>
  <si>
    <t>Reserved</t>
  </si>
  <si>
    <t xml:space="preserve">Reserved </t>
  </si>
  <si>
    <t>Norfolk Naval Shipyard</t>
  </si>
  <si>
    <t>Command Function</t>
  </si>
  <si>
    <t>Function</t>
  </si>
  <si>
    <t>Norfolk, VA</t>
  </si>
  <si>
    <t>Norfolk, VA Classroom 1</t>
  </si>
  <si>
    <t>Norfolk, VA Classroom 2</t>
  </si>
  <si>
    <t>Norfolk, VA Other</t>
  </si>
  <si>
    <t>Norfolk, VA Safety Command</t>
  </si>
  <si>
    <t>Oceana,VA</t>
  </si>
  <si>
    <t>Okinawa, Japan</t>
  </si>
  <si>
    <t>Ownings Mills, MD</t>
  </si>
  <si>
    <t>Panama City, FL</t>
  </si>
  <si>
    <t>Pax River, MD</t>
  </si>
  <si>
    <t>Pearl Harbor, HI</t>
  </si>
  <si>
    <t>Pensacola, FL</t>
  </si>
  <si>
    <t>Philadelphia, PA</t>
  </si>
  <si>
    <t>PMRF Barking Sands</t>
  </si>
  <si>
    <t>Point Loma, CA</t>
  </si>
  <si>
    <t>Point Mugu, CA</t>
  </si>
  <si>
    <t>Port Hueneme, CA</t>
  </si>
  <si>
    <t>Portsmouth, MA</t>
  </si>
  <si>
    <t>Portsmouth, NH</t>
  </si>
  <si>
    <t>Portsmouth, VA</t>
  </si>
  <si>
    <t>Puget Sound Manchester, WA</t>
  </si>
  <si>
    <t>Puget Sound, WA</t>
  </si>
  <si>
    <t>Quantico, VA</t>
  </si>
  <si>
    <t>Rota, Spain</t>
  </si>
  <si>
    <t>Sam Houston, TX</t>
  </si>
  <si>
    <t>San Clemente Island, CA</t>
  </si>
  <si>
    <t>San Diego, CA</t>
  </si>
  <si>
    <t>San Nicolas Island, CA</t>
  </si>
  <si>
    <t>Saratoga Springs, NY</t>
  </si>
  <si>
    <t>Sasebo, Japan</t>
  </si>
  <si>
    <t>Seal Beach, CA</t>
  </si>
  <si>
    <t>Sigonella, Italy</t>
  </si>
  <si>
    <t>Singapore</t>
  </si>
  <si>
    <t>Souda Bay, Greece</t>
  </si>
  <si>
    <t>Tinker AFB, OK</t>
  </si>
  <si>
    <t>Tsurumi, Japan</t>
  </si>
  <si>
    <t>Twenty-nine Palms, CA</t>
  </si>
  <si>
    <t>Ventura County, CA</t>
  </si>
  <si>
    <t xml:space="preserve">Virginia Beach, VA </t>
  </si>
  <si>
    <t>Washington, DC</t>
  </si>
  <si>
    <t>Whidbey Island, WA</t>
  </si>
  <si>
    <t>White Sands, NM</t>
  </si>
  <si>
    <t>Whiting Field, FL</t>
  </si>
  <si>
    <t>Yokosuka, Japan</t>
  </si>
  <si>
    <t>Yorktown, VA</t>
  </si>
  <si>
    <t>Yuma, AZ</t>
  </si>
  <si>
    <t>(Multiple Items)</t>
  </si>
  <si>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</si>
  <si>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</si>
  <si>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</si>
  <si>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</si>
  <si>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</si>
  <si>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</si>
  <si>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</si>
  <si>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>Start of the FY 25</t>
  </si>
  <si>
    <t>Progress during FY 25</t>
  </si>
  <si>
    <t>Info</t>
  </si>
  <si>
    <t>Course Offerings</t>
  </si>
  <si>
    <t>Quota per Offering</t>
  </si>
  <si>
    <t>Planned Quotas</t>
  </si>
  <si>
    <t>Fleet Quota Need</t>
  </si>
  <si>
    <t>Difference</t>
  </si>
  <si>
    <t>%</t>
  </si>
  <si>
    <t>Total Registered</t>
  </si>
  <si>
    <t>Total Waitlisted</t>
  </si>
  <si>
    <t>Total Walk-in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</si>
  <si>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</si>
  <si>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</si>
  <si>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</si>
  <si>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</si>
  <si>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</si>
  <si>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</si>
  <si>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</si>
  <si>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</si>
  <si>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Open Quotas FY25 QTR 1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</si>
  <si>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</si>
  <si>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</si>
  <si>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Comments</t>
  </si>
  <si>
    <t>ENV</t>
  </si>
  <si>
    <t>OH</t>
  </si>
  <si>
    <t>FS</t>
  </si>
  <si>
    <t>SOH</t>
  </si>
  <si>
    <t>NSC</t>
  </si>
  <si>
    <t>Last Update</t>
  </si>
  <si>
    <t xml:space="preserve">CDP </t>
  </si>
  <si>
    <t>Start Date</t>
  </si>
  <si>
    <t>End Date</t>
  </si>
  <si>
    <t>Resident Local Start Time of location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</si>
  <si>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</si>
  <si>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</si>
  <si>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</si>
  <si>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</si>
  <si>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</si>
  <si>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</si>
  <si>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Primary Instructor</t>
  </si>
  <si>
    <t>Instructor 2</t>
  </si>
  <si>
    <t>Course Length (Hours)</t>
  </si>
  <si>
    <t>Course Length (Days)</t>
  </si>
  <si>
    <t>FY25 Need</t>
  </si>
  <si>
    <t>Registered</t>
  </si>
  <si>
    <t>Waitlisted</t>
  </si>
  <si>
    <t>Graduates</t>
  </si>
  <si>
    <t>Fail</t>
  </si>
  <si>
    <t>Foreign Grads</t>
  </si>
  <si>
    <t>Roster Due</t>
  </si>
  <si>
    <t>Roster Status</t>
  </si>
  <si>
    <t>Remaining Courses</t>
  </si>
  <si>
    <t>SPECIAL CONVENING</t>
  </si>
  <si>
    <t>0800</t>
  </si>
  <si>
    <t>QTR 1 All Hands @0900</t>
  </si>
  <si>
    <t>Columbus Day</t>
  </si>
  <si>
    <t>Classroom Needed</t>
  </si>
  <si>
    <t>Veterans Day</t>
  </si>
  <si>
    <t>Thanksgiving Potluck</t>
  </si>
  <si>
    <t>Thanksgiving</t>
  </si>
  <si>
    <t>28SL/28SM</t>
  </si>
  <si>
    <t>Christmas Function</t>
  </si>
  <si>
    <t>Christmas Day</t>
  </si>
  <si>
    <t>New Year's Day</t>
  </si>
  <si>
    <t>Eastern Time Zone</t>
  </si>
  <si>
    <t>MLK Day</t>
  </si>
  <si>
    <t>Andros, Bahamas (CNRSE)</t>
  </si>
  <si>
    <t>QTR 2All Hands @0900</t>
  </si>
  <si>
    <t>Singapore Area Coordinator</t>
  </si>
  <si>
    <t>Washington's Birthday</t>
  </si>
  <si>
    <t>Naval Support Facility Diego Garcia (UIC: N68539)</t>
  </si>
  <si>
    <t>Central Europe Focused</t>
  </si>
  <si>
    <t>Classroom needed</t>
  </si>
  <si>
    <t>TBD</t>
  </si>
  <si>
    <t>Pacific Time Zone Focused</t>
  </si>
  <si>
    <t>USMC/SMT</t>
  </si>
  <si>
    <t>USMC</t>
  </si>
  <si>
    <t>Key West, FL (CNRSE)</t>
  </si>
  <si>
    <t>QTR 3 All Hands @0900/Potluck (Both Classrooms use)</t>
  </si>
  <si>
    <t>NAVSUP FLCS</t>
  </si>
  <si>
    <t>PDS Prep Week</t>
  </si>
  <si>
    <t>Seabees Gulfport special conveing</t>
  </si>
  <si>
    <t>CFA YOKOSUKA</t>
  </si>
  <si>
    <t>PDS Week</t>
  </si>
  <si>
    <t>NAVSUP FLCY</t>
  </si>
  <si>
    <t>NAVSUP FLCY (1-2 &amp; 5 May)</t>
  </si>
  <si>
    <t>NAF Atsugi</t>
  </si>
  <si>
    <t>Norfolk Naval Shipyard (NCRMA)</t>
  </si>
  <si>
    <t xml:space="preserve">Seabees Gulfport special convening </t>
  </si>
  <si>
    <t>Memorial Day</t>
  </si>
  <si>
    <t xml:space="preserve"> Atsugi, Japan</t>
  </si>
  <si>
    <t>Virginia Beach, VA</t>
  </si>
  <si>
    <t xml:space="preserve">Sasebo, Japan </t>
  </si>
  <si>
    <t>Japan Time Zone Focused   (EDT 1900hr on 6/9/2025)</t>
  </si>
  <si>
    <t>Oceana, VA</t>
  </si>
  <si>
    <t>Yorktown NWS (NCRSE)</t>
  </si>
  <si>
    <t>Juneteenth</t>
  </si>
  <si>
    <t>Seabees Port Hueneme special conveing</t>
  </si>
  <si>
    <t>July 4th Function</t>
  </si>
  <si>
    <t>Independence Day</t>
  </si>
  <si>
    <t>Naval Station Rota</t>
  </si>
  <si>
    <t>NSA Annapolis</t>
  </si>
  <si>
    <t>NSA Gaeta</t>
  </si>
  <si>
    <t>NSA Souda Bay</t>
  </si>
  <si>
    <t>QTR 4 All Hands @0900</t>
  </si>
  <si>
    <t>Labor Day</t>
  </si>
  <si>
    <t>Manchester, WA (CNRMA)</t>
  </si>
  <si>
    <t>Kekaha, HI (Barking Sand)</t>
  </si>
  <si>
    <t>***Based off file received 22 May 3:39 PM***</t>
  </si>
  <si>
    <t>Course</t>
  </si>
  <si>
    <t>FY25 FLT Quota Need</t>
  </si>
  <si>
    <t>Quota Per Course</t>
  </si>
  <si>
    <t>FY25 Courses Needed</t>
  </si>
  <si>
    <t>FY25Courses Needed Round Up</t>
  </si>
  <si>
    <t>NSETC Course # projections</t>
  </si>
  <si>
    <t>NSETC Course # Planned</t>
  </si>
  <si>
    <t>Hours per course</t>
  </si>
  <si>
    <t>Total hours for FY25 to instruct course</t>
  </si>
  <si>
    <t>NSETC FLT Needs deficit</t>
  </si>
  <si>
    <t>NSETC % towards fleet need</t>
  </si>
  <si>
    <t>FLT</t>
  </si>
  <si>
    <t>SAF</t>
  </si>
  <si>
    <t>A-493-0075</t>
  </si>
  <si>
    <t>A-493-0217</t>
  </si>
  <si>
    <t>12X3</t>
  </si>
  <si>
    <t>Overall availability calculations</t>
  </si>
  <si>
    <t xml:space="preserve">Instructor </t>
  </si>
  <si>
    <t>Primary Hours</t>
  </si>
  <si>
    <t>Secondary Hours</t>
  </si>
  <si>
    <t>Total Hours</t>
  </si>
  <si>
    <t>Primary %</t>
  </si>
  <si>
    <t>Secondary %</t>
  </si>
  <si>
    <t>Total %</t>
  </si>
  <si>
    <t>Available</t>
  </si>
  <si>
    <t>Not available</t>
  </si>
  <si>
    <t>Total Available</t>
  </si>
  <si>
    <t>52 weeks a year</t>
  </si>
  <si>
    <t>8 Federal Holidays</t>
  </si>
  <si>
    <t>PDS (week of/Prep Week)</t>
  </si>
  <si>
    <t>15 DEC 24 - 3 JAN 25</t>
  </si>
  <si>
    <t>*</t>
  </si>
  <si>
    <t>Quotas: All Data</t>
  </si>
  <si>
    <t>Courses Needed: All Data</t>
  </si>
  <si>
    <t>Column1</t>
  </si>
  <si>
    <t>FY24 Total Courses</t>
  </si>
  <si>
    <t>FY24 Quotas Per Course</t>
  </si>
  <si>
    <t>FY24 total courses grad to-date</t>
  </si>
  <si>
    <t>FY24 Grads</t>
  </si>
  <si>
    <t>FY24 Fails</t>
  </si>
  <si>
    <t>FY24 Average class size</t>
  </si>
  <si>
    <t>FY24 FLT Quota Need</t>
  </si>
  <si>
    <t>FY24 NSETC % towards fleet need</t>
  </si>
  <si>
    <t>Column2</t>
  </si>
  <si>
    <t>FY23 Total Courses</t>
  </si>
  <si>
    <t>FY23 Quotas Per Course</t>
  </si>
  <si>
    <t>FY23 Grads</t>
  </si>
  <si>
    <t>FY23 Fails</t>
  </si>
  <si>
    <t>FY23 Average class size</t>
  </si>
  <si>
    <t>FY23 FLT Quota Need</t>
  </si>
  <si>
    <t>FY23 NSETC % towards fleet need</t>
  </si>
  <si>
    <t>Column122</t>
  </si>
  <si>
    <t>FY22 Total Courses</t>
  </si>
  <si>
    <t>FY22 Quotas Per Course</t>
  </si>
  <si>
    <t>FY22 Grads</t>
  </si>
  <si>
    <t>FY22 Fails</t>
  </si>
  <si>
    <t>FY22 Average class size</t>
  </si>
  <si>
    <t>FY22 FLT Quota Need</t>
  </si>
  <si>
    <t>FY22 NSETC % towards fleet need</t>
  </si>
  <si>
    <t>Course2</t>
  </si>
  <si>
    <t>Safety Programs Afloat Online</t>
  </si>
  <si>
    <t>Hazardous Material Control and Management (HMC&amp;M) Technician Global Online</t>
  </si>
  <si>
    <t>Introduction to Naval Safety and Occupational Health Global Online</t>
  </si>
  <si>
    <t xml:space="preserve">Introduction to Hazardous Materials (Ashore) Global Online </t>
  </si>
  <si>
    <t>Mishap Investigation</t>
  </si>
  <si>
    <t>Aviation Safety Specialist Global Online</t>
  </si>
  <si>
    <t>Fall Protection Program Manager (Global Online)</t>
  </si>
  <si>
    <t>Introduction to Industrial Hygiene for Safety Professionals Global Online</t>
  </si>
  <si>
    <t>General Industry Safety Standards</t>
  </si>
  <si>
    <t>Operational Risk Management Application &amp; Integration Course Global Online</t>
  </si>
  <si>
    <t>Afloat Environmental Protection Coordinator Global Online</t>
  </si>
  <si>
    <t>Tank Managers Course</t>
  </si>
  <si>
    <t>Machinery &amp; Machine Guarding Standards</t>
  </si>
  <si>
    <t>Competent Person for Fall Protection Course</t>
  </si>
  <si>
    <t xml:space="preserve">Confined Space Safety </t>
  </si>
  <si>
    <t>Fire Protection &amp; Life Safety</t>
  </si>
  <si>
    <t>Industrial Noise and Hearing Conservation Program</t>
  </si>
  <si>
    <t>Asbestos Management Planner</t>
  </si>
  <si>
    <t>Submarine Safety Officer Global Online</t>
  </si>
  <si>
    <t>Occupational Health Program Manager (In Development)</t>
  </si>
  <si>
    <t>28SL</t>
  </si>
  <si>
    <t>Workplace Inspectors Course (In Development)</t>
  </si>
  <si>
    <t>As of 26 May 24 @ 1325</t>
  </si>
  <si>
    <t>Details for Sum of Construction Safety Standards - Location/Course Title: Annapolis, MD</t>
  </si>
  <si>
    <t>Command</t>
  </si>
  <si>
    <t>Location/Course Title</t>
  </si>
  <si>
    <t>Facility Response Team Five Day</t>
  </si>
  <si>
    <t>Facility Response Team Three Day</t>
  </si>
  <si>
    <t>Hazardous Substance Incident Response Management</t>
  </si>
  <si>
    <t>Hazardous Substance Incident Response Management  Refresher</t>
  </si>
  <si>
    <t xml:space="preserve">Incident Command System 300 </t>
  </si>
  <si>
    <t>Incident Command System 300 Refresher</t>
  </si>
  <si>
    <t xml:space="preserve">Incident Command System 400 </t>
  </si>
  <si>
    <t xml:space="preserve">Oil Hazardous Substance Spill Response Tabletop Exercise </t>
  </si>
  <si>
    <t>Totals</t>
  </si>
  <si>
    <t>USFF</t>
  </si>
  <si>
    <t>NAVFACSYSCOM</t>
  </si>
  <si>
    <t>CNIC HQ Environmental</t>
  </si>
  <si>
    <t>NHHC</t>
  </si>
  <si>
    <t>NETC</t>
  </si>
  <si>
    <t>NAVSUP</t>
  </si>
  <si>
    <t>NAVSEA</t>
  </si>
  <si>
    <t>COMFRC</t>
  </si>
  <si>
    <t>COMPACFLT</t>
  </si>
  <si>
    <t>NAVSPECWARCOM</t>
  </si>
  <si>
    <t>BUMED</t>
  </si>
  <si>
    <t>Details for Sum of Competent Person for Fall Protection Course - Location/Course Title: Atsugi, Japan</t>
  </si>
  <si>
    <t>(All)</t>
  </si>
  <si>
    <t>Column Labels</t>
  </si>
  <si>
    <t>Kekaha, HI</t>
  </si>
  <si>
    <t xml:space="preserve">Keyport, WA </t>
  </si>
  <si>
    <t>Kingsbay, GA</t>
  </si>
  <si>
    <t>Mid South, TN</t>
  </si>
  <si>
    <t>Patuxent River, MD</t>
  </si>
  <si>
    <t>Support Facility Diego Garcia</t>
  </si>
  <si>
    <t>Ventura, County (Point Mugu)</t>
  </si>
  <si>
    <t>Fallon, NV</t>
  </si>
  <si>
    <t xml:space="preserve">Baharin </t>
  </si>
  <si>
    <t xml:space="preserve">Naval Station Norfolk, VA </t>
  </si>
  <si>
    <t>Little Creek, VA Beach</t>
  </si>
  <si>
    <t>Oceana/Dam Neck, VA Beach</t>
  </si>
  <si>
    <t>Mechanicsburg, PA</t>
  </si>
  <si>
    <t>Deveselu, Romania</t>
  </si>
  <si>
    <t>Redzikowo, Poland</t>
  </si>
  <si>
    <t>Meridian, MS</t>
  </si>
  <si>
    <t>Fort Worth, TX</t>
  </si>
  <si>
    <t>China Lake, CA</t>
  </si>
  <si>
    <t>Kingsvile, TX</t>
  </si>
  <si>
    <t>Monterey, CA</t>
  </si>
  <si>
    <t>Manama Bahrain</t>
  </si>
  <si>
    <t>CLDJ, Djibouti</t>
  </si>
  <si>
    <t>China Lake (Ridgecrest), CA</t>
  </si>
  <si>
    <t>Rota, SP</t>
  </si>
  <si>
    <t>Twentynine Palms, CA</t>
  </si>
  <si>
    <t>Stuttgart Germany</t>
  </si>
  <si>
    <t>Setermoen Norway</t>
  </si>
  <si>
    <t>MCB Camp Pendleton, CA</t>
  </si>
  <si>
    <t>MCAS Miramar, CA</t>
  </si>
  <si>
    <t>29 Palms, CA</t>
  </si>
  <si>
    <t>MCAS Yuma, AZ</t>
  </si>
  <si>
    <t>MCB Hawaii, Kaneohe Bay, HI</t>
  </si>
  <si>
    <t>MCAS Iwakuni, Japan</t>
  </si>
  <si>
    <t>MCAS New River</t>
  </si>
  <si>
    <t>MCINCR-MCBQ-MCAF</t>
  </si>
  <si>
    <t>Blount Island (NAS Jax)</t>
  </si>
  <si>
    <t>Hachinohe, Japan (NAVSUP FLCY) ADDED</t>
  </si>
  <si>
    <t>Hakozaki, Japan (NAVSUP FLCY)</t>
  </si>
  <si>
    <t>Tsurumi, Japan (NAVSUP FLCY)</t>
  </si>
  <si>
    <t>Sasebo, Japan (NAVSUP FLCS)</t>
  </si>
  <si>
    <t>Manchester, WA (CNRMA ADDED)</t>
  </si>
  <si>
    <t>Yorktown NWS (CNRSE ADDED)</t>
  </si>
  <si>
    <t>Norfolk Naval Shipyard (CNRMA ADDED)</t>
  </si>
  <si>
    <t>Bahrain (EURAFCENT ADDED)</t>
  </si>
  <si>
    <t>Andros, Bahamas (CNRSE ADDED)</t>
  </si>
  <si>
    <t>Key West, FL (CNRSE ADDED)</t>
  </si>
  <si>
    <t>Meridian, MS (CNRSE ADDED)</t>
  </si>
  <si>
    <t>New Orleans, LA (CNRSE ADDED)</t>
  </si>
  <si>
    <t>Whiting Field, FL (CNRSE ADDED)</t>
  </si>
  <si>
    <t>Grand Total</t>
  </si>
  <si>
    <t>Sum of Asbestos Inspector</t>
  </si>
  <si>
    <t>Sum of Asbestos Inspector Refresher</t>
  </si>
  <si>
    <t>Sum of Asbestos Management Planner</t>
  </si>
  <si>
    <t>Sum of Asbestos Management Planner Refresher</t>
  </si>
  <si>
    <t>Sum of Asbestos Supervisor Initial</t>
  </si>
  <si>
    <t>Sum of Asbestos Supervisor Refresher</t>
  </si>
  <si>
    <t>Sum of Competent Person for Fall Protection Course</t>
  </si>
  <si>
    <t xml:space="preserve">Sum of Confined Space Safety </t>
  </si>
  <si>
    <t>Sum of Construction Safety Standards</t>
  </si>
  <si>
    <t>Sum of Emergency Asbestos Response Team</t>
  </si>
  <si>
    <t>Sum of Facility Response Team Five Day</t>
  </si>
  <si>
    <t>Sum of Facility Response Team Three Day</t>
  </si>
  <si>
    <t>Sum of Hazardous Substance Incident Response Management</t>
  </si>
  <si>
    <t>Sum of Fire Protection &amp; Life Safety</t>
  </si>
  <si>
    <t>Sum of Hazardous Substance Incident Response Management  Refresher</t>
  </si>
  <si>
    <t xml:space="preserve">Sum of Incident Command System 300 </t>
  </si>
  <si>
    <t>Sum of Incident Command System 300 Refresher</t>
  </si>
  <si>
    <t xml:space="preserve">Sum of Incident Command System 400 </t>
  </si>
  <si>
    <t>Sum of Industrial Noise and Hearing Conservation Program</t>
  </si>
  <si>
    <t xml:space="preserve">Sum of Oil Hazardous Substance Spill Response Tabletop Exercise </t>
  </si>
  <si>
    <t>Sum of Respiratory Protection Program Management</t>
  </si>
  <si>
    <t>Sum of Tank Managers Course</t>
  </si>
  <si>
    <t>Details for Sum of AST (Arabian Standard Time) - Course Title/Preferred Time Zone: Occupational Health Program Manager (In Development)</t>
  </si>
  <si>
    <t>Course Title/Preferred Time Zone</t>
  </si>
  <si>
    <t>AST (Arabian Standard Time)</t>
  </si>
  <si>
    <t>CET/CEST (Central European Standard Time)</t>
  </si>
  <si>
    <t>EST/EDT (Eastern Standard Time)</t>
  </si>
  <si>
    <t>HST (Hawaii Standard Time)</t>
  </si>
  <si>
    <t>JST (Japan Standard Time)</t>
  </si>
  <si>
    <t>PST/PDT (Pacific Standard Time)</t>
  </si>
  <si>
    <t>CNIC HQ Safety</t>
  </si>
  <si>
    <t>Row Labels</t>
  </si>
  <si>
    <t>Sum of AST (Arabian Standard Time)</t>
  </si>
  <si>
    <t>Sum of CET/CEST (Central European Standard Time)</t>
  </si>
  <si>
    <t>Sum of EST/EDT (Eastern Standard Time)</t>
  </si>
  <si>
    <t>Sum of HST (Hawaii Standard Time)</t>
  </si>
  <si>
    <t>Sum of JST (Japan Standard Time)</t>
  </si>
  <si>
    <t>Sum of PST/PDT (Pacific Standard Time)</t>
  </si>
  <si>
    <t>Course Totals</t>
  </si>
  <si>
    <t>Afloat Environmental Protection Coordinator (Global Online)</t>
  </si>
  <si>
    <t>Aviation Safety Specialist  (Global Online)</t>
  </si>
  <si>
    <t>General Industry Safety Standards  (Global Online)</t>
  </si>
  <si>
    <t>Hazardous Material Control and Management (HMC&amp;M) Technician  (Global Online)</t>
  </si>
  <si>
    <t>Introduction to Hazardous Materials Ashore  (Global Online)</t>
  </si>
  <si>
    <t>Introduction to Industrial Hygiene for Safety Professionals  (Global Online)</t>
  </si>
  <si>
    <t>Introduction to Naval Safety and Occupational Health (Global Online)</t>
  </si>
  <si>
    <t>Machinery &amp; Machine Guarding Standards  (Global Online)</t>
  </si>
  <si>
    <t>Mishap Investigation  (Global Online)</t>
  </si>
  <si>
    <t>Operational Risk Management Application &amp; Integration Course  (Global Online)</t>
  </si>
  <si>
    <t>Safety Managers Course (In Development)</t>
  </si>
  <si>
    <t>Safety Programs Afloat  (Global Online)</t>
  </si>
  <si>
    <t>Submarine Safety Officer  (Global Online)</t>
  </si>
  <si>
    <t>PG-LS1</t>
  </si>
  <si>
    <t>QTR 3 All Hands @0900/Potluck</t>
  </si>
  <si>
    <t>9/10/20245</t>
  </si>
  <si>
    <t>Need Location</t>
  </si>
  <si>
    <t>Date Change</t>
  </si>
  <si>
    <t>Last Update: 5/22/2024</t>
  </si>
  <si>
    <t>5/5/2025</t>
  </si>
  <si>
    <t>5/9/2025</t>
  </si>
  <si>
    <t>6/23/205</t>
  </si>
  <si>
    <t>Naval Base Point Loma</t>
  </si>
  <si>
    <t>MCB Hawaii</t>
  </si>
  <si>
    <t>MCAS Beaufort</t>
  </si>
  <si>
    <t xml:space="preserve">NBVC Port Hueneme </t>
  </si>
  <si>
    <t>NALF San Clemente Island</t>
  </si>
  <si>
    <t>MCAS Cherry Point</t>
  </si>
  <si>
    <r>
      <t>Japan Time Zone Focused   (</t>
    </r>
    <r>
      <rPr>
        <sz val="11"/>
        <color rgb="FFFF0000"/>
        <rFont val="Calibri"/>
        <family val="2"/>
        <scheme val="minor"/>
      </rPr>
      <t>EDT 1900hr on 6/9/2025</t>
    </r>
    <r>
      <rPr>
        <sz val="11"/>
        <color rgb="FF000000"/>
        <rFont val="Calibri"/>
        <family val="2"/>
        <scheme val="minor"/>
      </rPr>
      <t>)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</si>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</sst>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hhmm"/>
    <numFmt numFmtId="166" formatCode="0.0"/>
    <numFmt numFmtId="167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trike/>
      <sz val="11"/>
      <color rgb="FF000000"/>
      <name val="Calibri"/>
      <family val="2"/>
      <scheme val="minor"/>
    </font>
    <font>
      <sz val="11"/>
      <color rgb="FF242424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pivotButton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Protection="1">
      <protection locked="0"/>
    </xf>
    <xf numFmtId="0" fontId="7" fillId="0" borderId="11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 vertical="center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0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1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5" borderId="10" xfId="1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0" fontId="6" fillId="6" borderId="3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center" vertical="center" wrapText="1"/>
    </xf>
    <xf numFmtId="1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3" fontId="10" fillId="6" borderId="21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9" fontId="10" fillId="5" borderId="17" xfId="1" applyFont="1" applyFill="1" applyBorder="1" applyAlignment="1">
      <alignment horizontal="center" vertical="center" wrapText="1"/>
    </xf>
    <xf numFmtId="9" fontId="10" fillId="6" borderId="21" xfId="1" applyFont="1" applyFill="1" applyBorder="1" applyAlignment="1">
      <alignment horizontal="center" vertical="center"/>
    </xf>
    <xf numFmtId="0" fontId="5" fillId="2" borderId="0" xfId="0" applyFont="1" applyFill="1"/>
    <xf numFmtId="9" fontId="0" fillId="2" borderId="0" xfId="1" applyFont="1" applyFill="1"/>
    <xf numFmtId="0" fontId="9" fillId="0" borderId="0" xfId="0" applyFont="1"/>
    <xf numFmtId="0" fontId="10" fillId="8" borderId="13" xfId="0" applyFont="1" applyFill="1" applyBorder="1" applyAlignment="1" applyProtection="1">
      <alignment horizontal="left" vertical="center" wrapText="1"/>
      <protection hidden="1"/>
    </xf>
    <xf numFmtId="0" fontId="2" fillId="9" borderId="22" xfId="0" applyFont="1" applyFill="1" applyBorder="1" applyAlignment="1">
      <alignment horizontal="left"/>
    </xf>
    <xf numFmtId="0" fontId="12" fillId="0" borderId="0" xfId="0" applyFont="1"/>
    <xf numFmtId="0" fontId="12" fillId="0" borderId="18" xfId="0" applyFont="1" applyBorder="1"/>
    <xf numFmtId="14" fontId="12" fillId="0" borderId="0" xfId="0" applyNumberFormat="1" applyFont="1" applyAlignment="1">
      <alignment horizontal="center"/>
    </xf>
    <xf numFmtId="0" fontId="12" fillId="0" borderId="22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9" fillId="0" borderId="0" xfId="0" applyNumberFormat="1" applyFont="1" applyAlignment="1">
      <alignment horizontal="right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14" fontId="13" fillId="0" borderId="23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10" borderId="3" xfId="0" applyFill="1" applyBorder="1"/>
    <xf numFmtId="0" fontId="7" fillId="10" borderId="3" xfId="0" applyFont="1" applyFill="1" applyBorder="1" applyAlignment="1" applyProtection="1">
      <alignment horizontal="center" vertical="center" wrapText="1"/>
      <protection hidden="1"/>
    </xf>
    <xf numFmtId="0" fontId="10" fillId="5" borderId="31" xfId="0" applyFont="1" applyFill="1" applyBorder="1" applyAlignment="1">
      <alignment horizontal="center" vertical="center" wrapText="1"/>
    </xf>
    <xf numFmtId="3" fontId="10" fillId="6" borderId="32" xfId="0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/>
    </xf>
    <xf numFmtId="9" fontId="0" fillId="0" borderId="3" xfId="1" applyFont="1" applyFill="1" applyBorder="1"/>
    <xf numFmtId="0" fontId="2" fillId="0" borderId="0" xfId="0" applyFont="1" applyAlignment="1" applyProtection="1">
      <alignment horizontal="left" vertical="center"/>
      <protection hidden="1"/>
    </xf>
    <xf numFmtId="0" fontId="10" fillId="5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8" borderId="3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/>
    <xf numFmtId="0" fontId="10" fillId="5" borderId="31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0" fontId="0" fillId="0" borderId="3" xfId="1" applyNumberFormat="1" applyFont="1" applyFill="1" applyBorder="1"/>
    <xf numFmtId="14" fontId="12" fillId="0" borderId="18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quotePrefix="1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14" fontId="9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14" fontId="12" fillId="0" borderId="0" xfId="0" applyNumberFormat="1" applyFont="1" applyAlignment="1">
      <alignment horizontal="center" wrapText="1"/>
    </xf>
    <xf numFmtId="0" fontId="9" fillId="0" borderId="1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4" fontId="9" fillId="0" borderId="25" xfId="0" applyNumberFormat="1" applyFont="1" applyBorder="1" applyAlignment="1">
      <alignment horizontal="center" vertical="center"/>
    </xf>
    <xf numFmtId="14" fontId="9" fillId="0" borderId="2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18" xfId="0" applyFont="1" applyBorder="1" applyAlignment="1">
      <alignment horizontal="left" vertical="center"/>
    </xf>
    <xf numFmtId="0" fontId="12" fillId="0" borderId="3" xfId="0" applyFont="1" applyBorder="1"/>
    <xf numFmtId="0" fontId="9" fillId="0" borderId="18" xfId="0" applyFont="1" applyBorder="1"/>
    <xf numFmtId="14" fontId="12" fillId="0" borderId="18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/>
    </xf>
    <xf numFmtId="14" fontId="9" fillId="0" borderId="22" xfId="0" applyNumberFormat="1" applyFont="1" applyBorder="1" applyAlignment="1">
      <alignment horizontal="center" vertical="center"/>
    </xf>
    <xf numFmtId="0" fontId="17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 applyProtection="1">
      <alignment horizontal="right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18" fillId="0" borderId="0" xfId="0" applyFont="1"/>
    <xf numFmtId="0" fontId="9" fillId="0" borderId="27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3" fontId="0" fillId="0" borderId="3" xfId="0" applyNumberForma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 vertical="center"/>
    </xf>
    <xf numFmtId="0" fontId="9" fillId="11" borderId="0" xfId="0" applyFont="1" applyFill="1"/>
    <xf numFmtId="0" fontId="9" fillId="11" borderId="0" xfId="0" applyFont="1" applyFill="1" applyAlignment="1">
      <alignment horizontal="left"/>
    </xf>
    <xf numFmtId="0" fontId="9" fillId="11" borderId="0" xfId="0" applyFont="1" applyFill="1" applyAlignment="1">
      <alignment horizontal="center" vertical="center"/>
    </xf>
    <xf numFmtId="14" fontId="12" fillId="11" borderId="0" xfId="0" applyNumberFormat="1" applyFont="1" applyFill="1" applyAlignment="1">
      <alignment horizontal="center"/>
    </xf>
    <xf numFmtId="14" fontId="9" fillId="11" borderId="0" xfId="0" applyNumberFormat="1" applyFont="1" applyFill="1" applyAlignment="1">
      <alignment horizontal="center" vertical="center"/>
    </xf>
    <xf numFmtId="165" fontId="12" fillId="11" borderId="0" xfId="0" applyNumberFormat="1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20" fontId="9" fillId="0" borderId="0" xfId="0" applyNumberFormat="1" applyFont="1" applyAlignment="1">
      <alignment horizontal="center" vertical="center"/>
    </xf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0" xfId="0" applyFont="1"/>
    <xf numFmtId="14" fontId="0" fillId="0" borderId="0" xfId="0" applyNumberForma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165" fontId="9" fillId="0" borderId="0" xfId="0" applyNumberFormat="1" applyFont="1" applyAlignment="1" applyProtection="1">
      <alignment horizontal="center" vertical="center"/>
      <protection locked="0"/>
    </xf>
    <xf numFmtId="165" fontId="24" fillId="0" borderId="0" xfId="0" applyNumberFormat="1" applyFont="1" applyAlignment="1">
      <alignment horizontal="center" vertical="center"/>
    </xf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12" fillId="2" borderId="0" xfId="0" applyFont="1" applyFill="1"/>
    <xf numFmtId="1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right"/>
    </xf>
    <xf numFmtId="165" fontId="9" fillId="2" borderId="0" xfId="0" quotePrefix="1" applyNumberFormat="1" applyFont="1" applyFill="1" applyAlignment="1">
      <alignment horizontal="center" vertical="center"/>
    </xf>
    <xf numFmtId="0" fontId="9" fillId="2" borderId="18" xfId="0" applyFont="1" applyFill="1" applyBorder="1" applyAlignment="1">
      <alignment horizontal="left"/>
    </xf>
    <xf numFmtId="0" fontId="0" fillId="3" borderId="0" xfId="0" applyFill="1"/>
    <xf numFmtId="0" fontId="7" fillId="12" borderId="9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3" fontId="5" fillId="16" borderId="34" xfId="0" applyNumberFormat="1" applyFont="1" applyFill="1" applyBorder="1" applyAlignment="1">
      <alignment horizontal="center"/>
    </xf>
    <xf numFmtId="3" fontId="5" fillId="2" borderId="34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15" borderId="3" xfId="0" applyFont="1" applyFill="1" applyBorder="1" applyAlignment="1">
      <alignment horizontal="left"/>
    </xf>
    <xf numFmtId="0" fontId="26" fillId="2" borderId="33" xfId="0" applyFont="1" applyFill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14" borderId="19" xfId="0" applyFont="1" applyFill="1" applyBorder="1" applyAlignment="1">
      <alignment horizontal="left"/>
    </xf>
    <xf numFmtId="0" fontId="26" fillId="2" borderId="34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17" borderId="3" xfId="0" applyNumberFormat="1" applyFill="1" applyBorder="1" applyAlignment="1">
      <alignment horizontal="center"/>
    </xf>
    <xf numFmtId="3" fontId="0" fillId="19" borderId="3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0" xfId="1" applyFont="1"/>
    <xf numFmtId="0" fontId="0" fillId="2" borderId="0" xfId="0" applyFill="1" applyAlignment="1">
      <alignment horizontal="center"/>
    </xf>
    <xf numFmtId="1" fontId="10" fillId="6" borderId="21" xfId="2" applyNumberFormat="1" applyFont="1" applyFill="1" applyBorder="1" applyAlignment="1">
      <alignment horizontal="center"/>
    </xf>
    <xf numFmtId="1" fontId="10" fillId="4" borderId="20" xfId="2" applyNumberFormat="1" applyFont="1" applyFill="1" applyBorder="1" applyAlignment="1">
      <alignment horizontal="center" vertical="center"/>
    </xf>
    <xf numFmtId="165" fontId="12" fillId="0" borderId="0" xfId="0" quotePrefix="1" applyNumberFormat="1" applyFont="1" applyAlignment="1">
      <alignment horizontal="center"/>
    </xf>
    <xf numFmtId="3" fontId="0" fillId="20" borderId="3" xfId="0" applyNumberForma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3" fontId="0" fillId="0" borderId="0" xfId="0" applyNumberFormat="1"/>
    <xf numFmtId="14" fontId="9" fillId="0" borderId="0" xfId="0" quotePrefix="1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 wrapText="1"/>
    </xf>
    <xf numFmtId="3" fontId="5" fillId="21" borderId="34" xfId="0" applyNumberFormat="1" applyFont="1" applyFill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9" fontId="0" fillId="0" borderId="3" xfId="1" applyFont="1" applyBorder="1" applyAlignment="1">
      <alignment horizontal="center"/>
    </xf>
    <xf numFmtId="0" fontId="0" fillId="12" borderId="3" xfId="0" applyFill="1" applyBorder="1" applyAlignment="1">
      <alignment horizontal="center"/>
    </xf>
    <xf numFmtId="9" fontId="0" fillId="12" borderId="3" xfId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9" fontId="0" fillId="0" borderId="35" xfId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3" xfId="0" applyFont="1" applyBorder="1"/>
    <xf numFmtId="0" fontId="7" fillId="0" borderId="29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wrapText="1"/>
    </xf>
    <xf numFmtId="0" fontId="5" fillId="22" borderId="3" xfId="0" applyFont="1" applyFill="1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3" xfId="0" applyNumberFormat="1" applyBorder="1"/>
    <xf numFmtId="1" fontId="5" fillId="22" borderId="3" xfId="0" applyNumberFormat="1" applyFont="1" applyFill="1" applyBorder="1"/>
    <xf numFmtId="1" fontId="0" fillId="0" borderId="0" xfId="0" applyNumberFormat="1"/>
    <xf numFmtId="0" fontId="0" fillId="0" borderId="3" xfId="0" applyBorder="1" applyAlignment="1">
      <alignment textRotation="90"/>
    </xf>
    <xf numFmtId="0" fontId="0" fillId="0" borderId="0" xfId="0" applyAlignment="1">
      <alignment textRotation="90"/>
    </xf>
    <xf numFmtId="0" fontId="5" fillId="23" borderId="12" xfId="0" applyFont="1" applyFill="1" applyBorder="1" applyAlignment="1">
      <alignment textRotation="90"/>
    </xf>
    <xf numFmtId="0" fontId="5" fillId="23" borderId="12" xfId="0" applyFont="1" applyFill="1" applyBorder="1"/>
    <xf numFmtId="0" fontId="5" fillId="0" borderId="12" xfId="0" applyFont="1" applyBorder="1"/>
    <xf numFmtId="0" fontId="5" fillId="2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21" borderId="37" xfId="0" applyFont="1" applyFill="1" applyBorder="1" applyAlignment="1">
      <alignment horizontal="center" vertical="center" wrapText="1"/>
    </xf>
    <xf numFmtId="0" fontId="6" fillId="21" borderId="38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24" borderId="35" xfId="0" applyFont="1" applyFill="1" applyBorder="1" applyAlignment="1">
      <alignment horizontal="center" vertical="center" wrapText="1"/>
    </xf>
    <xf numFmtId="0" fontId="6" fillId="24" borderId="5" xfId="0" applyFont="1" applyFill="1" applyBorder="1" applyAlignment="1">
      <alignment horizontal="center" vertical="center" wrapText="1"/>
    </xf>
    <xf numFmtId="0" fontId="6" fillId="14" borderId="35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1" fontId="6" fillId="15" borderId="35" xfId="0" applyNumberFormat="1" applyFont="1" applyFill="1" applyBorder="1" applyAlignment="1">
      <alignment horizontal="center" vertical="center" wrapText="1"/>
    </xf>
    <xf numFmtId="1" fontId="6" fillId="15" borderId="5" xfId="0" applyNumberFormat="1" applyFont="1" applyFill="1" applyBorder="1" applyAlignment="1">
      <alignment horizontal="center" vertical="center" wrapText="1"/>
    </xf>
    <xf numFmtId="0" fontId="6" fillId="15" borderId="35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  <xf numFmtId="166" fontId="0" fillId="0" borderId="7" xfId="0" applyNumberFormat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10" fontId="0" fillId="0" borderId="3" xfId="0" applyNumberFormat="1" applyBorder="1" applyAlignment="1">
      <alignment horizontal="center" wrapText="1"/>
    </xf>
    <xf numFmtId="3" fontId="0" fillId="3" borderId="19" xfId="0" applyNumberFormat="1" applyFill="1" applyBorder="1" applyAlignment="1">
      <alignment horizontal="center" wrapText="1"/>
    </xf>
    <xf numFmtId="166" fontId="0" fillId="3" borderId="36" xfId="0" applyNumberFormat="1" applyFill="1" applyBorder="1" applyAlignment="1">
      <alignment horizontal="center" wrapText="1"/>
    </xf>
    <xf numFmtId="166" fontId="28" fillId="10" borderId="0" xfId="0" applyNumberFormat="1" applyFont="1" applyFill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7" fillId="2" borderId="9" xfId="0" applyFont="1" applyFill="1" applyBorder="1" applyAlignment="1" applyProtection="1">
      <alignment horizontal="center" wrapText="1"/>
      <protection hidden="1"/>
    </xf>
    <xf numFmtId="0" fontId="7" fillId="0" borderId="9" xfId="0" applyFont="1" applyBorder="1" applyAlignment="1" applyProtection="1">
      <alignment horizontal="center" wrapText="1"/>
      <protection hidden="1"/>
    </xf>
    <xf numFmtId="2" fontId="0" fillId="25" borderId="3" xfId="0" applyNumberFormat="1" applyFill="1" applyBorder="1" applyAlignment="1">
      <alignment horizontal="center" wrapText="1"/>
    </xf>
    <xf numFmtId="2" fontId="0" fillId="14" borderId="3" xfId="0" applyNumberFormat="1" applyFill="1" applyBorder="1" applyAlignment="1">
      <alignment horizontal="center" wrapText="1"/>
    </xf>
    <xf numFmtId="166" fontId="2" fillId="10" borderId="0" xfId="0" applyNumberFormat="1" applyFont="1" applyFill="1" applyAlignment="1">
      <alignment horizontal="center" wrapText="1"/>
    </xf>
    <xf numFmtId="1" fontId="0" fillId="2" borderId="3" xfId="0" applyNumberFormat="1" applyFill="1" applyBorder="1" applyAlignment="1">
      <alignment horizontal="center" wrapText="1"/>
    </xf>
    <xf numFmtId="1" fontId="0" fillId="12" borderId="3" xfId="0" applyNumberFormat="1" applyFill="1" applyBorder="1" applyAlignment="1">
      <alignment horizontal="center" wrapText="1"/>
    </xf>
    <xf numFmtId="2" fontId="0" fillId="15" borderId="3" xfId="0" applyNumberFormat="1" applyFill="1" applyBorder="1" applyAlignment="1">
      <alignment horizontal="center" wrapText="1"/>
    </xf>
    <xf numFmtId="1" fontId="0" fillId="12" borderId="36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5" fillId="14" borderId="19" xfId="0" applyFont="1" applyFill="1" applyBorder="1" applyAlignment="1">
      <alignment horizontal="center" wrapText="1"/>
    </xf>
    <xf numFmtId="167" fontId="0" fillId="2" borderId="3" xfId="0" applyNumberFormat="1" applyFill="1" applyBorder="1" applyAlignment="1">
      <alignment horizontal="center" wrapText="1"/>
    </xf>
    <xf numFmtId="0" fontId="25" fillId="15" borderId="12" xfId="0" applyFont="1" applyFill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3" xfId="0" applyNumberFormat="1" applyBorder="1"/>
    <xf numFmtId="164" fontId="0" fillId="0" borderId="3" xfId="1" applyNumberFormat="1" applyFont="1" applyBorder="1" applyAlignment="1">
      <alignment horizontal="center" wrapText="1"/>
    </xf>
    <xf numFmtId="49" fontId="25" fillId="0" borderId="3" xfId="0" applyNumberFormat="1" applyFont="1" applyBorder="1" applyAlignment="1">
      <alignment horizontal="center" wrapText="1"/>
    </xf>
    <xf numFmtId="9" fontId="0" fillId="0" borderId="3" xfId="1" applyFont="1" applyBorder="1" applyAlignment="1">
      <alignment horizontal="center" wrapText="1"/>
    </xf>
    <xf numFmtId="1" fontId="7" fillId="0" borderId="9" xfId="0" applyNumberFormat="1" applyFont="1" applyBorder="1" applyAlignment="1" applyProtection="1">
      <alignment horizontal="center" wrapText="1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1" fontId="7" fillId="0" borderId="3" xfId="0" applyNumberFormat="1" applyFont="1" applyBorder="1" applyAlignment="1" applyProtection="1">
      <alignment horizontal="center" wrapText="1"/>
      <protection hidden="1"/>
    </xf>
    <xf numFmtId="164" fontId="0" fillId="0" borderId="3" xfId="1" applyNumberFormat="1" applyFont="1" applyBorder="1"/>
    <xf numFmtId="9" fontId="0" fillId="0" borderId="3" xfId="0" applyNumberFormat="1" applyBorder="1" applyAlignment="1">
      <alignment horizontal="center" wrapText="1"/>
    </xf>
    <xf numFmtId="0" fontId="7" fillId="2" borderId="3" xfId="0" applyFont="1" applyFill="1" applyBorder="1" applyAlignment="1" applyProtection="1">
      <alignment horizontal="center" wrapText="1"/>
      <protection hidden="1"/>
    </xf>
    <xf numFmtId="3" fontId="0" fillId="0" borderId="8" xfId="0" applyNumberFormat="1" applyBorder="1" applyAlignment="1">
      <alignment horizontal="center" wrapText="1"/>
    </xf>
    <xf numFmtId="10" fontId="0" fillId="0" borderId="8" xfId="0" applyNumberFormat="1" applyBorder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0" fontId="25" fillId="0" borderId="29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3" fontId="0" fillId="0" borderId="39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6" fontId="0" fillId="0" borderId="8" xfId="0" applyNumberFormat="1" applyBorder="1" applyAlignment="1">
      <alignment horizontal="center" wrapText="1"/>
    </xf>
    <xf numFmtId="3" fontId="0" fillId="3" borderId="40" xfId="0" applyNumberFormat="1" applyFill="1" applyBorder="1" applyAlignment="1">
      <alignment horizontal="center" wrapText="1"/>
    </xf>
    <xf numFmtId="166" fontId="0" fillId="3" borderId="10" xfId="0" applyNumberFormat="1" applyFill="1" applyBorder="1" applyAlignment="1">
      <alignment horizontal="center" wrapText="1"/>
    </xf>
    <xf numFmtId="1" fontId="0" fillId="2" borderId="8" xfId="0" applyNumberFormat="1" applyFill="1" applyBorder="1" applyAlignment="1">
      <alignment horizontal="center" wrapText="1"/>
    </xf>
    <xf numFmtId="1" fontId="0" fillId="12" borderId="8" xfId="0" applyNumberFormat="1" applyFill="1" applyBorder="1" applyAlignment="1">
      <alignment horizontal="center" wrapText="1"/>
    </xf>
    <xf numFmtId="166" fontId="0" fillId="15" borderId="8" xfId="0" applyNumberFormat="1" applyFill="1" applyBorder="1" applyAlignment="1">
      <alignment horizontal="center" wrapText="1"/>
    </xf>
    <xf numFmtId="1" fontId="0" fillId="12" borderId="9" xfId="0" applyNumberFormat="1" applyFill="1" applyBorder="1" applyAlignment="1">
      <alignment horizontal="center" wrapText="1"/>
    </xf>
    <xf numFmtId="0" fontId="25" fillId="2" borderId="41" xfId="0" applyFont="1" applyFill="1" applyBorder="1" applyAlignment="1">
      <alignment horizontal="center" wrapText="1"/>
    </xf>
    <xf numFmtId="0" fontId="25" fillId="2" borderId="42" xfId="0" applyFont="1" applyFill="1" applyBorder="1" applyAlignment="1">
      <alignment horizontal="center" wrapText="1"/>
    </xf>
    <xf numFmtId="3" fontId="0" fillId="20" borderId="42" xfId="0" applyNumberFormat="1" applyFill="1" applyBorder="1" applyAlignment="1">
      <alignment horizontal="center" wrapText="1"/>
    </xf>
    <xf numFmtId="3" fontId="0" fillId="2" borderId="42" xfId="0" applyNumberFormat="1" applyFill="1" applyBorder="1" applyAlignment="1">
      <alignment horizontal="center" wrapText="1"/>
    </xf>
    <xf numFmtId="3" fontId="0" fillId="6" borderId="42" xfId="0" applyNumberFormat="1" applyFill="1" applyBorder="1" applyAlignment="1">
      <alignment horizontal="center" wrapText="1"/>
    </xf>
    <xf numFmtId="3" fontId="28" fillId="10" borderId="43" xfId="0" applyNumberFormat="1" applyFont="1" applyFill="1" applyBorder="1" applyAlignment="1">
      <alignment horizontal="center" wrapText="1"/>
    </xf>
    <xf numFmtId="3" fontId="0" fillId="20" borderId="3" xfId="0" applyNumberFormat="1" applyFill="1" applyBorder="1" applyAlignment="1">
      <alignment horizontal="center" wrapText="1"/>
    </xf>
    <xf numFmtId="3" fontId="2" fillId="10" borderId="43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wrapText="1"/>
    </xf>
    <xf numFmtId="0" fontId="0" fillId="2" borderId="44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1" fontId="0" fillId="0" borderId="0" xfId="0" applyNumberFormat="1" applyAlignment="1">
      <alignment wrapText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3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" fontId="0" fillId="0" borderId="9" xfId="0" applyNumberFormat="1" applyBorder="1" applyAlignment="1">
      <alignment horizontal="center" wrapText="1"/>
    </xf>
    <xf numFmtId="0" fontId="0" fillId="26" borderId="3" xfId="0" applyFill="1" applyBorder="1" applyAlignment="1">
      <alignment textRotation="90"/>
    </xf>
    <xf numFmtId="0" fontId="0" fillId="26" borderId="29" xfId="0" applyFill="1" applyBorder="1" applyAlignment="1">
      <alignment textRotation="90"/>
    </xf>
    <xf numFmtId="0" fontId="0" fillId="26" borderId="8" xfId="0" applyFill="1" applyBorder="1" applyAlignment="1">
      <alignment textRotation="90"/>
    </xf>
    <xf numFmtId="0" fontId="0" fillId="26" borderId="18" xfId="0" applyFill="1" applyBorder="1" applyAlignment="1">
      <alignment textRotation="90"/>
    </xf>
    <xf numFmtId="0" fontId="0" fillId="26" borderId="0" xfId="0" applyFill="1" applyAlignment="1">
      <alignment textRotation="90"/>
    </xf>
    <xf numFmtId="3" fontId="1" fillId="0" borderId="3" xfId="0" applyNumberFormat="1" applyFont="1" applyBorder="1" applyAlignment="1" applyProtection="1">
      <alignment horizontal="center" vertical="center" wrapText="1"/>
      <protection hidden="1"/>
    </xf>
    <xf numFmtId="3" fontId="7" fillId="0" borderId="9" xfId="0" applyNumberFormat="1" applyFont="1" applyBorder="1" applyAlignment="1" applyProtection="1">
      <alignment horizontal="center" vertical="center" wrapText="1"/>
      <protection hidden="1"/>
    </xf>
    <xf numFmtId="9" fontId="7" fillId="0" borderId="3" xfId="1" applyFont="1" applyFill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66" fontId="1" fillId="12" borderId="35" xfId="0" applyNumberFormat="1" applyFont="1" applyFill="1" applyBorder="1" applyAlignment="1">
      <alignment horizontal="center" wrapText="1"/>
    </xf>
    <xf numFmtId="166" fontId="1" fillId="12" borderId="3" xfId="0" applyNumberFormat="1" applyFont="1" applyFill="1" applyBorder="1" applyAlignment="1">
      <alignment horizontal="center" wrapText="1"/>
    </xf>
    <xf numFmtId="166" fontId="1" fillId="12" borderId="8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left"/>
    </xf>
    <xf numFmtId="1" fontId="9" fillId="3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9" fillId="0" borderId="0" xfId="0" applyFont="1" applyAlignment="1">
      <alignment horizontal="center" wrapText="1"/>
    </xf>
    <xf numFmtId="14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29" fillId="2" borderId="0" xfId="0" applyFont="1" applyFill="1"/>
    <xf numFmtId="0" fontId="29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 vertical="center"/>
    </xf>
    <xf numFmtId="14" fontId="29" fillId="2" borderId="0" xfId="0" applyNumberFormat="1" applyFont="1" applyFill="1" applyAlignment="1">
      <alignment horizontal="center" vertical="center"/>
    </xf>
    <xf numFmtId="165" fontId="29" fillId="2" borderId="0" xfId="0" quotePrefix="1" applyNumberFormat="1" applyFont="1" applyFill="1" applyAlignment="1">
      <alignment horizontal="center" vertical="center"/>
    </xf>
    <xf numFmtId="165" fontId="29" fillId="2" borderId="0" xfId="0" quotePrefix="1" applyNumberFormat="1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" fontId="29" fillId="2" borderId="0" xfId="0" applyNumberFormat="1" applyFont="1" applyFill="1" applyAlignment="1">
      <alignment horizontal="center"/>
    </xf>
    <xf numFmtId="1" fontId="29" fillId="2" borderId="0" xfId="0" applyNumberFormat="1" applyFont="1" applyFill="1" applyAlignment="1">
      <alignment horizontal="center" vertical="center"/>
    </xf>
    <xf numFmtId="1" fontId="29" fillId="2" borderId="0" xfId="0" applyNumberFormat="1" applyFont="1" applyFill="1" applyAlignment="1">
      <alignment horizontal="right"/>
    </xf>
    <xf numFmtId="0" fontId="6" fillId="7" borderId="19" xfId="0" applyFont="1" applyFill="1" applyBorder="1" applyAlignment="1">
      <alignment horizontal="center" vertical="center" wrapText="1"/>
    </xf>
    <xf numFmtId="15" fontId="2" fillId="0" borderId="0" xfId="0" applyNumberFormat="1" applyFont="1" applyAlignment="1" applyProtection="1">
      <alignment horizontal="left" vertical="center" wrapText="1"/>
      <protection hidden="1"/>
    </xf>
    <xf numFmtId="0" fontId="2" fillId="0" borderId="18" xfId="0" applyFont="1" applyBorder="1" applyAlignment="1">
      <alignment horizontal="left"/>
    </xf>
    <xf numFmtId="14" fontId="12" fillId="2" borderId="18" xfId="0" applyNumberFormat="1" applyFont="1" applyFill="1" applyBorder="1" applyAlignment="1">
      <alignment horizontal="center"/>
    </xf>
    <xf numFmtId="0" fontId="12" fillId="0" borderId="22" xfId="0" applyFont="1" applyBorder="1" applyAlignment="1">
      <alignment horizontal="left"/>
    </xf>
    <xf numFmtId="165" fontId="29" fillId="2" borderId="0" xfId="0" applyNumberFormat="1" applyFont="1" applyFill="1" applyAlignment="1">
      <alignment horizontal="center" vertical="center"/>
    </xf>
    <xf numFmtId="0" fontId="9" fillId="2" borderId="24" xfId="0" applyFont="1" applyFill="1" applyBorder="1" applyAlignment="1">
      <alignment horizontal="left"/>
    </xf>
    <xf numFmtId="14" fontId="9" fillId="2" borderId="18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9" fillId="2" borderId="18" xfId="0" applyFont="1" applyFill="1" applyBorder="1" applyAlignment="1">
      <alignment horizontal="left"/>
    </xf>
    <xf numFmtId="14" fontId="29" fillId="2" borderId="0" xfId="0" quotePrefix="1" applyNumberFormat="1" applyFont="1" applyFill="1" applyAlignment="1">
      <alignment horizontal="center" vertical="center"/>
    </xf>
    <xf numFmtId="0" fontId="10" fillId="5" borderId="1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/>
    </xf>
    <xf numFmtId="0" fontId="12" fillId="2" borderId="18" xfId="0" applyFont="1" applyFill="1" applyBorder="1"/>
    <xf numFmtId="165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Protection="1">
      <protection locked="0"/>
    </xf>
    <xf numFmtId="0" fontId="0" fillId="0" borderId="0" xfId="0" applyFill="1"/>
    <xf numFmtId="0" fontId="9" fillId="0" borderId="0" xfId="0" applyFont="1" applyFill="1"/>
    <xf numFmtId="0" fontId="9" fillId="0" borderId="18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right"/>
    </xf>
    <xf numFmtId="14" fontId="9" fillId="0" borderId="18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</cellXfs>
  <cellStyles count="3">
    <cellStyle name="Comma" xfId="2" builtinId="3"/>
    <cellStyle name="Normal" xfId="0" builtinId="0"/>
    <cellStyle name="Percent" xfId="1" builtinId="5"/>
  </cellStyles>
  <dxfs count="163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numFmt numFmtId="1" formatCode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7"/>
        </patternFill>
      </fill>
    </dxf>
    <dxf>
      <fill>
        <patternFill>
          <bgColor theme="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ont>
        <b/>
      </font>
    </dxf>
    <dxf>
      <font>
        <b/>
      </font>
    </dxf>
    <dxf>
      <alignment horizontal="center" readingOrder="0"/>
    </dxf>
    <dxf>
      <alignment vertical="center" readingOrder="0"/>
    </dxf>
    <dxf>
      <alignment textRotation="0" readingOrder="0"/>
    </dxf>
    <dxf>
      <alignment textRotation="90" readingOrder="0"/>
    </dxf>
    <dxf>
      <alignment textRotation="90" readingOrder="0"/>
    </dxf>
    <dxf>
      <alignment textRotation="90" readingOrder="0"/>
    </dxf>
    <dxf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outline="0">
        <right style="thin">
          <color indexed="64"/>
        </right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4" formatCode="0.00%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66" formatCode="0.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rgb="FF000000"/>
        </top>
      </border>
    </dxf>
    <dxf>
      <alignment horizontal="center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_(* #,##0_);_(* \(#,##0\);_(* &quot;-&quot;??_);_(@_)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4" formatCode="0.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ill>
        <patternFill patternType="solid">
          <bgColor rgb="FFFF0000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4472C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colors>
    <mruColors>
      <color rgb="FFCD96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ankspeed.sharepoint-mil.us/Users/amanda.carter/OneDrive%20-%20US%20Navy-flankspeed/Desktop/FY23%20CHRON_7Sept_DHON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2 Chron"/>
      <sheetName val="Summary of changes"/>
      <sheetName val="Additions-Use this tab"/>
      <sheetName val="FY23 Status"/>
      <sheetName val="FY 2023 Chron"/>
      <sheetName val="Sheet3"/>
      <sheetName val="Plan vs need"/>
      <sheetName val="Sheet1"/>
      <sheetName val="Course Counts"/>
      <sheetName val="Plan vs Need v1"/>
      <sheetName val="Instructor Totals- Days"/>
      <sheetName val="Instructor Totals-Weeks"/>
      <sheetName val="Sheet2"/>
      <sheetName val="Location Coun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steve_sherman8_mil_us_navy_mil/Documents/Desktop/Copy%20of%20FY25%20Quota%20Need%20v9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steve_sherman8_mil_us_navy_mil/Documents/Desktop/Copy%20of%20FY25%20Quota%20Need%20v9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436.555470023151" createdVersion="6" refreshedVersion="8" minRefreshableVersion="3" recordCount="495" xr:uid="{00000000-000A-0000-FFFF-FFFF00000000}">
  <cacheSource type="worksheet">
    <worksheetSource name="Table2"/>
  </cacheSource>
  <cacheFields count="28">
    <cacheField name="Comments" numFmtId="0">
      <sharedItems containsBlank="1"/>
    </cacheField>
    <cacheField name="Course Title" numFmtId="0">
      <sharedItems/>
    </cacheField>
    <cacheField name="CIN" numFmtId="0">
      <sharedItems/>
    </cacheField>
    <cacheField name="CDP " numFmtId="0">
      <sharedItems containsMixedTypes="1" containsNumber="1" containsInteger="1" minValue="1228" maxValue="5891"/>
    </cacheField>
    <cacheField name="Location" numFmtId="0">
      <sharedItems containsBlank="1"/>
    </cacheField>
    <cacheField name="Start Date" numFmtId="14">
      <sharedItems containsSemiMixedTypes="0" containsNonDate="0" containsDate="1" containsString="0" minDate="2024-09-30T00:00:00" maxDate="2025-09-30T00:00:00"/>
    </cacheField>
    <cacheField name="End Date" numFmtId="14">
      <sharedItems containsSemiMixedTypes="0" containsNonDate="0" containsDate="1" containsString="0" minDate="2024-02-28T00:00:00" maxDate="2025-10-04T00:00:00"/>
    </cacheField>
    <cacheField name="Resident Local Start Time of location" numFmtId="0">
      <sharedItems containsNonDate="0" containsDate="1" containsString="0" containsBlank="1" minDate="1899-12-30T08:00:00" maxDate="1903-04-14T13:00:00"/>
    </cacheField>
    <cacheField name="EST/EDT Local Live Session Start Time " numFmtId="165">
      <sharedItems containsDate="1" containsBlank="1" containsMixedTypes="1" minDate="1899-12-30T02:00:00" maxDate="1899-12-30T19:00:00"/>
    </cacheField>
    <cacheField name="PST/PDT Local Live Session Start Time " numFmtId="0">
      <sharedItems containsDate="1" containsBlank="1" containsMixedTypes="1" minDate="1900-01-04T18:32:04" maxDate="1899-12-30T23:00:00"/>
    </cacheField>
    <cacheField name="AST Local Live Session Start Time " numFmtId="0">
      <sharedItems containsDate="1" containsBlank="1" containsMixedTypes="1" minDate="1899-12-31T01:30:04" maxDate="1899-12-30T22:00:00"/>
    </cacheField>
    <cacheField name="CET/CEST Local Live Session Start Time " numFmtId="0">
      <sharedItems containsDate="1" containsBlank="1" containsMixedTypes="1" minDate="1900-01-10T10:42:04" maxDate="1899-12-30T20:00:00"/>
    </cacheField>
    <cacheField name="HST Local Live Session Start Time " numFmtId="0">
      <sharedItems containsDate="1" containsBlank="1" containsMixedTypes="1" minDate="1900-01-08T02:27:04" maxDate="1899-12-30T21:00:00"/>
    </cacheField>
    <cacheField name="JST Local Live Session Start Time " numFmtId="0">
      <sharedItems containsDate="1" containsBlank="1" containsMixedTypes="1" minDate="1899-12-30T00:00:00" maxDate="1899-12-30T23:00:00"/>
    </cacheField>
    <cacheField name="Primary Instructor" numFmtId="0">
      <sharedItems containsBlank="1"/>
    </cacheField>
    <cacheField name="Instructor 2" numFmtId="0">
      <sharedItems containsBlank="1"/>
    </cacheField>
    <cacheField name="Quotas" numFmtId="0">
      <sharedItems containsSemiMixedTypes="0" containsString="0" containsNumber="1" containsInteger="1" minValue="0" maxValue="100"/>
    </cacheField>
    <cacheField name="Course Length (Hours)" numFmtId="0">
      <sharedItems containsSemiMixedTypes="0" containsString="0" containsNumber="1" containsInteger="1" minValue="0" maxValue="40"/>
    </cacheField>
    <cacheField name="Course Length (Days)" numFmtId="0">
      <sharedItems containsSemiMixedTypes="0" containsString="0" containsNumber="1" containsInteger="1" minValue="0" maxValue="5"/>
    </cacheField>
    <cacheField name="Graduates" numFmtId="0">
      <sharedItems containsNonDate="0" containsString="0" containsBlank="1"/>
    </cacheField>
    <cacheField name="Fail" numFmtId="0">
      <sharedItems containsNonDate="0" containsString="0" containsBlank="1"/>
    </cacheField>
    <cacheField name="No Shows" numFmtId="0">
      <sharedItems containsNonDate="0" containsString="0" containsBlank="1"/>
    </cacheField>
    <cacheField name="Walk-ins" numFmtId="0">
      <sharedItems containsNonDate="0" containsString="0" containsBlank="1"/>
    </cacheField>
    <cacheField name="Foreign Grads" numFmtId="0">
      <sharedItems containsNonDate="0" containsString="0" containsBlank="1"/>
    </cacheField>
    <cacheField name="Roster Received By" numFmtId="0">
      <sharedItems containsBlank="1" containsMixedTypes="1" containsNumber="1" containsInteger="1" minValue="134" maxValue="491" count="63">
        <m/>
        <n v="183"/>
        <n v="205"/>
        <n v="135"/>
        <n v="156"/>
        <n v="169"/>
        <n v="198"/>
        <n v="134"/>
        <n v="240"/>
        <n v="261"/>
        <n v="309"/>
        <n v="345"/>
        <n v="366"/>
        <n v="400"/>
        <n v="422"/>
        <n v="450"/>
        <n v="491"/>
        <n v="155"/>
        <n v="197"/>
        <n v="233"/>
        <n v="254"/>
        <n v="268"/>
        <n v="281"/>
        <n v="296"/>
        <n v="324"/>
        <n v="352"/>
        <n v="365"/>
        <n v="401"/>
        <n v="415"/>
        <n v="436"/>
        <n v="456"/>
        <n v="485"/>
        <n v="232"/>
        <n v="253"/>
        <n v="259"/>
        <n v="288"/>
        <n v="302"/>
        <n v="316"/>
        <n v="350"/>
        <n v="386"/>
        <n v="414"/>
        <n v="435"/>
        <n v="449"/>
        <n v="477"/>
        <n v="162"/>
        <n v="184"/>
        <n v="289"/>
        <n v="303"/>
        <n v="387"/>
        <n v="421"/>
        <n v="443"/>
        <n v="457"/>
        <n v="359"/>
        <s v="ABE3 Park" u="1"/>
        <s v="Bearup, Angie" u="1"/>
        <s v="OS2 Zapata " u="1"/>
        <s v="Weaver, Nicole" u="1"/>
        <s v="Benzick, Sue" u="1"/>
        <s v="Carter, Amanda" u="1"/>
        <s v="ABH3 Sutherland" u="1"/>
        <s v="Fenner, Kalihma" u="1"/>
        <s v="Park" u="1"/>
        <s v="Stowe" u="1"/>
      </sharedItems>
    </cacheField>
    <cacheField name="Roster Due" numFmtId="0">
      <sharedItems containsString="0" containsBlank="1" containsNumber="1" containsInteger="1" minValue="-84" maxValue="499"/>
    </cacheField>
    <cacheField name="Roster Status" numFmtId="0">
      <sharedItems containsString="0" containsBlank="1" containsNumber="1" containsInteger="1" minValue="1" maxValue="1"/>
    </cacheField>
    <cacheField name="Remaining Courses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8819447" createdVersion="8" refreshedVersion="8" minRefreshableVersion="3" recordCount="221" xr:uid="{522D8180-85FA-4422-9DB1-3B6D28905D82}">
  <cacheSource type="worksheet">
    <worksheetSource ref="A3:H224" sheet="Data- Global Online" r:id="rId2"/>
  </cacheSource>
  <cacheFields count="8">
    <cacheField name="Command" numFmtId="0">
      <sharedItems count="13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</sharedItems>
    </cacheField>
    <cacheField name="Course Title/Preferred Time Zone" numFmtId="0">
      <sharedItems count="17">
        <s v="Afloat Environmental Protection Coordinator (Global Online)"/>
        <s v="Aviation Safety Specialist  (Global Online)"/>
        <s v="Fall Protection Program Manager (Global Online)"/>
        <s v="General Industry Safety Standards  (Global Online)"/>
        <s v="Hazardous Material Control and Management (HMC&amp;M) Technician  (Global Online)"/>
        <s v="Introduction to Hazardous Materials Ashore  (Global Online)"/>
        <s v="Introduction to Industrial Hygiene for Safety Professionals  (Global Online)"/>
        <s v="Introduction to Naval Safety and Occupational Health (Global Online)"/>
        <s v="Machinery &amp; Machine Guarding Standards  (Global Online)"/>
        <s v="Mishap Investigation  (Global Online)"/>
        <s v="Navy Ergonomics Program (Global Online)"/>
        <s v="Occupational Health Program Manager (In Development)"/>
        <s v="Operational Risk Management Application &amp; Integration Course  (Global Online)"/>
        <s v="Safety Managers Course (In Development)"/>
        <s v="Safety Programs Afloat  (Global Online)"/>
        <s v="Submarine Safety Officer  (Global Online)"/>
        <s v="Workplace Inspectors Course (In Development)"/>
      </sharedItems>
    </cacheField>
    <cacheField name="AST (Arabian Standard Time)" numFmtId="0">
      <sharedItems containsString="0" containsBlank="1" containsNumber="1" containsInteger="1" minValue="0" maxValue="18"/>
    </cacheField>
    <cacheField name="CET/CEST (Central European Standard Time)" numFmtId="0">
      <sharedItems containsString="0" containsBlank="1" containsNumber="1" containsInteger="1" minValue="0" maxValue="322"/>
    </cacheField>
    <cacheField name="EST/EDT (Eastern Standard Time)" numFmtId="0">
      <sharedItems containsString="0" containsBlank="1" containsNumber="1" containsInteger="1" minValue="0" maxValue="641"/>
    </cacheField>
    <cacheField name="HST (Hawaii Standard Time)" numFmtId="0">
      <sharedItems containsString="0" containsBlank="1" containsNumber="1" containsInteger="1" minValue="0" maxValue="70"/>
    </cacheField>
    <cacheField name="JST (Japan Standard Time)" numFmtId="0">
      <sharedItems containsString="0" containsBlank="1" containsNumber="1" containsInteger="1" minValue="0" maxValue="99"/>
    </cacheField>
    <cacheField name="PST/PDT (Pacific Standard Time)" numFmtId="0">
      <sharedItems containsString="0" containsBlank="1" containsNumber="1" containsInteger="1" minValue="0" maxValue="6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9050924" createdVersion="8" refreshedVersion="8" minRefreshableVersion="3" recordCount="711" xr:uid="{FF896C71-E09A-4A0F-9F9C-A6FE198AB3E4}">
  <cacheSource type="worksheet">
    <worksheetSource ref="A3:Y714" sheet="Data-Resident Courses" r:id="rId2"/>
  </cacheSource>
  <cacheFields count="25">
    <cacheField name="Command" numFmtId="0">
      <sharedItems count="72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  <s v="CNIC HQ N35" u="1"/>
        <s v="Commander of Navy Installations Command, HQ" u="1"/>
        <s v="CNIC HQ N36" u="1"/>
        <s v="CNIC HQ N37" u="1"/>
        <s v="CNIC HQ N38" u="1"/>
        <s v="CNIC HQ N39" u="1"/>
        <s v="CNIC HQ N40" u="1"/>
        <s v="CNIC HQ N41" u="1"/>
        <s v="CNIC HQ N42" u="1"/>
        <s v="CNIC HQ N43" u="1"/>
        <s v="CNIC HQ N44" u="1"/>
        <s v="CNIC HQ N45" u="1"/>
        <s v="CNIC HQ N46" u="1"/>
        <s v="CNIC HQ N47" u="1"/>
        <s v="CNIC HQ N48" u="1"/>
        <s v="CNIC HQ N49" u="1"/>
        <s v="CNIC HQ N50" u="1"/>
        <s v="CNIC HQ N51" u="1"/>
        <s v="CNIC HQ N52" u="1"/>
        <s v="CNIC HQ N53" u="1"/>
        <s v="CNIC HQ N54" u="1"/>
        <s v="CNIC HQ N55" u="1"/>
        <s v="CNIC HQ N56" u="1"/>
        <s v="CNIC HQ N57" u="1"/>
        <s v="CNIC HQ N58" u="1"/>
        <s v="CNIC HQ N59" u="1"/>
        <s v="CNIC HQ N60" u="1"/>
        <s v="CNIC HQ N61" u="1"/>
        <s v="CNIC HQ N62" u="1"/>
        <s v="CNIC HQ N63" u="1"/>
        <s v="CNIC HQ N64" u="1"/>
        <s v="CNIC HQ N65" u="1"/>
        <s v="CNIC HQ N66" u="1"/>
        <s v="CNIC HQ N67" u="1"/>
        <s v="CNIC HQ N68" u="1"/>
        <s v="CNIC HQ N69" u="1"/>
        <s v="CNIC HQ N70" u="1"/>
        <s v="CNIC HQ N71" u="1"/>
        <s v="CNIC HQ N72" u="1"/>
        <s v="CNIC HQ N73" u="1"/>
        <s v="CNIC HQ N74" u="1"/>
        <s v="CNIC HQ N75" u="1"/>
        <s v="CNIC HQ N76" u="1"/>
        <s v="CNIC HQ N77" u="1"/>
        <s v="CNIC HQ N78" u="1"/>
        <s v="CNIC HQ N79" u="1"/>
        <s v="CNIC HQ N80" u="1"/>
        <s v="CNIC HQ N81" u="1"/>
        <s v="CNIC HQ N82" u="1"/>
        <s v="CNIC HQ N83" u="1"/>
        <s v="CNIC HQ N84" u="1"/>
        <s v="CNIC HQ N85" u="1"/>
        <s v="CNIC HQ N86" u="1"/>
        <s v="CNIC HQ N87" u="1"/>
        <s v="CNIC HQ N88" u="1"/>
        <s v="CNIC HQ N89" u="1"/>
        <s v="CNIC HQ N90" u="1"/>
        <s v="CNIC HQ N91" u="1"/>
        <s v="CNIC HQ N92" u="1"/>
      </sharedItems>
    </cacheField>
    <cacheField name="Location/Course Title" numFmtId="0">
      <sharedItems containsBlank="1" count="106">
        <s v="Baharin "/>
        <s v="Colts Neck, NJ"/>
        <s v="Coronado, CA"/>
        <s v="Corpus Christi, TX"/>
        <s v="Crane, IN"/>
        <s v="Diego Garcia"/>
        <s v="Everett, WA"/>
        <s v="Fallon, NV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Little Creek, VA Beach"/>
        <s v="Mayport, FL"/>
        <s v="Mid South, TN"/>
        <s v="Naples, Italy"/>
        <s v="Naval Station Norfolk, VA "/>
        <s v="New London, CT"/>
        <s v="Newport, RI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Diego, CA"/>
        <s v="Sasebo, Japan"/>
        <s v="Seal Beach, CA"/>
        <s v="Sigonella, Italy"/>
        <s v="Souda Bay, Greece"/>
        <s v="Support Facility Diego Garcia"/>
        <s v="Ventura, County (Point Mugu)"/>
        <s v="Virginia Beach, VA "/>
        <s v="Washington, DC"/>
        <s v="Whidbey Island, WA"/>
        <s v="Yokosuka, Japan"/>
        <s v="Oceana/Dam Neck, VA Beach"/>
        <s v="Yorktown, VA"/>
        <s v="Mechanicsburg, PA"/>
        <s v="Philadelphia, PA"/>
        <s v="Deveselu, Romania"/>
        <s v="Redzikowo, Poland"/>
        <s v="Key West, FL"/>
        <s v="Meridian, MS"/>
        <s v="New Orleans, LA"/>
        <s v="Whiting Field, FL"/>
        <s v="Fort Worth, TX"/>
        <s v="Annapolis, MD"/>
        <s v="Atsugi, Japan"/>
        <s v="Bangor, WA"/>
        <s v="Bremerton, WA"/>
        <s v="Camp Lejeune, NC"/>
        <s v="Chinhae, Korea"/>
        <s v="Groton, CT"/>
        <s v="Norfolk, VA"/>
        <s v="San Clemente Island, CA"/>
        <s v="Cherry Point, NC"/>
        <s v="Iwakuni, Japan"/>
        <s v="Bahrain"/>
        <s v="China Lake, CA"/>
        <s v="Kingsvile, TX"/>
        <s v="Misawa, Japan"/>
        <s v="Monterey, CA"/>
        <s v="Singapore"/>
        <s v="Manama Bahrain"/>
        <s v="CLDJ, Djibouti"/>
        <s v="China Lake (Ridgecrest), CA"/>
        <s v="Rota, SP"/>
        <s v="Twentynine Palms, CA"/>
        <s v="Stuttgart Germany"/>
        <s v="Setermoen Norway"/>
        <s v="MCB Camp Pendleton, CA"/>
        <s v="MCAS Miramar, CA"/>
        <s v="29 Palms, CA"/>
        <s v="MCAS Yuma, AZ"/>
        <s v="MCB Hawaii, Kaneohe Bay, HI"/>
        <s v="MCAS Iwakuni, Japan"/>
        <s v="MCAS New River"/>
        <s v="MCINCR-MCBQ-MCAF"/>
        <s v="Blount Island (NAS Jax)"/>
        <s v="Singapore Area Coordinator"/>
        <s v="Hachinohe, Japan (NAVSUP FLCY) ADDED"/>
        <s v="Hakozaki, Japan (NAVSUP FLCY)"/>
        <s v="Tsurumi, Japan (NAVSUP FLCY)"/>
        <s v="Sasebo, Japan (NAVSUP FLCS)"/>
        <s v="Manchester, WA (CNRMA ADDED)"/>
        <s v="Yorktown NWS (CNRSE ADDED)"/>
        <s v="Norfolk Naval Shipyard (CNRMA ADDED)"/>
        <s v="Bahrain (EURAFCENT ADDED)"/>
        <s v="Andros, Bahamas (CNRSE ADDED)"/>
        <s v="Key West, FL (CNRSE ADDED)"/>
        <s v="Meridian, MS (CNRSE ADDED)"/>
        <s v="New Orleans, LA (CNRSE ADDED)"/>
        <s v="Whiting Field, FL (CNRSE ADDED)"/>
        <m u="1"/>
      </sharedItems>
    </cacheField>
    <cacheField name="Asbestos Inspector" numFmtId="0">
      <sharedItems containsBlank="1" containsMixedTypes="1" containsNumber="1" containsInteger="1" minValue="0" maxValue="41"/>
    </cacheField>
    <cacheField name="Asbestos Inspector Refresher" numFmtId="0">
      <sharedItems containsString="0" containsBlank="1" containsNumber="1" containsInteger="1" minValue="0" maxValue="30"/>
    </cacheField>
    <cacheField name="Asbestos Management Planner" numFmtId="0">
      <sharedItems containsString="0" containsBlank="1" containsNumber="1" containsInteger="1" minValue="0" maxValue="15"/>
    </cacheField>
    <cacheField name="Asbestos Management Planner Refresher" numFmtId="0">
      <sharedItems containsString="0" containsBlank="1" containsNumber="1" containsInteger="1" minValue="0" maxValue="15"/>
    </cacheField>
    <cacheField name="Asbestos Supervisor Initial" numFmtId="0">
      <sharedItems containsString="0" containsBlank="1" containsNumber="1" containsInteger="1" minValue="0" maxValue="30"/>
    </cacheField>
    <cacheField name="Asbestos Supervisor Refresher" numFmtId="0">
      <sharedItems containsString="0" containsBlank="1" containsNumber="1" containsInteger="1" minValue="0" maxValue="20"/>
    </cacheField>
    <cacheField name="Competent Person for Fall Protection Course" numFmtId="0">
      <sharedItems containsString="0" containsBlank="1" containsNumber="1" containsInteger="1" minValue="0" maxValue="241"/>
    </cacheField>
    <cacheField name="Confined Space Safety " numFmtId="0">
      <sharedItems containsString="0" containsBlank="1" containsNumber="1" containsInteger="1" minValue="0" maxValue="47"/>
    </cacheField>
    <cacheField name="Construction Safety Standards" numFmtId="0">
      <sharedItems containsString="0" containsBlank="1" containsNumber="1" containsInteger="1" minValue="0" maxValue="47"/>
    </cacheField>
    <cacheField name="Emergency Asbestos Response Team" numFmtId="0">
      <sharedItems containsString="0" containsBlank="1" containsNumber="1" containsInteger="1" minValue="0" maxValue="20"/>
    </cacheField>
    <cacheField name="Facility Response Team Five Day" numFmtId="0">
      <sharedItems containsString="0" containsBlank="1" containsNumber="1" containsInteger="1" minValue="0" maxValue="80"/>
    </cacheField>
    <cacheField name="Facility Response Team Three Day" numFmtId="0">
      <sharedItems containsString="0" containsBlank="1" containsNumber="1" containsInteger="1" minValue="0" maxValue="60"/>
    </cacheField>
    <cacheField name="Fire Protection &amp; Life Safety" numFmtId="0">
      <sharedItems containsString="0" containsBlank="1" containsNumber="1" containsInteger="1" minValue="0" maxValue="50"/>
    </cacheField>
    <cacheField name="Hazardous Substance Incident Response Management" numFmtId="0">
      <sharedItems containsString="0" containsBlank="1" containsNumber="1" containsInteger="1" minValue="0" maxValue="90"/>
    </cacheField>
    <cacheField name="Hazardous Substance Incident Response Management  Refresher" numFmtId="0">
      <sharedItems containsString="0" containsBlank="1" containsNumber="1" containsInteger="1" minValue="0" maxValue="100"/>
    </cacheField>
    <cacheField name="Incident Command System 300 " numFmtId="0">
      <sharedItems containsString="0" containsBlank="1" containsNumber="1" containsInteger="1" minValue="0" maxValue="50"/>
    </cacheField>
    <cacheField name="Incident Command System 300 Refresher" numFmtId="0">
      <sharedItems containsString="0" containsBlank="1" containsNumber="1" containsInteger="1" minValue="0" maxValue="30"/>
    </cacheField>
    <cacheField name="Incident Command System 400 " numFmtId="0">
      <sharedItems containsString="0" containsBlank="1" containsNumber="1" containsInteger="1" minValue="0" maxValue="30"/>
    </cacheField>
    <cacheField name="Industrial Noise and Hearing Conservation Program" numFmtId="0">
      <sharedItems containsString="0" containsBlank="1" containsNumber="1" containsInteger="1" minValue="0" maxValue="37"/>
    </cacheField>
    <cacheField name="Oil Hazardous Substance Spill Response Tabletop Exercise " numFmtId="0">
      <sharedItems containsString="0" containsBlank="1" containsNumber="1" containsInteger="1" minValue="0" maxValue="35"/>
    </cacheField>
    <cacheField name="Respiratory Protection Program Management" numFmtId="0">
      <sharedItems containsString="0" containsBlank="1" containsNumber="1" containsInteger="1" minValue="0" maxValue="113"/>
    </cacheField>
    <cacheField name="Tank Managers Course" numFmtId="0">
      <sharedItems containsString="0" containsBlank="1" containsNumber="1" containsInteger="1" minValue="0" maxValue="30"/>
    </cacheField>
    <cacheField name="Totals" numFmtId="0">
      <sharedItems containsSemiMixedTypes="0" containsString="0" containsNumber="1" containsInteger="1" minValue="0" maxValue="5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5">
  <r>
    <m/>
    <s v="Afloat Environmental Protection Coordinator (Global Online) "/>
    <s v="A-4J-0022"/>
    <s v="09ER"/>
    <s v="Global Online"/>
    <d v="2024-11-04T00:00:00"/>
    <d v="2024-11-08T00:00:00"/>
    <m/>
    <d v="1899-12-30T13:00:00"/>
    <s v="1000"/>
    <s v="2000"/>
    <s v="1800"/>
    <s v="0700"/>
    <s v="0200"/>
    <s v="BMC Sosaya"/>
    <m/>
    <n v="45"/>
    <n v="16"/>
    <n v="5"/>
    <m/>
    <m/>
    <m/>
    <m/>
    <m/>
    <x v="0"/>
    <n v="170"/>
    <n v="1"/>
    <n v="1"/>
  </r>
  <r>
    <m/>
    <s v="Afloat Environmental Protection Coordinator (Global Online) "/>
    <s v="A-4J-0022"/>
    <s v="09ER"/>
    <s v="Global Online"/>
    <d v="2024-12-09T00:00:00"/>
    <d v="2024-12-13T00:00:00"/>
    <m/>
    <d v="1899-12-30T08:00:00"/>
    <s v="0500"/>
    <s v="1500"/>
    <s v="1300"/>
    <s v="0200"/>
    <s v="2100"/>
    <s v="M. Lacayo"/>
    <m/>
    <n v="45"/>
    <n v="16"/>
    <n v="5"/>
    <m/>
    <m/>
    <m/>
    <m/>
    <m/>
    <x v="0"/>
    <n v="205"/>
    <n v="1"/>
    <n v="1"/>
  </r>
  <r>
    <m/>
    <s v="Afloat Environmental Protection Coordinator (Global Online) "/>
    <s v="A-4J-0022"/>
    <s v="09ER"/>
    <s v="Global Online"/>
    <d v="2025-01-13T00:00:00"/>
    <d v="2025-01-17T00:00:00"/>
    <m/>
    <d v="1899-12-30T13:00:00"/>
    <s v="1000"/>
    <s v="2000"/>
    <s v="1800"/>
    <s v="0700"/>
    <s v="0200"/>
    <s v="K. Seo"/>
    <m/>
    <n v="45"/>
    <n v="16"/>
    <n v="5"/>
    <m/>
    <m/>
    <m/>
    <m/>
    <m/>
    <x v="0"/>
    <n v="240"/>
    <n v="1"/>
    <n v="1"/>
  </r>
  <r>
    <m/>
    <s v="Afloat Environmental Protection Coordinator (Global Online) "/>
    <s v="A-4J-0022"/>
    <s v="09ER"/>
    <s v="Global Online"/>
    <d v="2025-02-10T00:00:00"/>
    <d v="2025-02-14T00:00:00"/>
    <m/>
    <d v="1899-12-30T08:00:00"/>
    <s v="0500"/>
    <s v="1500"/>
    <s v="1300"/>
    <s v="0200"/>
    <s v="2100"/>
    <s v="BMC Sosaya"/>
    <m/>
    <n v="45"/>
    <n v="16"/>
    <n v="5"/>
    <m/>
    <m/>
    <m/>
    <m/>
    <m/>
    <x v="0"/>
    <n v="268"/>
    <n v="1"/>
    <n v="1"/>
  </r>
  <r>
    <m/>
    <s v="Afloat Environmental Protection Coordinator (Global Online) "/>
    <s v="A-4J-0022"/>
    <s v="09ER"/>
    <s v="Global Online"/>
    <d v="2025-03-12T00:00:00"/>
    <d v="2025-03-16T00:00:00"/>
    <m/>
    <d v="1899-12-30T13:00:00"/>
    <s v="1000"/>
    <s v="2000"/>
    <s v="1800"/>
    <s v="0700"/>
    <s v="0200"/>
    <s v="K. Seo"/>
    <m/>
    <n v="45"/>
    <n v="16"/>
    <n v="5"/>
    <m/>
    <m/>
    <m/>
    <m/>
    <m/>
    <x v="0"/>
    <n v="298"/>
    <n v="1"/>
    <n v="1"/>
  </r>
  <r>
    <m/>
    <s v="Afloat Environmental Protection Coordinator (Global Online) "/>
    <s v="A-4J-0022"/>
    <s v="09ER"/>
    <s v="Global Online"/>
    <d v="2025-05-12T00:00:00"/>
    <d v="2025-05-16T00:00:00"/>
    <m/>
    <d v="1899-12-30T13:00:00"/>
    <m/>
    <m/>
    <m/>
    <m/>
    <m/>
    <s v="M. Lacayo"/>
    <m/>
    <n v="45"/>
    <n v="16"/>
    <n v="5"/>
    <m/>
    <m/>
    <m/>
    <m/>
    <m/>
    <x v="0"/>
    <n v="359"/>
    <n v="1"/>
    <n v="1"/>
  </r>
  <r>
    <m/>
    <s v="Afloat Environmental Protection Coordinator (Global Online) "/>
    <s v="A-4J-0022"/>
    <s v="09ER"/>
    <s v="Global Online"/>
    <d v="2025-06-23T00:00:00"/>
    <d v="2025-06-27T00:00:00"/>
    <m/>
    <d v="1899-12-30T13:00:00"/>
    <m/>
    <m/>
    <m/>
    <m/>
    <m/>
    <s v="M. Lacayo"/>
    <m/>
    <n v="45"/>
    <n v="16"/>
    <n v="5"/>
    <m/>
    <m/>
    <m/>
    <m/>
    <m/>
    <x v="0"/>
    <n v="401"/>
    <n v="1"/>
    <n v="1"/>
  </r>
  <r>
    <m/>
    <s v="Afloat Environmental Protection Coordinator (Global Online) "/>
    <s v="A-4J-0022"/>
    <s v="09ER"/>
    <s v="Global Online"/>
    <d v="2025-07-21T00:00:00"/>
    <d v="2025-07-25T00:00:00"/>
    <m/>
    <d v="1899-12-30T13:00:00"/>
    <m/>
    <m/>
    <m/>
    <m/>
    <m/>
    <s v="M. Lacayo"/>
    <m/>
    <n v="45"/>
    <n v="16"/>
    <n v="5"/>
    <m/>
    <m/>
    <m/>
    <m/>
    <m/>
    <x v="0"/>
    <n v="429"/>
    <n v="1"/>
    <n v="1"/>
  </r>
  <r>
    <m/>
    <s v="Afloat Environmental Protection Coordinator (Global Online) "/>
    <s v="A-4J-0022"/>
    <s v="09ER"/>
    <s v="Global Online"/>
    <d v="2025-08-04T00:00:00"/>
    <d v="2025-08-08T00:00:00"/>
    <m/>
    <d v="1899-12-30T13:00:00"/>
    <m/>
    <m/>
    <m/>
    <m/>
    <m/>
    <s v="BMC Sosaya"/>
    <m/>
    <n v="45"/>
    <n v="16"/>
    <n v="5"/>
    <m/>
    <m/>
    <m/>
    <m/>
    <m/>
    <x v="0"/>
    <n v="443"/>
    <n v="1"/>
    <n v="1"/>
  </r>
  <r>
    <m/>
    <s v="Asbestos Inspector Initial"/>
    <s v="A-493-0014"/>
    <n v="3878"/>
    <s v="Norfolk, VA Classroom 1"/>
    <d v="2024-10-28T00:00:00"/>
    <d v="2024-10-30T00:00:00"/>
    <d v="1899-12-30T08:00:00"/>
    <m/>
    <m/>
    <m/>
    <m/>
    <m/>
    <m/>
    <m/>
    <m/>
    <n v="25"/>
    <n v="24"/>
    <n v="3"/>
    <m/>
    <m/>
    <m/>
    <m/>
    <m/>
    <x v="0"/>
    <n v="161"/>
    <n v="1"/>
    <n v="1"/>
  </r>
  <r>
    <m/>
    <s v="Asbestos Inspector Initial"/>
    <s v="A-493-0014"/>
    <n v="3878"/>
    <s v="Pearl Harbor, HI"/>
    <d v="2025-07-14T00:00:00"/>
    <d v="2025-07-16T00:00:00"/>
    <d v="1899-12-30T08:00:00"/>
    <m/>
    <m/>
    <m/>
    <m/>
    <m/>
    <m/>
    <m/>
    <m/>
    <n v="25"/>
    <n v="24"/>
    <n v="3"/>
    <m/>
    <m/>
    <m/>
    <m/>
    <m/>
    <x v="0"/>
    <n v="420"/>
    <n v="1"/>
    <n v="1"/>
  </r>
  <r>
    <m/>
    <s v="Asbestos Inspector Refresher"/>
    <s v="A-493-0015"/>
    <n v="3879"/>
    <s v="Norfolk, VA Classroom 1"/>
    <d v="2024-10-16T00:00:00"/>
    <d v="2024-10-16T00:00:00"/>
    <d v="1899-12-30T08:00:00"/>
    <m/>
    <m/>
    <m/>
    <m/>
    <m/>
    <m/>
    <m/>
    <m/>
    <n v="30"/>
    <n v="4"/>
    <n v="1"/>
    <m/>
    <m/>
    <m/>
    <m/>
    <m/>
    <x v="0"/>
    <n v="147"/>
    <n v="1"/>
    <n v="1"/>
  </r>
  <r>
    <m/>
    <s v="Asbestos Inspector Refresher"/>
    <s v="A-493-0015"/>
    <n v="3879"/>
    <s v="Global Online"/>
    <d v="2025-02-12T00:00:00"/>
    <d v="2025-02-12T00:00:00"/>
    <m/>
    <d v="1899-12-30T18:00:00"/>
    <n v="1500"/>
    <s v="0100"/>
    <n v="2300"/>
    <n v="1200"/>
    <s v="0700"/>
    <m/>
    <m/>
    <n v="30"/>
    <n v="4"/>
    <n v="1"/>
    <m/>
    <m/>
    <m/>
    <m/>
    <m/>
    <x v="0"/>
    <n v="266"/>
    <n v="1"/>
    <n v="1"/>
  </r>
  <r>
    <m/>
    <s v="Asbestos Inspector Refresher"/>
    <s v="A-493-0015"/>
    <n v="3879"/>
    <s v="Global Online"/>
    <d v="2025-08-13T00:00:00"/>
    <d v="2025-08-13T00:00:00"/>
    <m/>
    <d v="1899-12-30T18:00:00"/>
    <m/>
    <m/>
    <m/>
    <m/>
    <m/>
    <m/>
    <m/>
    <n v="30"/>
    <n v="4"/>
    <n v="1"/>
    <m/>
    <m/>
    <m/>
    <m/>
    <m/>
    <x v="0"/>
    <n v="448"/>
    <n v="1"/>
    <n v="1"/>
  </r>
  <r>
    <m/>
    <s v="Asbestos Inspector Refresher"/>
    <s v="A-493-0015"/>
    <n v="3879"/>
    <s v="Pearl Harbor, HI"/>
    <d v="2025-07-22T00:00:00"/>
    <d v="2025-07-22T00:00:00"/>
    <d v="1899-12-30T08:00:00"/>
    <m/>
    <m/>
    <m/>
    <m/>
    <m/>
    <m/>
    <m/>
    <m/>
    <n v="30"/>
    <n v="4"/>
    <n v="1"/>
    <m/>
    <m/>
    <m/>
    <m/>
    <m/>
    <x v="0"/>
    <n v="426"/>
    <n v="1"/>
    <n v="1"/>
  </r>
  <r>
    <m/>
    <s v="Asbestos Management Planner Initial"/>
    <s v="A-493-0019"/>
    <n v="3882"/>
    <s v="Norfolk, VA Classroom 1"/>
    <d v="2024-10-31T00:00:00"/>
    <d v="2024-11-01T00:00:00"/>
    <d v="1899-12-30T08:00:00"/>
    <m/>
    <m/>
    <m/>
    <m/>
    <m/>
    <m/>
    <m/>
    <m/>
    <n v="25"/>
    <n v="16"/>
    <n v="2"/>
    <m/>
    <m/>
    <m/>
    <m/>
    <m/>
    <x v="0"/>
    <n v="163"/>
    <n v="1"/>
    <n v="1"/>
  </r>
  <r>
    <m/>
    <s v="Asbestos Management Planner Initial"/>
    <s v="A-493-0019"/>
    <n v="3882"/>
    <s v="Pearl Harbor, HI"/>
    <d v="2025-07-17T00:00:00"/>
    <d v="2025-07-18T00:00:00"/>
    <d v="1899-12-30T08:00:00"/>
    <m/>
    <m/>
    <m/>
    <m/>
    <m/>
    <m/>
    <m/>
    <m/>
    <n v="25"/>
    <n v="16"/>
    <n v="2"/>
    <m/>
    <m/>
    <m/>
    <m/>
    <m/>
    <x v="0"/>
    <n v="422"/>
    <n v="1"/>
    <n v="1"/>
  </r>
  <r>
    <m/>
    <s v="Asbestos Management Planner Refresher"/>
    <s v="A-493-0020"/>
    <n v="3888"/>
    <s v="Global Online"/>
    <d v="2025-02-13T00:00:00"/>
    <d v="2025-02-13T00:00:00"/>
    <m/>
    <d v="1899-12-30T18:00:00"/>
    <n v="1500"/>
    <s v="0100"/>
    <n v="2300"/>
    <n v="1200"/>
    <s v="0700"/>
    <m/>
    <m/>
    <n v="30"/>
    <n v="4"/>
    <n v="1"/>
    <m/>
    <m/>
    <m/>
    <m/>
    <m/>
    <x v="0"/>
    <n v="267"/>
    <n v="1"/>
    <n v="1"/>
  </r>
  <r>
    <m/>
    <s v="Asbestos Management Planner Refresher"/>
    <s v="A-493-0020"/>
    <n v="3888"/>
    <s v="Norfolk, VA Classroom 1"/>
    <d v="2024-10-16T00:00:00"/>
    <d v="2024-10-16T00:00:00"/>
    <d v="1899-12-30T13:00:00"/>
    <m/>
    <m/>
    <m/>
    <m/>
    <m/>
    <m/>
    <m/>
    <m/>
    <n v="30"/>
    <n v="4"/>
    <n v="1"/>
    <m/>
    <m/>
    <m/>
    <m/>
    <m/>
    <x v="0"/>
    <n v="147"/>
    <n v="1"/>
    <n v="1"/>
  </r>
  <r>
    <m/>
    <s v="Asbestos Management Planner Refresher"/>
    <s v="A-493-0020"/>
    <n v="3888"/>
    <s v="Global Online"/>
    <d v="2025-08-14T00:00:00"/>
    <d v="2025-08-14T00:00:00"/>
    <m/>
    <d v="1899-12-30T18:00:00"/>
    <m/>
    <m/>
    <m/>
    <m/>
    <m/>
    <m/>
    <m/>
    <n v="30"/>
    <n v="4"/>
    <n v="1"/>
    <m/>
    <m/>
    <m/>
    <m/>
    <m/>
    <x v="0"/>
    <n v="449"/>
    <n v="1"/>
    <n v="1"/>
  </r>
  <r>
    <m/>
    <s v="Asbestos Management Planner Refresher"/>
    <s v="A-493-0020"/>
    <n v="3888"/>
    <s v="Pearl Harbor, HI"/>
    <d v="2025-07-22T00:00:00"/>
    <d v="2025-07-22T00:00:00"/>
    <d v="1903-04-14T13:00:00"/>
    <m/>
    <m/>
    <m/>
    <m/>
    <m/>
    <m/>
    <m/>
    <m/>
    <n v="30"/>
    <n v="4"/>
    <n v="1"/>
    <m/>
    <m/>
    <m/>
    <m/>
    <m/>
    <x v="0"/>
    <n v="426"/>
    <n v="1"/>
    <n v="1"/>
  </r>
  <r>
    <m/>
    <s v="Asbestos Supervisor Initial"/>
    <s v="A-493-0069"/>
    <s v="450U"/>
    <s v="Norfolk, VA Classroom 1"/>
    <d v="2024-10-21T00:00:00"/>
    <d v="2024-10-25T00:00:00"/>
    <d v="1899-12-30T08:00:00"/>
    <m/>
    <m/>
    <m/>
    <m/>
    <m/>
    <m/>
    <m/>
    <m/>
    <n v="25"/>
    <n v="40"/>
    <n v="5"/>
    <m/>
    <m/>
    <m/>
    <m/>
    <m/>
    <x v="0"/>
    <n v="156"/>
    <n v="1"/>
    <n v="1"/>
  </r>
  <r>
    <m/>
    <s v="Asbestos Supervisor Initial"/>
    <s v="A-493-0069"/>
    <s v="450U"/>
    <s v="Pearl Harbor, HI"/>
    <d v="2025-07-07T00:00:00"/>
    <d v="2025-07-11T00:00:00"/>
    <d v="1899-12-30T08:00:00"/>
    <m/>
    <m/>
    <m/>
    <m/>
    <m/>
    <m/>
    <m/>
    <m/>
    <n v="25"/>
    <n v="40"/>
    <n v="5"/>
    <m/>
    <m/>
    <m/>
    <m/>
    <m/>
    <x v="0"/>
    <n v="415"/>
    <n v="1"/>
    <n v="1"/>
  </r>
  <r>
    <m/>
    <s v="Asbestos Supervisor Refresher"/>
    <s v="A-493-0070"/>
    <s v="450V"/>
    <s v="Norfolk, VA Classroom 1"/>
    <d v="2024-10-15T00:00:00"/>
    <d v="2024-10-15T00:00:00"/>
    <d v="1899-12-30T08:00:00"/>
    <m/>
    <m/>
    <m/>
    <m/>
    <m/>
    <m/>
    <m/>
    <m/>
    <n v="30"/>
    <n v="8"/>
    <n v="1"/>
    <m/>
    <m/>
    <m/>
    <m/>
    <m/>
    <x v="0"/>
    <n v="146"/>
    <n v="1"/>
    <n v="1"/>
  </r>
  <r>
    <m/>
    <s v="Asbestos Supervisor Refresher"/>
    <s v="A-493-0070"/>
    <s v="450V"/>
    <s v="Global Online"/>
    <d v="2025-02-10T00:00:00"/>
    <d v="2025-02-11T00:00:00"/>
    <m/>
    <d v="1899-12-30T18:00:00"/>
    <n v="1500"/>
    <n v="100"/>
    <n v="2300"/>
    <n v="1200"/>
    <s v="0700"/>
    <m/>
    <m/>
    <n v="30"/>
    <n v="8"/>
    <n v="1"/>
    <m/>
    <m/>
    <m/>
    <m/>
    <m/>
    <x v="0"/>
    <n v="265"/>
    <n v="1"/>
    <n v="1"/>
  </r>
  <r>
    <m/>
    <s v="Asbestos Supervisor Refresher"/>
    <s v="A-493-0070"/>
    <s v="450V"/>
    <s v="Global Online"/>
    <d v="2025-08-11T00:00:00"/>
    <d v="2025-08-12T00:00:00"/>
    <m/>
    <d v="1899-12-30T18:00:00"/>
    <m/>
    <m/>
    <m/>
    <m/>
    <m/>
    <m/>
    <m/>
    <n v="30"/>
    <n v="8"/>
    <n v="1"/>
    <m/>
    <m/>
    <m/>
    <m/>
    <m/>
    <x v="0"/>
    <n v="447"/>
    <n v="1"/>
    <n v="1"/>
  </r>
  <r>
    <m/>
    <s v="Asbestos Supervisor Refresher"/>
    <s v="A-493-0070"/>
    <s v="450V"/>
    <s v="Pearl Harbor, HI"/>
    <d v="2025-07-21T00:00:00"/>
    <d v="2025-07-21T00:00:00"/>
    <d v="1899-12-30T08:00:00"/>
    <m/>
    <m/>
    <m/>
    <m/>
    <m/>
    <m/>
    <m/>
    <m/>
    <n v="30"/>
    <n v="8"/>
    <n v="1"/>
    <m/>
    <m/>
    <m/>
    <m/>
    <m/>
    <x v="0"/>
    <n v="425"/>
    <n v="1"/>
    <n v="1"/>
  </r>
  <r>
    <s v="QTR 1 All Hands @0900"/>
    <s v="Command Function"/>
    <s v="Function"/>
    <s v="Function"/>
    <s v="Norfolk, VA Classroom 1"/>
    <d v="2024-10-11T00:00:00"/>
    <d v="2024-10-11T00:00:00"/>
    <m/>
    <m/>
    <m/>
    <m/>
    <m/>
    <m/>
    <m/>
    <m/>
    <m/>
    <n v="0"/>
    <n v="0"/>
    <n v="0"/>
    <m/>
    <m/>
    <m/>
    <m/>
    <m/>
    <x v="0"/>
    <n v="142"/>
    <n v="1"/>
    <n v="1"/>
  </r>
  <r>
    <s v="Thanksgiving Potluck"/>
    <s v="Command Function"/>
    <s v="Function"/>
    <s v="Function"/>
    <s v="Norfolk, VA Classroom 1"/>
    <d v="2024-11-25T00:00:00"/>
    <d v="2024-11-25T00:00:00"/>
    <m/>
    <m/>
    <m/>
    <m/>
    <m/>
    <m/>
    <m/>
    <m/>
    <m/>
    <n v="0"/>
    <n v="0"/>
    <n v="0"/>
    <m/>
    <m/>
    <m/>
    <m/>
    <m/>
    <x v="0"/>
    <n v="187"/>
    <n v="1"/>
    <n v="1"/>
  </r>
  <r>
    <s v="Christmas Function"/>
    <s v="Command Function"/>
    <s v="Function"/>
    <s v="Function"/>
    <s v="Norfolk, VA Classroom 2"/>
    <d v="2024-12-16T00:00:00"/>
    <d v="2024-12-16T00:00:00"/>
    <m/>
    <m/>
    <m/>
    <m/>
    <m/>
    <m/>
    <m/>
    <m/>
    <m/>
    <n v="0"/>
    <n v="0"/>
    <n v="0"/>
    <m/>
    <m/>
    <m/>
    <m/>
    <m/>
    <x v="0"/>
    <n v="208"/>
    <n v="1"/>
    <n v="1"/>
  </r>
  <r>
    <s v="QTR 2All Hands @0900"/>
    <s v="Command Function"/>
    <s v="Function"/>
    <s v="Function"/>
    <s v="Norfolk, VA Classroom 1"/>
    <d v="2025-01-31T00:00:00"/>
    <d v="2025-01-31T00:00:00"/>
    <m/>
    <m/>
    <m/>
    <m/>
    <m/>
    <m/>
    <m/>
    <m/>
    <m/>
    <n v="0"/>
    <n v="0"/>
    <n v="0"/>
    <m/>
    <m/>
    <m/>
    <m/>
    <m/>
    <x v="0"/>
    <n v="254"/>
    <n v="1"/>
    <n v="1"/>
  </r>
  <r>
    <s v="QTR 3 All Hands @0900/Potluck (Both Classrooms use)"/>
    <s v="Command Function"/>
    <s v="Function"/>
    <s v="Function"/>
    <s v="Norfolk, VA"/>
    <d v="2025-04-11T00:00:00"/>
    <d v="2025-04-11T00:00:00"/>
    <m/>
    <m/>
    <m/>
    <m/>
    <m/>
    <m/>
    <m/>
    <m/>
    <m/>
    <n v="0"/>
    <n v="0"/>
    <n v="0"/>
    <m/>
    <m/>
    <m/>
    <m/>
    <m/>
    <x v="0"/>
    <n v="324"/>
    <n v="1"/>
    <n v="1"/>
  </r>
  <r>
    <s v="July 4th Function"/>
    <s v="Command Function"/>
    <s v="Function"/>
    <s v="Function"/>
    <s v="Norfolk, VA Classroom 1"/>
    <d v="2025-07-01T00:00:00"/>
    <d v="2025-07-01T00:00:00"/>
    <m/>
    <m/>
    <m/>
    <m/>
    <m/>
    <m/>
    <m/>
    <m/>
    <m/>
    <n v="0"/>
    <n v="0"/>
    <n v="0"/>
    <m/>
    <m/>
    <m/>
    <m/>
    <m/>
    <x v="0"/>
    <n v="405"/>
    <n v="1"/>
    <n v="1"/>
  </r>
  <r>
    <s v="QTR 4 All Hands @0900"/>
    <s v="Command Function"/>
    <s v="Function"/>
    <s v="Function"/>
    <s v="Norfolk, VA Classroom 1"/>
    <d v="2025-08-15T00:00:00"/>
    <d v="2025-08-15T00:00:00"/>
    <m/>
    <m/>
    <m/>
    <m/>
    <m/>
    <m/>
    <m/>
    <m/>
    <m/>
    <n v="0"/>
    <n v="0"/>
    <n v="0"/>
    <m/>
    <m/>
    <m/>
    <m/>
    <m/>
    <x v="0"/>
    <n v="450"/>
    <n v="1"/>
    <n v="1"/>
  </r>
  <r>
    <m/>
    <s v="Competent Person for Fall Protection Course (Resident)"/>
    <s v="A-493-0103"/>
    <s v="12JY"/>
    <s v="Baltimore, MD"/>
    <d v="2025-04-07T00:00:00"/>
    <d v="2025-04-11T00:00:00"/>
    <d v="1899-12-30T08:00:00"/>
    <m/>
    <m/>
    <m/>
    <m/>
    <m/>
    <m/>
    <s v="SOH Contractor"/>
    <m/>
    <n v="25"/>
    <n v="40"/>
    <n v="5"/>
    <m/>
    <m/>
    <m/>
    <m/>
    <m/>
    <x v="0"/>
    <n v="324"/>
    <n v="1"/>
    <n v="1"/>
  </r>
  <r>
    <m/>
    <s v="Competent Person for Fall Protection Course (Resident)"/>
    <s v="A-493-0103"/>
    <s v="12JY"/>
    <s v="Baltimore, MD"/>
    <d v="2025-04-14T00:00:00"/>
    <d v="2025-04-18T00:00:00"/>
    <d v="1899-12-30T08:00:00"/>
    <m/>
    <m/>
    <m/>
    <m/>
    <m/>
    <m/>
    <s v="SOH Contractor"/>
    <m/>
    <n v="25"/>
    <n v="40"/>
    <n v="5"/>
    <m/>
    <m/>
    <m/>
    <m/>
    <m/>
    <x v="0"/>
    <n v="331"/>
    <n v="1"/>
    <n v="1"/>
  </r>
  <r>
    <m/>
    <s v="Aviation Safety Specialist (Global Online) "/>
    <s v="A-493-0665"/>
    <s v="10KW"/>
    <s v="Global Online"/>
    <d v="2024-11-17T00:00:00"/>
    <d v="2024-11-21T00:00:00"/>
    <m/>
    <d v="1899-12-30T19:00:00"/>
    <m/>
    <m/>
    <m/>
    <m/>
    <m/>
    <s v="PG-LS1"/>
    <m/>
    <n v="45"/>
    <n v="24"/>
    <n v="5"/>
    <m/>
    <m/>
    <m/>
    <m/>
    <m/>
    <x v="1"/>
    <n v="1"/>
    <n v="1"/>
    <m/>
  </r>
  <r>
    <m/>
    <s v="Aviation Safety Specialist (Global Online) "/>
    <s v="A-493-0665"/>
    <s v="10KW"/>
    <s v="Global Online"/>
    <d v="2024-12-09T00:00:00"/>
    <d v="2024-12-13T00:00:00"/>
    <m/>
    <d v="1899-12-30T08:00:00"/>
    <m/>
    <m/>
    <m/>
    <m/>
    <m/>
    <s v="PG-LS1"/>
    <m/>
    <n v="45"/>
    <n v="24"/>
    <n v="5"/>
    <m/>
    <m/>
    <m/>
    <m/>
    <m/>
    <x v="2"/>
    <n v="1"/>
    <n v="1"/>
    <m/>
  </r>
  <r>
    <m/>
    <s v="Competent Person for Fall Protection Course (Resident)"/>
    <s v="A-493-0103"/>
    <s v="12JY"/>
    <s v="Coronado, CA"/>
    <d v="2025-03-17T00:00:00"/>
    <d v="2025-03-21T00:00:00"/>
    <d v="1899-12-30T08:00:00"/>
    <m/>
    <m/>
    <m/>
    <m/>
    <m/>
    <m/>
    <s v="SOH Contractor"/>
    <m/>
    <n v="25"/>
    <n v="40"/>
    <n v="5"/>
    <m/>
    <m/>
    <m/>
    <m/>
    <m/>
    <x v="0"/>
    <n v="303"/>
    <n v="1"/>
    <n v="1"/>
  </r>
  <r>
    <m/>
    <s v="Competent Person for Fall Protection Course (Resident)"/>
    <s v="A-493-0103"/>
    <s v="12JY"/>
    <s v="Coronado, CA"/>
    <d v="2025-03-24T00:00:00"/>
    <d v="2025-03-28T00:00:00"/>
    <d v="1899-12-30T08:00:00"/>
    <m/>
    <m/>
    <m/>
    <m/>
    <m/>
    <m/>
    <s v="SOH Contractor"/>
    <m/>
    <n v="25"/>
    <n v="40"/>
    <n v="5"/>
    <m/>
    <m/>
    <m/>
    <m/>
    <m/>
    <x v="0"/>
    <n v="310"/>
    <n v="1"/>
    <n v="1"/>
  </r>
  <r>
    <m/>
    <s v="Competent Person for Fall Protection Course (Resident)"/>
    <s v="A-493-0103"/>
    <s v="12JY"/>
    <s v="Coronado, CA"/>
    <d v="2025-07-28T00:00:00"/>
    <d v="2025-08-01T00:00:00"/>
    <d v="1899-12-30T08:00:00"/>
    <m/>
    <m/>
    <m/>
    <m/>
    <m/>
    <m/>
    <s v="SOH Contractor"/>
    <m/>
    <n v="25"/>
    <n v="40"/>
    <n v="5"/>
    <m/>
    <m/>
    <m/>
    <m/>
    <m/>
    <x v="0"/>
    <n v="436"/>
    <n v="1"/>
    <n v="1"/>
  </r>
  <r>
    <m/>
    <s v="Competent Person for Fall Protection Course (Resident)"/>
    <s v="A-493-0103"/>
    <s v="12JY"/>
    <s v="Coronado, CA"/>
    <d v="2025-08-04T00:00:00"/>
    <d v="2025-08-08T00:00:00"/>
    <d v="1899-12-30T08:00:00"/>
    <m/>
    <m/>
    <m/>
    <m/>
    <m/>
    <m/>
    <s v="SOH Contractor"/>
    <m/>
    <n v="25"/>
    <n v="40"/>
    <n v="5"/>
    <m/>
    <m/>
    <m/>
    <m/>
    <m/>
    <x v="0"/>
    <n v="443"/>
    <n v="1"/>
    <n v="1"/>
  </r>
  <r>
    <m/>
    <s v="Competent Person for Fall Protection Course (Resident)"/>
    <s v="A-493-0103"/>
    <s v="12JY"/>
    <s v="Norfolk, VA Classroom 2"/>
    <d v="2024-10-21T00:00:00"/>
    <d v="2024-10-25T00:00:00"/>
    <d v="1899-12-30T08:00:00"/>
    <m/>
    <m/>
    <m/>
    <m/>
    <m/>
    <m/>
    <s v="SOH Contractor"/>
    <m/>
    <n v="25"/>
    <n v="40"/>
    <n v="5"/>
    <m/>
    <m/>
    <m/>
    <m/>
    <m/>
    <x v="0"/>
    <n v="156"/>
    <n v="1"/>
    <n v="1"/>
  </r>
  <r>
    <m/>
    <s v="Competent Person for Fall Protection Course (Resident)"/>
    <s v="A-493-0103"/>
    <s v="12JY"/>
    <s v="San Diego, CA"/>
    <d v="2024-10-21T00:00:00"/>
    <d v="2024-10-25T00:00:00"/>
    <d v="1899-12-30T08:00:00"/>
    <m/>
    <m/>
    <m/>
    <m/>
    <m/>
    <m/>
    <s v="SOH Contractor"/>
    <m/>
    <n v="25"/>
    <n v="40"/>
    <n v="5"/>
    <m/>
    <m/>
    <m/>
    <m/>
    <m/>
    <x v="0"/>
    <n v="156"/>
    <n v="1"/>
    <n v="1"/>
  </r>
  <r>
    <m/>
    <s v="Competent Person for Fall Protection Course (Resident)"/>
    <s v="A-493-0103"/>
    <s v="12JY"/>
    <s v="Jacksonville, FL"/>
    <d v="2025-01-27T00:00:00"/>
    <d v="2025-01-31T00:00:00"/>
    <d v="1899-12-30T08:00:00"/>
    <m/>
    <m/>
    <m/>
    <m/>
    <m/>
    <m/>
    <s v="SOH Contractor"/>
    <m/>
    <n v="25"/>
    <n v="40"/>
    <n v="5"/>
    <m/>
    <m/>
    <m/>
    <m/>
    <m/>
    <x v="0"/>
    <n v="254"/>
    <n v="1"/>
    <n v="1"/>
  </r>
  <r>
    <m/>
    <s v="Competent Person for Fall Protection Course (Resident)"/>
    <s v="A-493-0103"/>
    <s v="12JY"/>
    <s v="Jacksonville, FL"/>
    <d v="2025-02-03T00:00:00"/>
    <d v="2025-02-07T00:00:00"/>
    <d v="1899-12-30T08:00:00"/>
    <m/>
    <m/>
    <m/>
    <m/>
    <m/>
    <m/>
    <s v="SOH Contractor"/>
    <m/>
    <n v="25"/>
    <n v="40"/>
    <n v="5"/>
    <m/>
    <m/>
    <m/>
    <m/>
    <m/>
    <x v="0"/>
    <n v="261"/>
    <n v="1"/>
    <n v="1"/>
  </r>
  <r>
    <m/>
    <s v="Competent Person for Fall Protection Course (Resident)"/>
    <s v="A-493-0103"/>
    <s v="12JY"/>
    <s v="Norfolk, VA Classroom 2"/>
    <d v="2024-10-28T00:00:00"/>
    <d v="2024-11-01T00:00:00"/>
    <d v="1899-12-30T08:00:00"/>
    <m/>
    <m/>
    <m/>
    <m/>
    <m/>
    <m/>
    <s v="SOH Contractor"/>
    <m/>
    <n v="25"/>
    <n v="40"/>
    <n v="5"/>
    <m/>
    <m/>
    <m/>
    <m/>
    <m/>
    <x v="0"/>
    <n v="163"/>
    <n v="1"/>
    <n v="1"/>
  </r>
  <r>
    <m/>
    <s v="Competent Person for Fall Protection Course (Resident)"/>
    <s v="A-493-0103"/>
    <s v="12JY"/>
    <s v="San Diego, CA"/>
    <d v="2024-10-28T00:00:00"/>
    <d v="2024-11-01T00:00:00"/>
    <d v="1899-12-30T08:00:00"/>
    <m/>
    <m/>
    <m/>
    <m/>
    <m/>
    <m/>
    <s v="SOH Contractor"/>
    <m/>
    <n v="25"/>
    <n v="40"/>
    <n v="5"/>
    <m/>
    <m/>
    <m/>
    <m/>
    <m/>
    <x v="0"/>
    <n v="163"/>
    <n v="1"/>
    <n v="1"/>
  </r>
  <r>
    <m/>
    <s v="Competent Person for Fall Protection Course (Resident)"/>
    <s v="A-493-0103"/>
    <s v="12JY"/>
    <s v="Coronado, CA"/>
    <d v="2024-12-02T00:00:00"/>
    <d v="2024-12-06T00:00:00"/>
    <d v="1899-12-30T08:00:00"/>
    <m/>
    <m/>
    <m/>
    <m/>
    <m/>
    <m/>
    <s v="SOH Contractor"/>
    <m/>
    <n v="25"/>
    <n v="40"/>
    <n v="5"/>
    <m/>
    <m/>
    <m/>
    <m/>
    <m/>
    <x v="0"/>
    <n v="198"/>
    <n v="1"/>
    <n v="1"/>
  </r>
  <r>
    <m/>
    <s v="Competent Person for Fall Protection Course (Resident)"/>
    <s v="A-493-0103"/>
    <s v="12JY"/>
    <s v="Norfolk, VA Classroom 1"/>
    <d v="2025-01-06T00:00:00"/>
    <d v="2025-01-10T00:00:00"/>
    <d v="1899-12-30T08:00:00"/>
    <m/>
    <m/>
    <m/>
    <m/>
    <m/>
    <m/>
    <s v="SOH Contractor"/>
    <m/>
    <n v="25"/>
    <n v="40"/>
    <n v="5"/>
    <m/>
    <m/>
    <m/>
    <m/>
    <m/>
    <x v="0"/>
    <n v="233"/>
    <n v="1"/>
    <n v="1"/>
  </r>
  <r>
    <m/>
    <s v="Competent Person for Fall Protection Course (Resident)"/>
    <s v="A-493-0103"/>
    <s v="12JY"/>
    <s v="Norfolk, VA Classroom 1"/>
    <d v="2025-01-13T00:00:00"/>
    <d v="2025-01-07T00:00:00"/>
    <d v="1899-12-30T08:00:00"/>
    <m/>
    <m/>
    <m/>
    <m/>
    <m/>
    <m/>
    <s v="SOH Contractor"/>
    <m/>
    <n v="25"/>
    <n v="40"/>
    <n v="5"/>
    <m/>
    <m/>
    <m/>
    <m/>
    <m/>
    <x v="0"/>
    <n v="230"/>
    <n v="1"/>
    <n v="1"/>
  </r>
  <r>
    <m/>
    <s v="Competent Person for Fall Protection Course (Resident)"/>
    <s v="A-493-0103"/>
    <s v="12JY"/>
    <s v="Norfolk, VA Classroom 1"/>
    <d v="2025-02-24T00:00:00"/>
    <d v="2025-02-28T00:00:00"/>
    <d v="1899-12-30T08:00:00"/>
    <m/>
    <m/>
    <m/>
    <m/>
    <m/>
    <m/>
    <s v="SOH Contractor"/>
    <m/>
    <n v="25"/>
    <n v="40"/>
    <n v="5"/>
    <m/>
    <m/>
    <m/>
    <m/>
    <m/>
    <x v="0"/>
    <n v="282"/>
    <n v="1"/>
    <n v="1"/>
  </r>
  <r>
    <m/>
    <s v="Competent Person for Fall Protection Course (Resident)"/>
    <s v="A-493-0103"/>
    <s v="12JY"/>
    <s v="Norfolk, VA Classroom 1"/>
    <d v="2025-03-03T00:00:00"/>
    <d v="2025-03-07T00:00:00"/>
    <d v="1899-12-30T08:00:00"/>
    <m/>
    <m/>
    <m/>
    <m/>
    <m/>
    <m/>
    <s v="SOH Contractor"/>
    <m/>
    <n v="25"/>
    <n v="40"/>
    <n v="5"/>
    <m/>
    <m/>
    <m/>
    <m/>
    <m/>
    <x v="0"/>
    <n v="289"/>
    <n v="1"/>
    <n v="1"/>
  </r>
  <r>
    <m/>
    <s v="Competent Person for Fall Protection Course (Resident)"/>
    <s v="A-493-0103"/>
    <s v="12JY"/>
    <s v="Norfolk, VA Classroom 1"/>
    <d v="2025-04-07T00:00:00"/>
    <d v="2025-04-11T00:00:00"/>
    <d v="1899-12-30T08:00:00"/>
    <m/>
    <m/>
    <m/>
    <m/>
    <m/>
    <m/>
    <s v="SOH Contractor"/>
    <m/>
    <n v="25"/>
    <n v="40"/>
    <n v="5"/>
    <m/>
    <m/>
    <m/>
    <m/>
    <m/>
    <x v="0"/>
    <n v="324"/>
    <n v="1"/>
    <n v="1"/>
  </r>
  <r>
    <m/>
    <s v="Competent Person for Fall Protection Course (Resident)"/>
    <s v="A-493-0103"/>
    <s v="12JY"/>
    <s v="Norfolk, VA Classroom 1"/>
    <d v="2025-04-14T00:00:00"/>
    <d v="2025-04-18T00:00:00"/>
    <d v="1899-12-30T08:00:00"/>
    <m/>
    <m/>
    <m/>
    <m/>
    <m/>
    <m/>
    <s v="SOH Contractor"/>
    <m/>
    <n v="25"/>
    <n v="40"/>
    <n v="5"/>
    <m/>
    <m/>
    <m/>
    <m/>
    <m/>
    <x v="0"/>
    <n v="331"/>
    <n v="1"/>
    <n v="1"/>
  </r>
  <r>
    <m/>
    <s v="Competent Person for Fall Protection Course (Resident)"/>
    <s v="A-493-0103"/>
    <s v="12JY"/>
    <s v="Norfolk, VA Classroom 1"/>
    <d v="2025-07-07T00:00:00"/>
    <d v="2025-07-11T00:00:00"/>
    <d v="1899-12-30T08:00:00"/>
    <m/>
    <m/>
    <m/>
    <m/>
    <m/>
    <m/>
    <s v="SOH Contractor"/>
    <m/>
    <n v="25"/>
    <n v="40"/>
    <n v="5"/>
    <m/>
    <m/>
    <m/>
    <m/>
    <m/>
    <x v="0"/>
    <n v="415"/>
    <n v="1"/>
    <n v="1"/>
  </r>
  <r>
    <m/>
    <s v="Competent Person for Fall Protection Course (Resident)"/>
    <s v="A-493-0103"/>
    <s v="12JY"/>
    <s v="Norfolk, VA Classroom 1"/>
    <d v="2025-07-14T00:00:00"/>
    <d v="2025-07-18T00:00:00"/>
    <d v="1899-12-30T08:00:00"/>
    <m/>
    <m/>
    <m/>
    <m/>
    <m/>
    <m/>
    <s v="SOH Contractor"/>
    <m/>
    <n v="25"/>
    <n v="40"/>
    <n v="5"/>
    <m/>
    <m/>
    <m/>
    <m/>
    <m/>
    <x v="0"/>
    <n v="422"/>
    <n v="1"/>
    <n v="1"/>
  </r>
  <r>
    <m/>
    <s v="Competent Person for Fall Protection Course (Resident)"/>
    <s v="A-493-0103"/>
    <s v="12JY"/>
    <s v="Norfolk, VA Classroom 1"/>
    <d v="2025-07-28T00:00:00"/>
    <d v="2025-08-01T00:00:00"/>
    <d v="1899-12-30T08:00:00"/>
    <m/>
    <m/>
    <m/>
    <m/>
    <m/>
    <m/>
    <s v="SOH Contractor"/>
    <m/>
    <n v="25"/>
    <n v="40"/>
    <n v="5"/>
    <m/>
    <m/>
    <m/>
    <m/>
    <m/>
    <x v="0"/>
    <n v="436"/>
    <n v="1"/>
    <n v="1"/>
  </r>
  <r>
    <m/>
    <s v="Competent Person for Fall Protection Course (Resident)"/>
    <s v="A-493-0103"/>
    <s v="12JY"/>
    <s v="Norfolk, VA Classroom 1"/>
    <d v="2025-08-04T00:00:00"/>
    <d v="2025-08-08T00:00:00"/>
    <d v="1899-12-30T08:00:00"/>
    <m/>
    <m/>
    <m/>
    <m/>
    <m/>
    <m/>
    <s v="SOH Contractor"/>
    <m/>
    <n v="25"/>
    <n v="40"/>
    <n v="5"/>
    <m/>
    <m/>
    <m/>
    <m/>
    <m/>
    <x v="0"/>
    <n v="443"/>
    <n v="1"/>
    <n v="1"/>
  </r>
  <r>
    <m/>
    <s v="Competent Person for Fall Protection Course (Resident)"/>
    <s v="A-493-0103"/>
    <s v="12JY"/>
    <s v="Norfolk, VA Classroom 1"/>
    <d v="2025-08-18T00:00:00"/>
    <d v="2025-08-22T00:00:00"/>
    <d v="1899-12-30T08:00:00"/>
    <m/>
    <m/>
    <m/>
    <m/>
    <m/>
    <m/>
    <s v="SOH Contractor"/>
    <m/>
    <n v="25"/>
    <n v="40"/>
    <n v="5"/>
    <m/>
    <m/>
    <m/>
    <m/>
    <m/>
    <x v="0"/>
    <n v="457"/>
    <n v="1"/>
    <n v="1"/>
  </r>
  <r>
    <m/>
    <s v="Competent Person for Fall Protection Course (Resident)"/>
    <s v="A-493-0103"/>
    <s v="12JY"/>
    <s v="Norfolk, VA Classroom 1"/>
    <d v="2025-08-25T00:00:00"/>
    <d v="2025-08-29T00:00:00"/>
    <d v="1899-12-30T08:00:00"/>
    <m/>
    <m/>
    <m/>
    <m/>
    <m/>
    <m/>
    <s v="SOH Contractor"/>
    <m/>
    <n v="25"/>
    <n v="40"/>
    <n v="5"/>
    <m/>
    <m/>
    <m/>
    <m/>
    <m/>
    <x v="0"/>
    <n v="464"/>
    <n v="1"/>
    <n v="1"/>
  </r>
  <r>
    <m/>
    <s v="Competent Person for Fall Protection Course (Resident)"/>
    <s v="A-493-0103"/>
    <s v="12JY"/>
    <s v="Pearl Harbor, HI"/>
    <d v="2025-01-06T00:00:00"/>
    <d v="2025-01-10T00:00:00"/>
    <d v="1899-12-30T08:00:00"/>
    <m/>
    <m/>
    <m/>
    <m/>
    <m/>
    <m/>
    <s v="SOH Contractor"/>
    <m/>
    <n v="25"/>
    <n v="40"/>
    <n v="5"/>
    <m/>
    <m/>
    <m/>
    <m/>
    <m/>
    <x v="0"/>
    <n v="233"/>
    <n v="1"/>
    <n v="1"/>
  </r>
  <r>
    <m/>
    <s v="Competent Person for Fall Protection Course (Resident)"/>
    <s v="A-493-0103"/>
    <s v="12JY"/>
    <s v="Pearl Harbor, HI"/>
    <d v="2025-01-13T00:00:00"/>
    <d v="2025-01-17T00:00:00"/>
    <d v="1899-12-30T08:00:00"/>
    <m/>
    <m/>
    <m/>
    <m/>
    <m/>
    <m/>
    <s v="SOH Contractor"/>
    <m/>
    <n v="25"/>
    <n v="40"/>
    <n v="5"/>
    <m/>
    <m/>
    <m/>
    <m/>
    <m/>
    <x v="0"/>
    <n v="240"/>
    <n v="1"/>
    <n v="1"/>
  </r>
  <r>
    <m/>
    <s v="Competent Person for Fall Protection Course (Resident)"/>
    <s v="A-493-0103"/>
    <s v="12JY"/>
    <s v="Pearl Harbor, HI"/>
    <d v="2025-06-02T00:00:00"/>
    <d v="2025-06-06T00:00:00"/>
    <d v="1899-12-30T08:00:00"/>
    <m/>
    <m/>
    <m/>
    <m/>
    <m/>
    <m/>
    <s v="SOH Contractor"/>
    <m/>
    <n v="25"/>
    <n v="40"/>
    <n v="5"/>
    <m/>
    <m/>
    <m/>
    <m/>
    <m/>
    <x v="0"/>
    <n v="380"/>
    <n v="1"/>
    <n v="1"/>
  </r>
  <r>
    <m/>
    <s v="Competent Person for Fall Protection Course (Resident)"/>
    <s v="A-493-0103"/>
    <s v="12JY"/>
    <s v="Pearl Harbor, HI"/>
    <d v="2025-06-09T00:00:00"/>
    <d v="2025-06-13T00:00:00"/>
    <d v="1899-12-30T08:00:00"/>
    <m/>
    <m/>
    <m/>
    <m/>
    <m/>
    <m/>
    <s v="SOH Contractor"/>
    <m/>
    <n v="25"/>
    <n v="40"/>
    <n v="5"/>
    <m/>
    <m/>
    <m/>
    <m/>
    <m/>
    <x v="0"/>
    <n v="387"/>
    <n v="1"/>
    <n v="1"/>
  </r>
  <r>
    <m/>
    <s v="Competent Person for Fall Protection Course (Resident)"/>
    <s v="A-493-0103"/>
    <s v="12JY"/>
    <s v="Pearl Harbor, HI"/>
    <d v="2025-08-18T00:00:00"/>
    <d v="2025-08-22T00:00:00"/>
    <d v="1899-12-30T08:00:00"/>
    <m/>
    <m/>
    <m/>
    <m/>
    <m/>
    <m/>
    <s v="SOH Contractor"/>
    <m/>
    <n v="25"/>
    <n v="40"/>
    <n v="5"/>
    <m/>
    <m/>
    <m/>
    <m/>
    <m/>
    <x v="0"/>
    <n v="457"/>
    <n v="1"/>
    <n v="1"/>
  </r>
  <r>
    <m/>
    <s v="Competent Person for Fall Protection Course (Resident)"/>
    <s v="A-493-0103"/>
    <s v="12JY"/>
    <s v="Pearl Harbor, HI"/>
    <d v="2025-08-25T00:00:00"/>
    <d v="2025-08-29T00:00:00"/>
    <d v="1899-12-30T08:00:00"/>
    <m/>
    <m/>
    <m/>
    <m/>
    <m/>
    <m/>
    <s v="SOH Contractor"/>
    <m/>
    <n v="25"/>
    <n v="40"/>
    <n v="5"/>
    <m/>
    <m/>
    <m/>
    <m/>
    <m/>
    <x v="0"/>
    <n v="464"/>
    <n v="1"/>
    <n v="1"/>
  </r>
  <r>
    <m/>
    <s v="Competent Person for Fall Protection Course (Resident)"/>
    <s v="A-493-0103"/>
    <s v="12JY"/>
    <s v="Jacksonville, FL"/>
    <d v="2024-12-02T00:00:00"/>
    <d v="2024-12-06T00:00:00"/>
    <d v="1899-12-30T08:00:00"/>
    <m/>
    <m/>
    <m/>
    <m/>
    <m/>
    <m/>
    <s v="SOH Contractor"/>
    <m/>
    <n v="25"/>
    <n v="40"/>
    <n v="5"/>
    <m/>
    <m/>
    <m/>
    <m/>
    <m/>
    <x v="0"/>
    <n v="198"/>
    <n v="1"/>
    <n v="1"/>
  </r>
  <r>
    <m/>
    <s v="Competent Person for Fall Protection Course (Resident)"/>
    <s v="A-493-0103"/>
    <s v="12JY"/>
    <s v="Coronado, CA"/>
    <d v="2024-12-09T00:00:00"/>
    <d v="2024-12-13T00:00:00"/>
    <d v="1899-12-30T08:00:00"/>
    <m/>
    <m/>
    <m/>
    <m/>
    <m/>
    <m/>
    <s v="SOH Contractor"/>
    <m/>
    <n v="25"/>
    <n v="40"/>
    <n v="5"/>
    <m/>
    <m/>
    <m/>
    <m/>
    <m/>
    <x v="0"/>
    <n v="205"/>
    <n v="1"/>
    <n v="1"/>
  </r>
  <r>
    <m/>
    <s v="Competent Person for Fall Protection Course (Resident)"/>
    <s v="A-493-0103"/>
    <s v="12JY"/>
    <s v="Jacksonville, FL"/>
    <d v="2024-12-09T00:00:00"/>
    <d v="2024-12-13T00:00:00"/>
    <d v="1899-12-30T08:00:00"/>
    <m/>
    <m/>
    <m/>
    <m/>
    <m/>
    <m/>
    <s v="SOH Contractor"/>
    <m/>
    <n v="25"/>
    <n v="40"/>
    <n v="5"/>
    <m/>
    <m/>
    <m/>
    <m/>
    <m/>
    <x v="0"/>
    <n v="205"/>
    <n v="1"/>
    <n v="1"/>
  </r>
  <r>
    <m/>
    <s v="Competent Person for Fall Protection Course (Resident)"/>
    <s v="A-493-0103"/>
    <s v="12JY"/>
    <s v="San Diego, CA"/>
    <d v="2025-01-27T00:00:00"/>
    <d v="2025-01-31T00:00:00"/>
    <d v="1899-12-30T08:00:00"/>
    <m/>
    <m/>
    <m/>
    <m/>
    <m/>
    <m/>
    <s v="SOH Contractor"/>
    <m/>
    <n v="25"/>
    <n v="40"/>
    <n v="5"/>
    <m/>
    <m/>
    <m/>
    <m/>
    <m/>
    <x v="0"/>
    <n v="254"/>
    <n v="1"/>
    <n v="1"/>
  </r>
  <r>
    <m/>
    <s v="Competent Person for Fall Protection Course (Resident)"/>
    <s v="A-493-0103"/>
    <s v="12JY"/>
    <s v="San Diego, CA"/>
    <d v="2025-02-03T00:00:00"/>
    <d v="2025-02-07T00:00:00"/>
    <d v="1899-12-30T08:00:00"/>
    <m/>
    <m/>
    <m/>
    <m/>
    <m/>
    <m/>
    <s v="SOH Contractor"/>
    <m/>
    <n v="25"/>
    <n v="40"/>
    <n v="5"/>
    <m/>
    <m/>
    <m/>
    <m/>
    <m/>
    <x v="0"/>
    <n v="261"/>
    <n v="1"/>
    <n v="1"/>
  </r>
  <r>
    <m/>
    <s v="Competent Person for Fall Protection Course (Resident)"/>
    <s v="A-493-0103"/>
    <s v="12JY"/>
    <s v="San Diego, CA"/>
    <d v="2025-03-17T00:00:00"/>
    <d v="2025-03-21T00:00:00"/>
    <d v="1899-12-30T08:00:00"/>
    <m/>
    <m/>
    <m/>
    <m/>
    <m/>
    <m/>
    <s v="SOH Contractor"/>
    <m/>
    <n v="25"/>
    <n v="40"/>
    <n v="5"/>
    <m/>
    <m/>
    <m/>
    <m/>
    <m/>
    <x v="0"/>
    <n v="303"/>
    <n v="1"/>
    <n v="1"/>
  </r>
  <r>
    <m/>
    <s v="Competent Person for Fall Protection Course (Resident)"/>
    <s v="A-493-0103"/>
    <s v="12JY"/>
    <s v="San Diego, CA"/>
    <d v="2025-03-24T00:00:00"/>
    <d v="2025-03-28T00:00:00"/>
    <d v="1899-12-30T08:00:00"/>
    <m/>
    <m/>
    <m/>
    <m/>
    <m/>
    <m/>
    <s v="SOH Contractor"/>
    <m/>
    <n v="25"/>
    <n v="40"/>
    <n v="5"/>
    <m/>
    <m/>
    <m/>
    <m/>
    <m/>
    <x v="0"/>
    <n v="310"/>
    <n v="1"/>
    <n v="1"/>
  </r>
  <r>
    <m/>
    <s v="Competent Person for Fall Protection Course (Resident)"/>
    <s v="A-493-0103"/>
    <s v="12JY"/>
    <s v="San Diego, CA"/>
    <d v="2025-04-28T00:00:00"/>
    <d v="2025-05-02T00:00:00"/>
    <d v="1899-12-30T08:00:00"/>
    <m/>
    <m/>
    <m/>
    <m/>
    <m/>
    <m/>
    <s v="SOH Contractor"/>
    <m/>
    <n v="25"/>
    <n v="40"/>
    <n v="5"/>
    <m/>
    <m/>
    <m/>
    <m/>
    <m/>
    <x v="0"/>
    <n v="345"/>
    <n v="1"/>
    <n v="1"/>
  </r>
  <r>
    <m/>
    <s v="Competent Person for Fall Protection Course (Resident)"/>
    <s v="A-493-0103"/>
    <s v="12JY"/>
    <s v="San Diego, CA"/>
    <d v="2025-05-05T00:00:00"/>
    <d v="2025-05-09T00:00:00"/>
    <d v="1899-12-30T08:00:00"/>
    <m/>
    <m/>
    <m/>
    <m/>
    <m/>
    <m/>
    <s v="SOH Contractor"/>
    <m/>
    <n v="25"/>
    <n v="40"/>
    <n v="5"/>
    <m/>
    <m/>
    <m/>
    <m/>
    <m/>
    <x v="0"/>
    <n v="352"/>
    <n v="1"/>
    <n v="1"/>
  </r>
  <r>
    <m/>
    <s v="Competent Person for Fall Protection Course (Resident)"/>
    <s v="A-493-0103"/>
    <s v="12JY"/>
    <s v="Whidbey Island, WA"/>
    <d v="2025-04-28T00:00:00"/>
    <d v="2025-05-02T00:00:00"/>
    <d v="1899-12-30T08:00:00"/>
    <m/>
    <m/>
    <m/>
    <m/>
    <m/>
    <m/>
    <s v="SOH Contractor"/>
    <m/>
    <n v="25"/>
    <n v="40"/>
    <n v="5"/>
    <m/>
    <m/>
    <m/>
    <m/>
    <m/>
    <x v="0"/>
    <n v="345"/>
    <n v="1"/>
    <n v="1"/>
  </r>
  <r>
    <m/>
    <s v="Competent Person for Fall Protection Course (Resident)"/>
    <s v="A-493-0103"/>
    <s v="12JY"/>
    <s v="Whidbey Island, WA"/>
    <d v="2025-05-05T00:00:00"/>
    <d v="2025-05-09T00:00:00"/>
    <d v="1899-12-30T08:00:00"/>
    <m/>
    <m/>
    <m/>
    <m/>
    <m/>
    <m/>
    <s v="SOH Contractor"/>
    <m/>
    <n v="25"/>
    <n v="40"/>
    <n v="5"/>
    <m/>
    <m/>
    <m/>
    <m/>
    <m/>
    <x v="0"/>
    <n v="352"/>
    <n v="1"/>
    <n v="1"/>
  </r>
  <r>
    <m/>
    <s v="Competent Person for Fall Protection Course (Resident)"/>
    <s v="A-493-0103"/>
    <s v="12JY"/>
    <s v="Whidbey Island, WA"/>
    <d v="2025-07-07T00:00:00"/>
    <d v="2025-07-11T00:00:00"/>
    <d v="1899-12-30T08:00:00"/>
    <m/>
    <m/>
    <m/>
    <m/>
    <m/>
    <m/>
    <s v="SOH Contractor"/>
    <m/>
    <n v="25"/>
    <n v="40"/>
    <n v="5"/>
    <m/>
    <m/>
    <m/>
    <m/>
    <m/>
    <x v="0"/>
    <n v="415"/>
    <n v="1"/>
    <n v="1"/>
  </r>
  <r>
    <m/>
    <s v="Competent Person for Fall Protection Course (Resident)"/>
    <s v="A-493-0103"/>
    <s v="12JY"/>
    <s v="Whidbey Island, WA"/>
    <d v="2025-07-14T00:00:00"/>
    <d v="2025-07-18T00:00:00"/>
    <d v="1899-12-30T08:00:00"/>
    <m/>
    <m/>
    <m/>
    <m/>
    <m/>
    <m/>
    <s v="SOH Contractor"/>
    <m/>
    <n v="25"/>
    <n v="40"/>
    <n v="5"/>
    <m/>
    <m/>
    <m/>
    <m/>
    <m/>
    <x v="0"/>
    <n v="422"/>
    <n v="1"/>
    <n v="1"/>
  </r>
  <r>
    <m/>
    <s v="Competent Person for Fall Protection Course (Resident)"/>
    <s v="A-493-0103"/>
    <s v="12JY"/>
    <s v="Yokosuka, Japan"/>
    <d v="2025-02-24T00:00:00"/>
    <d v="2025-02-28T00:00:00"/>
    <d v="1899-12-30T08:00:00"/>
    <m/>
    <m/>
    <m/>
    <m/>
    <m/>
    <m/>
    <s v="SOH Contractor"/>
    <m/>
    <n v="25"/>
    <n v="40"/>
    <n v="5"/>
    <m/>
    <m/>
    <m/>
    <m/>
    <m/>
    <x v="0"/>
    <n v="282"/>
    <n v="1"/>
    <n v="1"/>
  </r>
  <r>
    <m/>
    <s v="Competent Person for Fall Protection Course (Resident)"/>
    <s v="A-493-0103"/>
    <s v="12JY"/>
    <s v="Yokosuka, Japan"/>
    <d v="2025-03-03T00:00:00"/>
    <d v="2025-03-07T00:00:00"/>
    <d v="1899-12-30T08:00:00"/>
    <m/>
    <m/>
    <m/>
    <m/>
    <m/>
    <m/>
    <s v="SOH Contractor"/>
    <m/>
    <n v="25"/>
    <n v="40"/>
    <n v="5"/>
    <m/>
    <m/>
    <m/>
    <m/>
    <m/>
    <x v="0"/>
    <n v="289"/>
    <n v="1"/>
    <n v="1"/>
  </r>
  <r>
    <m/>
    <s v="Competent Person for Fall Protection Course (Resident)"/>
    <s v="A-493-0103"/>
    <s v="12JY"/>
    <s v="Yokosuka, Japan"/>
    <d v="2025-06-02T00:00:00"/>
    <d v="2025-06-06T00:00:00"/>
    <d v="1899-12-30T08:00:00"/>
    <m/>
    <m/>
    <m/>
    <m/>
    <m/>
    <m/>
    <s v="SOH Contractor"/>
    <m/>
    <n v="25"/>
    <n v="40"/>
    <n v="5"/>
    <m/>
    <m/>
    <m/>
    <m/>
    <m/>
    <x v="0"/>
    <n v="380"/>
    <n v="1"/>
    <n v="1"/>
  </r>
  <r>
    <m/>
    <s v="Competent Person for Fall Protection Course (Resident)"/>
    <s v="A-493-0103"/>
    <s v="12JY"/>
    <s v="Yokosuka, Japan"/>
    <d v="2025-06-09T00:00:00"/>
    <d v="2025-06-13T00:00:00"/>
    <d v="1899-12-30T08:00:00"/>
    <m/>
    <m/>
    <m/>
    <m/>
    <m/>
    <m/>
    <s v="SOH Contractor"/>
    <m/>
    <n v="25"/>
    <n v="40"/>
    <n v="5"/>
    <m/>
    <m/>
    <m/>
    <m/>
    <m/>
    <x v="0"/>
    <n v="387"/>
    <n v="1"/>
    <n v="1"/>
  </r>
  <r>
    <m/>
    <s v="Construction Safety Standards"/>
    <s v="A-493-0021"/>
    <s v="18BN"/>
    <s v="Coronado, CA"/>
    <d v="2025-08-25T00:00:00"/>
    <d v="2025-08-29T00:00:00"/>
    <d v="1899-12-30T08:00:00"/>
    <m/>
    <m/>
    <m/>
    <m/>
    <m/>
    <m/>
    <s v="SOH Contractor"/>
    <m/>
    <n v="35"/>
    <n v="30"/>
    <n v="5"/>
    <m/>
    <m/>
    <m/>
    <m/>
    <m/>
    <x v="0"/>
    <n v="464"/>
    <n v="1"/>
    <n v="1"/>
  </r>
  <r>
    <s v="Seabees Gulfport special convening "/>
    <s v="Construction Safety Standards"/>
    <s v="A-493-0021"/>
    <s v="18BN"/>
    <s v="Gulfport, MS"/>
    <d v="2025-05-12T00:00:00"/>
    <d v="2025-05-16T00:00:00"/>
    <d v="1899-12-30T08:00:00"/>
    <m/>
    <m/>
    <m/>
    <m/>
    <m/>
    <m/>
    <s v="SOH Contractor"/>
    <m/>
    <n v="35"/>
    <n v="30"/>
    <n v="5"/>
    <m/>
    <m/>
    <m/>
    <m/>
    <m/>
    <x v="0"/>
    <n v="359"/>
    <n v="1"/>
    <n v="1"/>
  </r>
  <r>
    <m/>
    <s v="Construction Safety Standards"/>
    <s v="A-493-0021"/>
    <s v="18BN"/>
    <s v="Norfolk, VA Classroom 1"/>
    <d v="2025-03-17T00:00:00"/>
    <d v="2025-03-21T00:00:00"/>
    <d v="1899-12-30T08:00:00"/>
    <m/>
    <m/>
    <m/>
    <m/>
    <m/>
    <m/>
    <s v="SOH Contractor"/>
    <m/>
    <n v="35"/>
    <n v="30"/>
    <n v="5"/>
    <m/>
    <m/>
    <m/>
    <m/>
    <m/>
    <x v="0"/>
    <n v="303"/>
    <n v="1"/>
    <n v="1"/>
  </r>
  <r>
    <m/>
    <s v="Construction Safety Standards"/>
    <s v="A-493-0021"/>
    <s v="18BN"/>
    <s v="Pearl Harbor, HI"/>
    <d v="2025-06-02T00:00:00"/>
    <d v="2025-06-06T00:00:00"/>
    <d v="1899-12-30T08:00:00"/>
    <m/>
    <m/>
    <m/>
    <m/>
    <m/>
    <m/>
    <s v="SOH Contractor"/>
    <m/>
    <n v="35"/>
    <n v="30"/>
    <n v="5"/>
    <m/>
    <m/>
    <m/>
    <m/>
    <m/>
    <x v="0"/>
    <n v="380"/>
    <n v="1"/>
    <n v="1"/>
  </r>
  <r>
    <m/>
    <s v="Construction Safety Standards"/>
    <s v="A-493-0021"/>
    <s v="18BN"/>
    <s v="Pearl Harbor, HI"/>
    <d v="2025-06-09T00:00:00"/>
    <d v="2025-06-23T00:00:00"/>
    <d v="1899-12-30T08:00:00"/>
    <m/>
    <m/>
    <m/>
    <m/>
    <m/>
    <m/>
    <s v="SOH Contractor"/>
    <m/>
    <n v="35"/>
    <n v="30"/>
    <n v="5"/>
    <m/>
    <m/>
    <m/>
    <m/>
    <m/>
    <x v="0"/>
    <n v="397"/>
    <n v="1"/>
    <n v="1"/>
  </r>
  <r>
    <s v="Seabees Port Hueneme special conveing"/>
    <s v="Construction Safety Standards"/>
    <s v="A-493-0021"/>
    <s v="18BN"/>
    <s v="Port Hueneme, CA"/>
    <d v="2025-07-28T00:00:00"/>
    <d v="2025-08-01T00:00:00"/>
    <d v="1899-12-30T08:00:00"/>
    <m/>
    <m/>
    <m/>
    <m/>
    <m/>
    <m/>
    <s v="SOH Contractor"/>
    <m/>
    <n v="35"/>
    <n v="30"/>
    <n v="5"/>
    <m/>
    <m/>
    <m/>
    <m/>
    <m/>
    <x v="0"/>
    <n v="436"/>
    <n v="1"/>
    <n v="1"/>
  </r>
  <r>
    <m/>
    <s v="Construction Safety Standards"/>
    <s v="A-493-0021"/>
    <s v="18BN"/>
    <s v="Portsmouth, NH"/>
    <d v="2025-04-14T00:00:00"/>
    <d v="2025-04-18T00:00:00"/>
    <d v="1899-12-30T08:00:00"/>
    <m/>
    <m/>
    <m/>
    <m/>
    <m/>
    <m/>
    <s v="SOH Contractor"/>
    <m/>
    <n v="35"/>
    <n v="30"/>
    <n v="5"/>
    <m/>
    <m/>
    <m/>
    <m/>
    <m/>
    <x v="0"/>
    <n v="331"/>
    <n v="1"/>
    <n v="1"/>
  </r>
  <r>
    <m/>
    <s v="Construction Safety Standards"/>
    <s v="A-493-0021"/>
    <s v="18BN"/>
    <s v="San Diego, CA"/>
    <d v="2025-02-24T00:00:00"/>
    <d v="2025-02-27T00:00:00"/>
    <d v="1899-12-30T08:00:00"/>
    <m/>
    <m/>
    <m/>
    <m/>
    <m/>
    <m/>
    <s v="SOH Contractor"/>
    <m/>
    <n v="35"/>
    <n v="30"/>
    <n v="5"/>
    <m/>
    <m/>
    <m/>
    <m/>
    <m/>
    <x v="0"/>
    <n v="281"/>
    <n v="1"/>
    <n v="1"/>
  </r>
  <r>
    <m/>
    <s v="Construction Safety Standards"/>
    <s v="A-493-0021"/>
    <s v="18BN"/>
    <s v="Norfolk, VA Classroom 1"/>
    <d v="2025-09-22T00:00:00"/>
    <d v="2025-09-26T00:00:00"/>
    <d v="1899-12-30T08:00:00"/>
    <m/>
    <m/>
    <m/>
    <m/>
    <m/>
    <m/>
    <s v="SOH Contractor"/>
    <m/>
    <n v="35"/>
    <n v="30"/>
    <n v="5"/>
    <m/>
    <m/>
    <m/>
    <m/>
    <m/>
    <x v="0"/>
    <n v="492"/>
    <n v="1"/>
    <n v="1"/>
  </r>
  <r>
    <m/>
    <s v="Construction Safety Standards"/>
    <s v="A-493-0021"/>
    <s v="18BN"/>
    <s v="Washington, DC"/>
    <d v="2025-01-27T00:00:00"/>
    <d v="2025-01-31T00:00:00"/>
    <d v="1899-12-30T08:00:00"/>
    <m/>
    <m/>
    <m/>
    <m/>
    <m/>
    <m/>
    <s v="SOH Contractor"/>
    <m/>
    <n v="35"/>
    <n v="30"/>
    <n v="5"/>
    <m/>
    <m/>
    <m/>
    <m/>
    <m/>
    <x v="0"/>
    <n v="254"/>
    <n v="1"/>
    <n v="1"/>
  </r>
  <r>
    <m/>
    <s v="Facility Response Team (FRT) Five Day"/>
    <s v="A-493-0012"/>
    <n v="3682"/>
    <s v="Guam"/>
    <d v="2025-01-06T00:00:00"/>
    <d v="2025-01-10T00:00:00"/>
    <d v="1899-12-30T08:00:00"/>
    <m/>
    <m/>
    <m/>
    <m/>
    <m/>
    <m/>
    <s v="ENV Contractor"/>
    <m/>
    <n v="40"/>
    <n v="40"/>
    <n v="5"/>
    <m/>
    <m/>
    <m/>
    <m/>
    <m/>
    <x v="0"/>
    <n v="233"/>
    <n v="1"/>
    <n v="1"/>
  </r>
  <r>
    <m/>
    <s v="Facility Response Team (FRT) Five Day"/>
    <s v="A-493-0012"/>
    <n v="3682"/>
    <s v="Pearl Harbor, HI"/>
    <d v="2025-01-13T00:00:00"/>
    <d v="2025-01-17T00:00:00"/>
    <d v="1899-12-30T08:00:00"/>
    <m/>
    <m/>
    <m/>
    <m/>
    <m/>
    <m/>
    <s v="ENV Contractor"/>
    <m/>
    <n v="40"/>
    <n v="40"/>
    <n v="5"/>
    <m/>
    <m/>
    <m/>
    <m/>
    <m/>
    <x v="0"/>
    <n v="240"/>
    <n v="1"/>
    <n v="1"/>
  </r>
  <r>
    <s v="Andros, Bahamas (CNRSE)"/>
    <s v="Facility Response Team (FRT) Three Day"/>
    <s v="A-493-0013"/>
    <n v="3683"/>
    <s v="Andros, Bahamas"/>
    <d v="2025-01-28T00:00:00"/>
    <d v="2025-01-30T00:00:00"/>
    <d v="1899-12-30T08:00:00"/>
    <m/>
    <m/>
    <m/>
    <m/>
    <m/>
    <m/>
    <s v="ENV Contractor"/>
    <m/>
    <n v="40"/>
    <n v="24"/>
    <n v="3"/>
    <m/>
    <m/>
    <m/>
    <m/>
    <m/>
    <x v="0"/>
    <n v="253"/>
    <n v="1"/>
    <n v="1"/>
  </r>
  <r>
    <m/>
    <s v="Facility Response Team (FRT) Five Day"/>
    <s v="A-493-0012"/>
    <n v="3682"/>
    <s v="San Diego, CA"/>
    <d v="2025-02-03T00:00:00"/>
    <d v="2025-02-07T00:00:00"/>
    <d v="1899-12-30T08:00:00"/>
    <m/>
    <m/>
    <m/>
    <m/>
    <m/>
    <m/>
    <s v="ENV Contractor"/>
    <m/>
    <n v="40"/>
    <n v="40"/>
    <n v="5"/>
    <m/>
    <m/>
    <m/>
    <m/>
    <m/>
    <x v="0"/>
    <n v="261"/>
    <n v="1"/>
    <n v="1"/>
  </r>
  <r>
    <m/>
    <s v="Facility Response Team (FRT) Five Day"/>
    <s v="A-493-0012"/>
    <n v="3682"/>
    <s v="Diego Garcia"/>
    <d v="2025-02-24T00:00:00"/>
    <d v="2025-02-28T00:00:00"/>
    <d v="1899-12-30T08:00:00"/>
    <m/>
    <m/>
    <m/>
    <m/>
    <m/>
    <m/>
    <s v="ENV Contractor"/>
    <m/>
    <n v="40"/>
    <n v="40"/>
    <n v="5"/>
    <m/>
    <m/>
    <m/>
    <m/>
    <m/>
    <x v="0"/>
    <n v="282"/>
    <n v="1"/>
    <n v="1"/>
  </r>
  <r>
    <m/>
    <s v="Facility Response Team (FRT) Five Day"/>
    <s v="A-493-0012"/>
    <n v="3682"/>
    <s v="Guantanamo Bay, Cuba"/>
    <d v="2025-03-10T00:00:00"/>
    <d v="2025-03-14T00:00:00"/>
    <d v="1899-12-30T08:00:00"/>
    <m/>
    <m/>
    <m/>
    <m/>
    <m/>
    <m/>
    <s v="ENV Contractor"/>
    <m/>
    <n v="40"/>
    <n v="40"/>
    <n v="5"/>
    <m/>
    <m/>
    <m/>
    <m/>
    <m/>
    <x v="0"/>
    <n v="296"/>
    <n v="1"/>
    <n v="1"/>
  </r>
  <r>
    <m/>
    <s v="Facility Response Team (FRT) Five Day"/>
    <s v="A-493-0012"/>
    <n v="3682"/>
    <s v="Mayport, FL"/>
    <d v="2025-03-17T00:00:00"/>
    <d v="2025-03-21T00:00:00"/>
    <d v="1899-12-30T08:00:00"/>
    <m/>
    <m/>
    <m/>
    <m/>
    <m/>
    <m/>
    <s v="ENV Contractor"/>
    <m/>
    <n v="40"/>
    <n v="40"/>
    <n v="5"/>
    <m/>
    <m/>
    <m/>
    <m/>
    <m/>
    <x v="0"/>
    <n v="303"/>
    <n v="1"/>
    <n v="1"/>
  </r>
  <r>
    <s v="USMC"/>
    <s v="Facility Response Team (FRT) Three Day"/>
    <s v="A-493-0013"/>
    <n v="3683"/>
    <s v="Camp Lejeune, NC"/>
    <d v="2025-03-25T00:00:00"/>
    <d v="2025-03-27T00:00:00"/>
    <d v="1899-12-30T08:00:00"/>
    <m/>
    <m/>
    <m/>
    <m/>
    <m/>
    <m/>
    <s v="ENV Contractor"/>
    <m/>
    <n v="40"/>
    <n v="24"/>
    <n v="3"/>
    <m/>
    <m/>
    <m/>
    <m/>
    <m/>
    <x v="0"/>
    <n v="309"/>
    <n v="1"/>
    <n v="1"/>
  </r>
  <r>
    <m/>
    <s v="Facility Response Team (FRT) Five Day"/>
    <s v="A-493-0012"/>
    <n v="3682"/>
    <s v="Panama City, FL"/>
    <d v="2025-03-31T00:00:00"/>
    <d v="2025-04-04T00:00:00"/>
    <d v="1899-12-30T08:00:00"/>
    <m/>
    <m/>
    <m/>
    <m/>
    <m/>
    <m/>
    <s v="ENV Contractor"/>
    <m/>
    <n v="40"/>
    <n v="40"/>
    <n v="5"/>
    <m/>
    <m/>
    <m/>
    <m/>
    <m/>
    <x v="0"/>
    <n v="317"/>
    <n v="1"/>
    <n v="1"/>
  </r>
  <r>
    <s v="Key West, FL (CNRSE)"/>
    <s v="Facility Response Team (FRT) Five Day"/>
    <s v="A-493-0012"/>
    <n v="3682"/>
    <s v="Key West, FL"/>
    <d v="2025-04-07T00:00:00"/>
    <d v="2025-04-11T00:00:00"/>
    <d v="1899-12-30T08:00:00"/>
    <m/>
    <m/>
    <m/>
    <m/>
    <m/>
    <m/>
    <s v="ENV Contractor"/>
    <m/>
    <n v="40"/>
    <n v="40"/>
    <n v="5"/>
    <m/>
    <m/>
    <m/>
    <m/>
    <m/>
    <x v="0"/>
    <n v="324"/>
    <n v="1"/>
    <n v="1"/>
  </r>
  <r>
    <m/>
    <s v="Facility Response Team (FRT) Five Day"/>
    <s v="A-493-0012"/>
    <n v="3682"/>
    <s v="Sasebo, Japan"/>
    <d v="2025-04-07T00:00:00"/>
    <d v="2025-04-11T00:00:00"/>
    <d v="1899-12-30T08:00:00"/>
    <m/>
    <m/>
    <m/>
    <m/>
    <m/>
    <m/>
    <s v="ENV Contractor"/>
    <m/>
    <n v="40"/>
    <n v="40"/>
    <n v="5"/>
    <m/>
    <m/>
    <m/>
    <m/>
    <m/>
    <x v="0"/>
    <n v="324"/>
    <n v="1"/>
    <n v="1"/>
  </r>
  <r>
    <m/>
    <s v="Facility Response Team (FRT) Five Day"/>
    <s v="A-493-0012"/>
    <n v="3682"/>
    <s v="Kings Bay, GA"/>
    <d v="2025-04-14T00:00:00"/>
    <d v="2025-04-18T00:00:00"/>
    <d v="1899-12-30T08:00:00"/>
    <m/>
    <m/>
    <m/>
    <m/>
    <m/>
    <m/>
    <s v="ENV Contractor"/>
    <m/>
    <n v="40"/>
    <n v="40"/>
    <n v="5"/>
    <m/>
    <m/>
    <m/>
    <m/>
    <m/>
    <x v="0"/>
    <n v="331"/>
    <n v="1"/>
    <n v="1"/>
  </r>
  <r>
    <s v="NAVSUP FLCS"/>
    <s v="Facility Response Team (FRT) Three Day"/>
    <s v="A-493-0013"/>
    <n v="3683"/>
    <s v="Sasebo, Japan"/>
    <d v="2025-04-14T00:00:00"/>
    <d v="2025-04-16T00:00:00"/>
    <d v="1899-12-30T08:00:00"/>
    <m/>
    <m/>
    <m/>
    <m/>
    <m/>
    <m/>
    <s v="ENV Contractor"/>
    <m/>
    <n v="40"/>
    <n v="24"/>
    <n v="3"/>
    <m/>
    <m/>
    <m/>
    <m/>
    <m/>
    <x v="0"/>
    <n v="329"/>
    <n v="1"/>
    <n v="1"/>
  </r>
  <r>
    <s v="CFA YOKOSUKA"/>
    <s v="Facility Response Team (FRT) Five Day"/>
    <s v="A-493-0012"/>
    <n v="3682"/>
    <s v="Yokosuka, Japan"/>
    <d v="2025-04-21T00:00:00"/>
    <d v="2025-04-25T00:00:00"/>
    <d v="1899-12-30T08:00:00"/>
    <m/>
    <m/>
    <m/>
    <m/>
    <m/>
    <m/>
    <s v="ENV Contractor"/>
    <m/>
    <n v="40"/>
    <n v="40"/>
    <n v="5"/>
    <m/>
    <m/>
    <m/>
    <m/>
    <m/>
    <x v="0"/>
    <n v="338"/>
    <n v="1"/>
    <n v="1"/>
  </r>
  <r>
    <m/>
    <s v="Facility Response Team (FRT) Three Day"/>
    <s v="A-493-0013"/>
    <n v="3683"/>
    <s v="Pensacola, FL"/>
    <d v="2025-04-22T00:00:00"/>
    <d v="2025-04-24T00:00:00"/>
    <d v="1899-12-30T08:00:00"/>
    <m/>
    <m/>
    <m/>
    <m/>
    <m/>
    <m/>
    <s v="ENV Contractor"/>
    <m/>
    <n v="40"/>
    <n v="24"/>
    <n v="3"/>
    <m/>
    <m/>
    <m/>
    <m/>
    <m/>
    <x v="0"/>
    <n v="337"/>
    <n v="1"/>
    <n v="1"/>
  </r>
  <r>
    <s v="NAVSUP FLCY"/>
    <s v="Facility Response Team (FRT) Three Day"/>
    <s v="A-493-0013"/>
    <n v="3683"/>
    <s v="Hakozaki, Japan"/>
    <d v="2025-04-28T00:00:00"/>
    <d v="2025-04-30T00:00:00"/>
    <d v="1899-12-30T08:00:00"/>
    <m/>
    <m/>
    <m/>
    <m/>
    <m/>
    <m/>
    <s v="ENV Contractor"/>
    <m/>
    <n v="40"/>
    <n v="24"/>
    <n v="3"/>
    <m/>
    <m/>
    <m/>
    <m/>
    <m/>
    <x v="0"/>
    <n v="343"/>
    <n v="1"/>
    <n v="1"/>
  </r>
  <r>
    <s v="NAVSUP FLCY (1-2 &amp; 5 May)"/>
    <s v="Facility Response Team (FRT) Three Day"/>
    <s v="A-493-0013"/>
    <n v="3683"/>
    <s v="Tsurumi, Japan"/>
    <d v="2025-05-01T00:00:00"/>
    <d v="2025-05-05T00:00:00"/>
    <d v="1899-12-30T08:00:00"/>
    <m/>
    <m/>
    <m/>
    <m/>
    <m/>
    <m/>
    <s v="ENV Contractor"/>
    <m/>
    <n v="40"/>
    <n v="24"/>
    <n v="3"/>
    <m/>
    <m/>
    <m/>
    <m/>
    <m/>
    <x v="0"/>
    <n v="348"/>
    <n v="1"/>
    <n v="1"/>
  </r>
  <r>
    <s v="NAF Atsugi"/>
    <s v="Facility Response Team (FRT) Three Day"/>
    <s v="A-493-0013"/>
    <n v="3683"/>
    <s v="Atsugi, Japan"/>
    <d v="2025-05-06T00:00:00"/>
    <d v="2025-05-08T00:00:00"/>
    <d v="1899-12-30T08:00:00"/>
    <m/>
    <m/>
    <m/>
    <m/>
    <m/>
    <m/>
    <s v="ENV Contractor"/>
    <m/>
    <n v="40"/>
    <n v="24"/>
    <n v="3"/>
    <m/>
    <m/>
    <m/>
    <m/>
    <m/>
    <x v="0"/>
    <n v="351"/>
    <n v="1"/>
    <n v="1"/>
  </r>
  <r>
    <s v="Norfolk Naval Shipyard (NCRMA)"/>
    <s v="Facility Response Team (FRT) Three Day"/>
    <s v="A-493-0013"/>
    <n v="3683"/>
    <s v="Norfolk Naval Shipyard"/>
    <d v="2025-05-06T00:00:00"/>
    <d v="2025-05-08T00:00:00"/>
    <d v="1899-12-30T08:00:00"/>
    <m/>
    <m/>
    <m/>
    <m/>
    <m/>
    <m/>
    <s v="ENV Contractor"/>
    <m/>
    <n v="40"/>
    <n v="24"/>
    <n v="3"/>
    <m/>
    <m/>
    <m/>
    <m/>
    <m/>
    <x v="0"/>
    <n v="351"/>
    <n v="1"/>
    <n v="1"/>
  </r>
  <r>
    <s v="NAVSUP FLCY"/>
    <s v="Facility Response Team (FRT) Three Day"/>
    <s v="A-493-0013"/>
    <n v="3683"/>
    <s v="Hachinohe, Japan"/>
    <d v="2025-05-12T00:00:00"/>
    <d v="2025-05-14T00:00:00"/>
    <d v="1899-12-30T08:00:00"/>
    <m/>
    <m/>
    <m/>
    <m/>
    <m/>
    <m/>
    <s v="ENV Contractor"/>
    <m/>
    <n v="40"/>
    <n v="24"/>
    <n v="3"/>
    <m/>
    <m/>
    <m/>
    <m/>
    <m/>
    <x v="0"/>
    <n v="357"/>
    <n v="1"/>
    <n v="1"/>
  </r>
  <r>
    <m/>
    <s v="Facility Response Team (FRT) Five Day"/>
    <s v="A-493-0012"/>
    <n v="3682"/>
    <s v="Bremerton, WA"/>
    <d v="2025-05-19T00:00:00"/>
    <d v="2025-05-23T00:00:00"/>
    <d v="1899-12-30T08:00:00"/>
    <m/>
    <m/>
    <m/>
    <m/>
    <m/>
    <m/>
    <s v="ENV Contractor"/>
    <m/>
    <n v="40"/>
    <n v="40"/>
    <n v="5"/>
    <m/>
    <m/>
    <m/>
    <m/>
    <m/>
    <x v="0"/>
    <n v="366"/>
    <n v="1"/>
    <n v="1"/>
  </r>
  <r>
    <s v="Virginia Beach, VA"/>
    <s v="Facility Response Team (FRT) Three Day"/>
    <s v="A-493-0013"/>
    <n v="3683"/>
    <s v="Little Creek, VA"/>
    <d v="2025-06-03T00:00:00"/>
    <d v="2025-06-05T00:00:00"/>
    <d v="1899-12-30T08:00:00"/>
    <m/>
    <m/>
    <m/>
    <m/>
    <m/>
    <m/>
    <s v="ENV Contractor"/>
    <m/>
    <n v="40"/>
    <n v="24"/>
    <n v="3"/>
    <m/>
    <m/>
    <m/>
    <m/>
    <m/>
    <x v="0"/>
    <n v="379"/>
    <n v="1"/>
    <n v="1"/>
  </r>
  <r>
    <m/>
    <s v="Facility Response Team (FRT) Five Day"/>
    <s v="A-493-0012"/>
    <n v="3682"/>
    <s v="Coronado, CA"/>
    <d v="2025-06-09T00:00:00"/>
    <d v="2025-09-13T00:00:00"/>
    <d v="1899-12-30T08:00:00"/>
    <m/>
    <m/>
    <m/>
    <m/>
    <m/>
    <m/>
    <s v="ENV Contractor"/>
    <m/>
    <n v="40"/>
    <n v="40"/>
    <n v="5"/>
    <m/>
    <m/>
    <m/>
    <m/>
    <m/>
    <x v="0"/>
    <n v="479"/>
    <n v="1"/>
    <n v="1"/>
  </r>
  <r>
    <m/>
    <s v="Facility Response Team (FRT) Five Day"/>
    <s v="A-493-0012"/>
    <n v="3682"/>
    <s v="Indian Head, MD"/>
    <d v="2025-06-09T00:00:00"/>
    <d v="2025-06-13T00:00:00"/>
    <d v="1899-12-30T08:00:00"/>
    <m/>
    <m/>
    <m/>
    <m/>
    <m/>
    <m/>
    <s v="ENV Contractor"/>
    <m/>
    <n v="40"/>
    <n v="40"/>
    <n v="5"/>
    <m/>
    <m/>
    <m/>
    <m/>
    <m/>
    <x v="0"/>
    <n v="387"/>
    <n v="1"/>
    <n v="1"/>
  </r>
  <r>
    <m/>
    <s v="Facility Response Team (FRT) Five Day"/>
    <s v="A-493-0012"/>
    <n v="3682"/>
    <s v="Bangor, WA"/>
    <d v="2025-06-23T00:00:00"/>
    <d v="2025-06-27T00:00:00"/>
    <d v="1899-12-30T08:00:00"/>
    <m/>
    <m/>
    <m/>
    <m/>
    <m/>
    <m/>
    <s v="ENV Contractor"/>
    <m/>
    <n v="40"/>
    <n v="40"/>
    <n v="5"/>
    <m/>
    <m/>
    <m/>
    <m/>
    <m/>
    <x v="0"/>
    <n v="401"/>
    <n v="1"/>
    <n v="1"/>
  </r>
  <r>
    <m/>
    <s v="Facility Response Team (FRT) Three Day"/>
    <s v="A-493-0013"/>
    <n v="3683"/>
    <s v="Newport, RI"/>
    <d v="2025-06-24T00:00:00"/>
    <d v="2025-06-26T00:00:00"/>
    <d v="1899-12-30T08:00:00"/>
    <m/>
    <m/>
    <m/>
    <m/>
    <m/>
    <m/>
    <s v="ENV Contractor"/>
    <m/>
    <n v="40"/>
    <n v="24"/>
    <n v="3"/>
    <m/>
    <m/>
    <m/>
    <m/>
    <m/>
    <x v="0"/>
    <n v="400"/>
    <n v="1"/>
    <n v="1"/>
  </r>
  <r>
    <m/>
    <s v="Facility Response Team (FRT) Three Day"/>
    <s v="A-493-0013"/>
    <n v="3683"/>
    <s v="Pax River, MD"/>
    <d v="2025-06-30T00:00:00"/>
    <d v="2025-07-02T00:00:00"/>
    <d v="1899-12-30T08:00:00"/>
    <m/>
    <m/>
    <m/>
    <m/>
    <m/>
    <m/>
    <s v="ENV Contractor"/>
    <m/>
    <n v="40"/>
    <n v="24"/>
    <n v="3"/>
    <m/>
    <m/>
    <m/>
    <m/>
    <m/>
    <x v="0"/>
    <n v="406"/>
    <n v="1"/>
    <n v="1"/>
  </r>
  <r>
    <s v="NSA Annapolis"/>
    <s v="Facility Response Team (FRT) Three Day"/>
    <s v="A-493-0013"/>
    <n v="3683"/>
    <s v="Annapolis, MD"/>
    <d v="2025-07-08T00:00:00"/>
    <d v="2025-07-10T00:00:00"/>
    <d v="1899-12-30T08:00:00"/>
    <m/>
    <m/>
    <m/>
    <m/>
    <m/>
    <m/>
    <s v="ENV Contractor"/>
    <m/>
    <n v="40"/>
    <n v="24"/>
    <n v="3"/>
    <m/>
    <m/>
    <m/>
    <m/>
    <m/>
    <x v="0"/>
    <n v="414"/>
    <n v="1"/>
    <n v="1"/>
  </r>
  <r>
    <s v="Naval Station Rota"/>
    <s v="Facility Response Team (FRT) Five Day"/>
    <s v="A-493-0012"/>
    <n v="3682"/>
    <s v="Rota, Spain"/>
    <d v="2025-07-11T00:00:00"/>
    <d v="2025-07-15T00:00:00"/>
    <d v="1899-12-30T08:00:00"/>
    <m/>
    <m/>
    <m/>
    <m/>
    <m/>
    <m/>
    <s v="ENV Contractor"/>
    <m/>
    <n v="40"/>
    <n v="40"/>
    <n v="5"/>
    <m/>
    <m/>
    <m/>
    <m/>
    <m/>
    <x v="0"/>
    <n v="419"/>
    <n v="1"/>
    <n v="1"/>
  </r>
  <r>
    <m/>
    <s v="Facility Response Team (FRT) Three Day"/>
    <s v="A-493-0013"/>
    <n v="3683"/>
    <s v="Colts Neck, NJ"/>
    <d v="2025-07-15T00:00:00"/>
    <d v="2025-07-17T00:00:00"/>
    <d v="1899-12-30T08:00:00"/>
    <m/>
    <m/>
    <m/>
    <m/>
    <m/>
    <m/>
    <s v="ENV Contractor"/>
    <m/>
    <n v="40"/>
    <n v="24"/>
    <n v="3"/>
    <m/>
    <m/>
    <m/>
    <m/>
    <m/>
    <x v="0"/>
    <n v="421"/>
    <n v="1"/>
    <n v="1"/>
  </r>
  <r>
    <s v="NSA Gaeta"/>
    <s v="Facility Response Team (FRT) Three Day"/>
    <s v="A-493-0013"/>
    <n v="3683"/>
    <s v="Naples, Italy"/>
    <d v="2025-07-15T00:00:00"/>
    <d v="2025-07-17T00:00:00"/>
    <d v="1899-12-30T08:00:00"/>
    <m/>
    <m/>
    <m/>
    <m/>
    <m/>
    <m/>
    <s v="ENV Contractor"/>
    <m/>
    <n v="40"/>
    <n v="24"/>
    <n v="3"/>
    <m/>
    <m/>
    <m/>
    <m/>
    <m/>
    <x v="0"/>
    <n v="421"/>
    <n v="1"/>
    <n v="1"/>
  </r>
  <r>
    <s v="NSA Souda Bay"/>
    <s v="Facility Response Team (FRT) Five Day"/>
    <s v="A-493-0012"/>
    <n v="3682"/>
    <s v="Souda Bay, Greece"/>
    <d v="2025-07-21T00:00:00"/>
    <d v="2025-07-25T00:00:00"/>
    <d v="1899-12-30T08:00:00"/>
    <m/>
    <m/>
    <m/>
    <m/>
    <m/>
    <m/>
    <s v="ENV Contractor"/>
    <m/>
    <n v="40"/>
    <n v="40"/>
    <n v="5"/>
    <m/>
    <m/>
    <m/>
    <m/>
    <m/>
    <x v="0"/>
    <n v="429"/>
    <n v="1"/>
    <n v="1"/>
  </r>
  <r>
    <m/>
    <s v="Facility Response Team (FRT) Three Day"/>
    <s v="A-493-0013"/>
    <n v="3683"/>
    <s v="Norfolk, VA Classroom 1"/>
    <d v="2025-07-22T00:00:00"/>
    <d v="2025-07-24T00:00:00"/>
    <d v="1899-12-30T08:00:00"/>
    <m/>
    <m/>
    <m/>
    <m/>
    <m/>
    <m/>
    <s v="ENV Contractor"/>
    <m/>
    <n v="40"/>
    <n v="24"/>
    <n v="3"/>
    <m/>
    <m/>
    <m/>
    <m/>
    <m/>
    <x v="0"/>
    <n v="428"/>
    <n v="1"/>
    <n v="1"/>
  </r>
  <r>
    <m/>
    <s v="Facility Response Team (FRT) Five Day"/>
    <s v="A-493-0012"/>
    <n v="3682"/>
    <s v="Bangor, WA"/>
    <d v="2025-08-04T00:00:00"/>
    <d v="2025-08-08T00:00:00"/>
    <d v="1899-12-30T08:00:00"/>
    <m/>
    <m/>
    <m/>
    <m/>
    <m/>
    <m/>
    <s v="ENV Contractor"/>
    <m/>
    <n v="40"/>
    <n v="40"/>
    <n v="5"/>
    <m/>
    <m/>
    <m/>
    <m/>
    <m/>
    <x v="0"/>
    <n v="443"/>
    <n v="1"/>
    <n v="1"/>
  </r>
  <r>
    <m/>
    <s v="Facility Response Team (FRT) Five Day"/>
    <s v="A-493-0012"/>
    <n v="3682"/>
    <s v="Portsmouth, NH"/>
    <d v="2025-08-04T00:00:00"/>
    <d v="2025-08-08T00:00:00"/>
    <d v="1899-12-30T08:00:00"/>
    <m/>
    <m/>
    <m/>
    <m/>
    <m/>
    <m/>
    <s v="ENV Contractor"/>
    <m/>
    <n v="40"/>
    <n v="40"/>
    <n v="5"/>
    <m/>
    <m/>
    <m/>
    <m/>
    <m/>
    <x v="0"/>
    <n v="443"/>
    <n v="1"/>
    <n v="1"/>
  </r>
  <r>
    <s v="New London, CT"/>
    <s v="Facility Response Team (FRT) Five Day"/>
    <s v="A-493-0012"/>
    <n v="3682"/>
    <s v="Groton, CT"/>
    <d v="2025-08-11T00:00:00"/>
    <d v="2025-08-15T00:00:00"/>
    <d v="1899-12-30T08:00:00"/>
    <m/>
    <m/>
    <m/>
    <m/>
    <m/>
    <m/>
    <s v="ENV Contractor"/>
    <m/>
    <n v="40"/>
    <n v="40"/>
    <n v="5"/>
    <m/>
    <m/>
    <m/>
    <m/>
    <m/>
    <x v="0"/>
    <n v="450"/>
    <n v="1"/>
    <n v="1"/>
  </r>
  <r>
    <m/>
    <s v="Facility Response Team (FRT) Three Day"/>
    <s v="A-493-0013"/>
    <n v="3683"/>
    <s v="Great Lakes, IL"/>
    <d v="2025-08-13T00:00:00"/>
    <d v="2025-08-15T00:00:00"/>
    <d v="1899-12-30T08:00:00"/>
    <m/>
    <m/>
    <m/>
    <m/>
    <m/>
    <m/>
    <s v="ENV Contractor"/>
    <m/>
    <n v="40"/>
    <n v="24"/>
    <n v="3"/>
    <m/>
    <m/>
    <m/>
    <m/>
    <m/>
    <x v="0"/>
    <n v="450"/>
    <n v="1"/>
    <n v="1"/>
  </r>
  <r>
    <m/>
    <s v="Facility Response Team (FRT) Five Day"/>
    <s v="A-493-0012"/>
    <n v="3682"/>
    <s v="Okinawa, Japan"/>
    <d v="2025-08-25T00:00:00"/>
    <d v="2025-08-29T00:00:00"/>
    <d v="1899-12-30T08:00:00"/>
    <m/>
    <m/>
    <m/>
    <m/>
    <m/>
    <m/>
    <s v="ENV Contractor"/>
    <m/>
    <n v="40"/>
    <n v="40"/>
    <n v="5"/>
    <m/>
    <m/>
    <m/>
    <m/>
    <m/>
    <x v="0"/>
    <n v="464"/>
    <n v="1"/>
    <n v="1"/>
  </r>
  <r>
    <m/>
    <s v="Facility Response Team (FRT) Three Day"/>
    <s v="A-493-0013"/>
    <n v="3683"/>
    <s v="Everett, WA"/>
    <d v="2025-08-26T00:00:00"/>
    <d v="2025-08-28T00:00:00"/>
    <d v="1899-12-30T08:00:00"/>
    <m/>
    <m/>
    <m/>
    <m/>
    <m/>
    <m/>
    <s v="ENV Contractor"/>
    <m/>
    <n v="40"/>
    <n v="24"/>
    <n v="3"/>
    <m/>
    <m/>
    <m/>
    <m/>
    <m/>
    <x v="0"/>
    <n v="463"/>
    <n v="1"/>
    <n v="1"/>
  </r>
  <r>
    <s v="USMC (2 Day)"/>
    <s v="Facility Response Team (FRT) Three Day"/>
    <s v="A-493-0013"/>
    <n v="3683"/>
    <s v="Camp Butler, Japan"/>
    <d v="2025-09-02T00:00:00"/>
    <d v="2025-09-03T00:00:00"/>
    <d v="1899-12-30T08:00:00"/>
    <m/>
    <m/>
    <m/>
    <m/>
    <m/>
    <m/>
    <s v="ENV Contractor"/>
    <m/>
    <n v="40"/>
    <n v="24"/>
    <n v="3"/>
    <m/>
    <m/>
    <m/>
    <m/>
    <m/>
    <x v="0"/>
    <n v="469"/>
    <n v="1"/>
    <n v="1"/>
  </r>
  <r>
    <m/>
    <s v="Facility Response Team (FRT) Five Day"/>
    <s v="A-493-0012"/>
    <n v="3682"/>
    <s v="Guantanamo Bay, Cuba"/>
    <d v="2025-09-08T00:00:00"/>
    <d v="2025-09-12T00:00:00"/>
    <d v="1899-12-30T08:00:00"/>
    <m/>
    <m/>
    <m/>
    <m/>
    <m/>
    <m/>
    <s v="ENV Contractor"/>
    <m/>
    <n v="40"/>
    <n v="40"/>
    <n v="5"/>
    <m/>
    <m/>
    <m/>
    <m/>
    <m/>
    <x v="0"/>
    <n v="478"/>
    <n v="1"/>
    <n v="1"/>
  </r>
  <r>
    <s v="USMC (2 Day)"/>
    <s v="Facility Response Team (FRT) Three Day"/>
    <s v="A-493-0013"/>
    <n v="3683"/>
    <s v="Camp Pendleton, CA"/>
    <d v="2025-09-16T00:00:00"/>
    <d v="2025-09-17T00:00:00"/>
    <d v="1899-12-30T08:00:00"/>
    <m/>
    <m/>
    <m/>
    <m/>
    <m/>
    <m/>
    <s v="ENV Contractor"/>
    <m/>
    <n v="40"/>
    <n v="24"/>
    <n v="3"/>
    <m/>
    <m/>
    <m/>
    <m/>
    <m/>
    <x v="0"/>
    <n v="483"/>
    <n v="1"/>
    <n v="1"/>
  </r>
  <r>
    <m/>
    <s v="Facility Response Team (FRT) Three Day"/>
    <s v="A-493-0013"/>
    <n v="3683"/>
    <s v="Whidbey Island, WA"/>
    <d v="2025-09-17T00:00:00"/>
    <d v="2025-09-19T00:00:00"/>
    <d v="1899-12-30T08:00:00"/>
    <m/>
    <m/>
    <m/>
    <m/>
    <m/>
    <m/>
    <s v="ENV Contractor"/>
    <m/>
    <n v="40"/>
    <n v="24"/>
    <n v="3"/>
    <m/>
    <m/>
    <m/>
    <m/>
    <m/>
    <x v="0"/>
    <n v="485"/>
    <n v="1"/>
    <n v="1"/>
  </r>
  <r>
    <s v="Manchester, WA (CNRMA)"/>
    <s v="Facility Response Team (FRT) Five Day"/>
    <s v="A-493-0012"/>
    <n v="3682"/>
    <s v="Manchester, WA"/>
    <d v="2025-09-22T00:00:00"/>
    <d v="2025-09-26T00:00:00"/>
    <d v="1899-12-30T08:00:00"/>
    <m/>
    <m/>
    <m/>
    <m/>
    <m/>
    <m/>
    <s v="ENV Contractor"/>
    <m/>
    <n v="40"/>
    <n v="40"/>
    <n v="5"/>
    <m/>
    <m/>
    <m/>
    <m/>
    <m/>
    <x v="0"/>
    <n v="492"/>
    <n v="1"/>
    <n v="1"/>
  </r>
  <r>
    <s v="Kekaha, HI (Barking Sand)"/>
    <s v="Facility Response Team (FRT) Three Day"/>
    <s v="A-493-0013"/>
    <n v="3683"/>
    <s v="PMRF Barking Sands"/>
    <d v="2025-09-24T00:00:00"/>
    <d v="2025-09-26T00:00:00"/>
    <d v="1899-12-30T08:00:00"/>
    <m/>
    <m/>
    <m/>
    <m/>
    <m/>
    <m/>
    <s v="ENV Contractor"/>
    <m/>
    <n v="40"/>
    <n v="24"/>
    <n v="3"/>
    <m/>
    <m/>
    <m/>
    <m/>
    <m/>
    <x v="0"/>
    <n v="492"/>
    <n v="1"/>
    <n v="1"/>
  </r>
  <r>
    <m/>
    <s v="Competent Person for Fall Protection Course (Resident)"/>
    <s v="A-493-0103"/>
    <s v="12JY"/>
    <s v="Norfolk, VA Classroom 1"/>
    <d v="2024-12-16T00:00:00"/>
    <d v="2024-12-20T00:00:00"/>
    <d v="1899-12-30T08:00:00"/>
    <m/>
    <m/>
    <m/>
    <m/>
    <m/>
    <m/>
    <s v="SOH Contractor"/>
    <m/>
    <n v="25"/>
    <n v="40"/>
    <n v="5"/>
    <m/>
    <m/>
    <m/>
    <m/>
    <m/>
    <x v="0"/>
    <n v="212"/>
    <n v="1"/>
    <n v="1"/>
  </r>
  <r>
    <m/>
    <s v="Competent Person for Fall Protection Course (Resident)"/>
    <s v="A-493-0103"/>
    <s v="12JY"/>
    <s v="San Diego, CA"/>
    <d v="2024-12-16T00:00:00"/>
    <d v="2024-12-20T00:00:00"/>
    <d v="1899-12-30T08:00:00"/>
    <m/>
    <m/>
    <m/>
    <m/>
    <m/>
    <m/>
    <s v="SOH Contractor"/>
    <m/>
    <n v="25"/>
    <n v="40"/>
    <n v="5"/>
    <m/>
    <m/>
    <m/>
    <m/>
    <m/>
    <x v="0"/>
    <n v="212"/>
    <n v="1"/>
    <n v="1"/>
  </r>
  <r>
    <m/>
    <s v="Fall Protection Program Manager Course (Global Online)"/>
    <s v="A-493-0099"/>
    <s v="12JW"/>
    <s v="Global Online"/>
    <d v="2024-10-22T00:00:00"/>
    <d v="2024-10-24T00:00:00"/>
    <m/>
    <d v="1899-12-30T13:00:00"/>
    <d v="1899-12-30T10:00:00"/>
    <d v="1899-12-30T20:00:00"/>
    <d v="1899-12-30T19:00:00"/>
    <d v="1899-12-30T07:00:00"/>
    <d v="1899-12-30T02:00:00"/>
    <s v="V. Kentish"/>
    <s v="S. Griffin"/>
    <n v="45"/>
    <n v="24"/>
    <n v="3"/>
    <m/>
    <m/>
    <m/>
    <m/>
    <m/>
    <x v="0"/>
    <n v="155"/>
    <n v="1"/>
    <n v="1"/>
  </r>
  <r>
    <m/>
    <s v="Fall Protection Program Manager Course (Global Online)"/>
    <s v="A-493-0099"/>
    <s v="12JW"/>
    <s v="Global Online"/>
    <d v="2025-01-14T00:00:00"/>
    <d v="2025-01-16T00:00:00"/>
    <m/>
    <d v="1899-12-30T13:00:00"/>
    <s v="1000"/>
    <s v="2000"/>
    <s v="1800"/>
    <s v="0700"/>
    <s v="0200"/>
    <s v="V. Kentish"/>
    <s v="S. Griffin"/>
    <n v="45"/>
    <n v="24"/>
    <n v="3"/>
    <m/>
    <m/>
    <m/>
    <m/>
    <m/>
    <x v="0"/>
    <n v="239"/>
    <n v="1"/>
    <n v="1"/>
  </r>
  <r>
    <m/>
    <s v="Fall Protection Program Manager Course (Global Online)"/>
    <s v="A-493-0099"/>
    <s v="12JW"/>
    <s v="Global Online"/>
    <d v="2025-02-04T00:00:00"/>
    <d v="2025-02-06T00:00:00"/>
    <m/>
    <d v="1899-12-30T07:00:00"/>
    <d v="1899-12-30T04:00:00"/>
    <d v="1899-12-30T15:00:00"/>
    <d v="1899-12-30T13:00:00"/>
    <d v="1899-12-30T02:00:00"/>
    <d v="1899-12-30T21:00:00"/>
    <s v="V. Kentish"/>
    <s v="S. Griffin"/>
    <n v="45"/>
    <n v="24"/>
    <n v="3"/>
    <m/>
    <m/>
    <m/>
    <m/>
    <m/>
    <x v="0"/>
    <n v="260"/>
    <n v="1"/>
    <n v="1"/>
  </r>
  <r>
    <m/>
    <s v="Fall Protection Program Manager Course (Global Online)"/>
    <s v="A-493-0099"/>
    <s v="12JW"/>
    <s v="Global Online"/>
    <d v="2025-03-11T00:00:00"/>
    <d v="2025-03-13T00:00:00"/>
    <m/>
    <d v="1899-12-30T19:00:00"/>
    <s v="1600"/>
    <s v="0200"/>
    <s v="0000"/>
    <s v="1300"/>
    <s v="0800"/>
    <s v="V. Kentish"/>
    <s v="S. Griffin"/>
    <n v="45"/>
    <n v="24"/>
    <n v="3"/>
    <m/>
    <m/>
    <m/>
    <m/>
    <m/>
    <x v="0"/>
    <n v="295"/>
    <n v="1"/>
    <n v="1"/>
  </r>
  <r>
    <m/>
    <s v="Fall Protection Program Manager Course (Global Online)"/>
    <s v="A-493-0099"/>
    <s v="12JW"/>
    <s v="Global Online"/>
    <d v="2025-04-15T00:00:00"/>
    <d v="2025-04-17T00:00:00"/>
    <m/>
    <d v="1899-12-30T08:00:00"/>
    <m/>
    <m/>
    <m/>
    <m/>
    <m/>
    <s v="V. Kentish"/>
    <s v="S. Griffin"/>
    <n v="45"/>
    <n v="24"/>
    <n v="3"/>
    <m/>
    <m/>
    <m/>
    <m/>
    <m/>
    <x v="0"/>
    <n v="330"/>
    <n v="1"/>
    <n v="1"/>
  </r>
  <r>
    <m/>
    <s v="Fall Protection Program Manager Course (Global Online)"/>
    <s v="A-493-0099"/>
    <s v="12JW"/>
    <s v="Global Online"/>
    <d v="2025-05-06T00:00:00"/>
    <d v="2025-05-08T00:00:00"/>
    <m/>
    <d v="1899-12-30T11:00:00"/>
    <m/>
    <m/>
    <m/>
    <m/>
    <m/>
    <s v="V. Kentish"/>
    <s v="S. Griffin"/>
    <n v="45"/>
    <n v="24"/>
    <n v="3"/>
    <m/>
    <m/>
    <m/>
    <m/>
    <m/>
    <x v="0"/>
    <n v="351"/>
    <n v="1"/>
    <n v="1"/>
  </r>
  <r>
    <m/>
    <s v="Fall Protection Program Manager Course (Global Online)"/>
    <s v="A-493-0099"/>
    <s v="12JW"/>
    <s v="Global Online"/>
    <d v="2025-06-10T00:00:00"/>
    <d v="2025-06-12T00:00:00"/>
    <m/>
    <d v="1899-12-30T10:00:00"/>
    <m/>
    <m/>
    <m/>
    <m/>
    <m/>
    <s v="V. Kentish"/>
    <s v="S. Griffin"/>
    <n v="45"/>
    <n v="24"/>
    <n v="3"/>
    <m/>
    <m/>
    <m/>
    <m/>
    <m/>
    <x v="0"/>
    <n v="386"/>
    <n v="1"/>
    <n v="1"/>
  </r>
  <r>
    <m/>
    <s v="Fall Protection Program Manager Course (Global Online)"/>
    <s v="A-493-0099"/>
    <s v="12JW"/>
    <s v="Global Online"/>
    <d v="2025-07-08T00:00:00"/>
    <d v="2025-07-10T00:00:00"/>
    <m/>
    <d v="1899-12-30T08:00:00"/>
    <m/>
    <m/>
    <m/>
    <m/>
    <m/>
    <s v="V. Kentish"/>
    <s v="S. Griffin"/>
    <n v="45"/>
    <n v="24"/>
    <n v="3"/>
    <m/>
    <m/>
    <m/>
    <m/>
    <m/>
    <x v="0"/>
    <n v="414"/>
    <n v="1"/>
    <n v="1"/>
  </r>
  <r>
    <m/>
    <s v="Fall Protection Program Manager Course (Global Online)"/>
    <s v="A-493-0099"/>
    <s v="12JW"/>
    <s v="Global Online"/>
    <d v="2025-08-05T00:00:00"/>
    <d v="2025-08-07T00:00:00"/>
    <m/>
    <d v="1899-12-30T13:00:00"/>
    <m/>
    <m/>
    <m/>
    <m/>
    <m/>
    <s v="V. Kentish"/>
    <s v="S. Griffin"/>
    <n v="45"/>
    <n v="24"/>
    <n v="3"/>
    <m/>
    <m/>
    <m/>
    <m/>
    <m/>
    <x v="0"/>
    <n v="442"/>
    <n v="1"/>
    <n v="1"/>
  </r>
  <r>
    <m/>
    <s v="Fall Protection Program Manager Course (Global Online)"/>
    <s v="A-493-0099"/>
    <s v="12JW"/>
    <s v="Global Online"/>
    <d v="2024-11-19T00:00:00"/>
    <d v="2024-11-21T00:00:00"/>
    <m/>
    <d v="1899-12-30T08:00:00"/>
    <s v="0500"/>
    <s v="1500"/>
    <s v="1300"/>
    <s v="0200"/>
    <s v="2100"/>
    <s v="V. Kentish"/>
    <s v="S. Griffin"/>
    <n v="45"/>
    <n v="24"/>
    <n v="3"/>
    <m/>
    <m/>
    <m/>
    <m/>
    <m/>
    <x v="0"/>
    <n v="183"/>
    <n v="1"/>
    <n v="1"/>
  </r>
  <r>
    <m/>
    <s v="Fire Protection and Life Safety"/>
    <s v="A-493-0075 "/>
    <s v="714U"/>
    <s v="Indian Head, MD"/>
    <d v="2025-03-25T00:00:00"/>
    <d v="2025-03-28T00:00:00"/>
    <d v="1899-12-30T08:00:00"/>
    <m/>
    <m/>
    <m/>
    <m/>
    <m/>
    <m/>
    <s v="SOH Contractor"/>
    <m/>
    <n v="30"/>
    <n v="32"/>
    <n v="4"/>
    <m/>
    <m/>
    <m/>
    <m/>
    <m/>
    <x v="0"/>
    <n v="310"/>
    <n v="1"/>
    <n v="1"/>
  </r>
  <r>
    <m/>
    <s v="Fire Protection and Life Safety"/>
    <s v="A-493-0075 "/>
    <s v="714U"/>
    <s v="Jacksonville, FL"/>
    <d v="2025-01-28T00:00:00"/>
    <d v="2025-01-31T00:00:00"/>
    <d v="1899-12-30T08:00:00"/>
    <m/>
    <m/>
    <m/>
    <m/>
    <m/>
    <m/>
    <s v="SOH Contractor"/>
    <m/>
    <n v="30"/>
    <n v="32"/>
    <n v="4"/>
    <m/>
    <m/>
    <m/>
    <m/>
    <m/>
    <x v="0"/>
    <n v="254"/>
    <n v="1"/>
    <n v="1"/>
  </r>
  <r>
    <m/>
    <s v="Fire Protection and Life Safety"/>
    <s v="A-493-0075 "/>
    <s v="714U"/>
    <s v="Mayport, FL"/>
    <d v="2025-06-10T00:00:00"/>
    <d v="2025-06-13T00:00:00"/>
    <d v="1899-12-30T08:00:00"/>
    <m/>
    <m/>
    <m/>
    <m/>
    <m/>
    <m/>
    <s v="SOH Contractor"/>
    <m/>
    <n v="30"/>
    <n v="32"/>
    <n v="4"/>
    <m/>
    <m/>
    <m/>
    <m/>
    <m/>
    <x v="0"/>
    <n v="387"/>
    <n v="1"/>
    <n v="1"/>
  </r>
  <r>
    <m/>
    <s v="Fall Protection Program Manager Course (Global Online)"/>
    <s v="A-493-0099"/>
    <s v="12JW"/>
    <s v="Global Online"/>
    <d v="2024-12-03T00:00:00"/>
    <d v="2024-12-05T00:00:00"/>
    <m/>
    <d v="1899-12-30T08:00:00"/>
    <s v="0500"/>
    <s v="1500"/>
    <s v="1300"/>
    <s v="0200"/>
    <s v="2100"/>
    <s v="V. Kentish"/>
    <s v="S. Griffin"/>
    <n v="45"/>
    <n v="24"/>
    <n v="3"/>
    <m/>
    <m/>
    <m/>
    <m/>
    <m/>
    <x v="0"/>
    <n v="197"/>
    <n v="1"/>
    <n v="1"/>
  </r>
  <r>
    <m/>
    <s v="Fire Protection and Life Safety"/>
    <s v="A-493-0075 "/>
    <s v="714U"/>
    <s v="Norfolk, VA Classroom 1"/>
    <d v="2025-04-22T00:00:00"/>
    <d v="2025-04-25T00:00:00"/>
    <d v="1899-12-30T08:00:00"/>
    <m/>
    <m/>
    <m/>
    <m/>
    <m/>
    <m/>
    <s v="SOH Contractor"/>
    <m/>
    <n v="30"/>
    <n v="32"/>
    <n v="4"/>
    <m/>
    <m/>
    <m/>
    <m/>
    <m/>
    <x v="0"/>
    <n v="338"/>
    <n v="1"/>
    <n v="1"/>
  </r>
  <r>
    <m/>
    <s v="Fire Protection and Life Safety"/>
    <s v="A-493-0075 "/>
    <s v="714U"/>
    <s v="Norfolk, VA Classroom 2"/>
    <d v="2025-07-08T00:00:00"/>
    <d v="2025-07-11T00:00:00"/>
    <d v="1899-12-30T08:00:00"/>
    <m/>
    <m/>
    <m/>
    <m/>
    <m/>
    <m/>
    <s v="SOH Contractor"/>
    <m/>
    <n v="30"/>
    <n v="32"/>
    <n v="4"/>
    <m/>
    <m/>
    <m/>
    <m/>
    <m/>
    <x v="0"/>
    <n v="415"/>
    <n v="1"/>
    <n v="1"/>
  </r>
  <r>
    <m/>
    <s v="Fire Protection and Life Safety"/>
    <s v="A-493-0075 "/>
    <s v="714U"/>
    <s v="Norfolk, VA Classroom 1"/>
    <d v="2025-09-16T00:00:00"/>
    <d v="2025-09-19T00:00:00"/>
    <d v="1899-12-30T08:00:00"/>
    <m/>
    <m/>
    <m/>
    <m/>
    <m/>
    <m/>
    <s v="SOH Contractor"/>
    <m/>
    <n v="30"/>
    <n v="32"/>
    <n v="4"/>
    <m/>
    <m/>
    <m/>
    <m/>
    <m/>
    <x v="0"/>
    <n v="485"/>
    <n v="1"/>
    <n v="1"/>
  </r>
  <r>
    <m/>
    <s v="Fire Protection and Life Safety"/>
    <s v="A-493-0075 "/>
    <s v="714U"/>
    <s v="Pearl Harbor, HI"/>
    <d v="2025-08-26T00:00:00"/>
    <d v="2025-08-29T00:00:00"/>
    <d v="1899-12-30T08:00:00"/>
    <m/>
    <m/>
    <m/>
    <m/>
    <m/>
    <m/>
    <s v="SOH Contractor"/>
    <m/>
    <n v="30"/>
    <n v="32"/>
    <n v="4"/>
    <m/>
    <m/>
    <m/>
    <m/>
    <m/>
    <x v="0"/>
    <n v="464"/>
    <n v="1"/>
    <n v="1"/>
  </r>
  <r>
    <m/>
    <s v="Fire Protection and Life Safety"/>
    <s v="A-493-0075 "/>
    <s v="714U"/>
    <s v="San Diego, CA"/>
    <d v="2025-02-25T00:00:00"/>
    <d v="2025-02-28T00:00:00"/>
    <d v="1899-12-30T08:00:00"/>
    <m/>
    <m/>
    <m/>
    <m/>
    <m/>
    <m/>
    <s v="SOH Contractor"/>
    <m/>
    <n v="30"/>
    <n v="32"/>
    <n v="4"/>
    <m/>
    <m/>
    <m/>
    <m/>
    <m/>
    <x v="0"/>
    <n v="282"/>
    <n v="1"/>
    <n v="1"/>
  </r>
  <r>
    <m/>
    <s v="Fire Protection and Life Safety"/>
    <s v="A-493-0075 "/>
    <s v="714U"/>
    <s v="San Diego, CA"/>
    <d v="2025-08-12T00:00:00"/>
    <d v="2025-08-15T00:00:00"/>
    <d v="1899-12-30T08:00:00"/>
    <m/>
    <m/>
    <m/>
    <m/>
    <m/>
    <m/>
    <s v="SOH Contractor"/>
    <m/>
    <n v="30"/>
    <n v="32"/>
    <n v="4"/>
    <m/>
    <m/>
    <m/>
    <m/>
    <m/>
    <x v="0"/>
    <n v="450"/>
    <n v="1"/>
    <n v="1"/>
  </r>
  <r>
    <m/>
    <s v="Fire Protection and Life Safety"/>
    <s v="A-493-0075 "/>
    <s v="714U"/>
    <s v="Whidbey Island, WA"/>
    <d v="2025-03-03T00:00:00"/>
    <d v="2025-03-06T00:00:00"/>
    <d v="1899-12-30T08:00:00"/>
    <m/>
    <m/>
    <m/>
    <m/>
    <m/>
    <m/>
    <s v="SOH Contractor"/>
    <m/>
    <n v="30"/>
    <n v="32"/>
    <n v="4"/>
    <m/>
    <m/>
    <m/>
    <m/>
    <m/>
    <x v="0"/>
    <n v="288"/>
    <n v="1"/>
    <n v="1"/>
  </r>
  <r>
    <m/>
    <s v="Fire Protection and Life Safety"/>
    <s v="A-493-0075 "/>
    <s v="714U"/>
    <s v="Yokosuka, Japan"/>
    <d v="2025-05-12T00:00:00"/>
    <d v="2025-05-15T00:00:00"/>
    <d v="1899-12-30T08:00:00"/>
    <m/>
    <m/>
    <m/>
    <m/>
    <m/>
    <m/>
    <s v="SOH Contractor"/>
    <m/>
    <n v="30"/>
    <n v="32"/>
    <n v="4"/>
    <m/>
    <m/>
    <m/>
    <m/>
    <m/>
    <x v="0"/>
    <n v="358"/>
    <n v="1"/>
    <n v="1"/>
  </r>
  <r>
    <m/>
    <s v="Fire Protection and Life Safety"/>
    <s v="A-493-0075 "/>
    <s v="714U"/>
    <s v="Yokosuka, Japan"/>
    <d v="2025-05-19T00:00:00"/>
    <d v="2025-05-22T00:00:00"/>
    <d v="1899-12-30T08:00:00"/>
    <m/>
    <m/>
    <m/>
    <m/>
    <m/>
    <m/>
    <s v="SOH Contractor"/>
    <m/>
    <n v="30"/>
    <n v="32"/>
    <n v="4"/>
    <m/>
    <m/>
    <m/>
    <m/>
    <m/>
    <x v="0"/>
    <n v="365"/>
    <n v="1"/>
    <n v="1"/>
  </r>
  <r>
    <m/>
    <s v="Fire Protection and Life Safety"/>
    <s v="A-493-0075 "/>
    <s v="714U"/>
    <s v="Norfolk, VA Classroom 2"/>
    <d v="2024-11-19T00:00:00"/>
    <d v="2024-11-22T00:00:00"/>
    <d v="1899-12-30T08:00:00"/>
    <m/>
    <m/>
    <m/>
    <m/>
    <m/>
    <m/>
    <s v="SOH Contractor"/>
    <m/>
    <n v="30"/>
    <n v="32"/>
    <n v="4"/>
    <m/>
    <m/>
    <m/>
    <m/>
    <m/>
    <x v="0"/>
    <n v="184"/>
    <n v="1"/>
    <n v="1"/>
  </r>
  <r>
    <m/>
    <s v="Fire Protection and Life Safety"/>
    <s v="A-493-0075 "/>
    <s v="714U"/>
    <s v="Coronado, CA"/>
    <d v="2024-12-10T00:00:00"/>
    <d v="2024-12-13T00:00:00"/>
    <d v="1899-12-30T08:00:00"/>
    <m/>
    <m/>
    <m/>
    <m/>
    <m/>
    <m/>
    <s v="SOH Contractor"/>
    <m/>
    <n v="30"/>
    <n v="32"/>
    <n v="4"/>
    <m/>
    <m/>
    <m/>
    <m/>
    <m/>
    <x v="0"/>
    <n v="205"/>
    <n v="1"/>
    <n v="1"/>
  </r>
  <r>
    <m/>
    <s v="General Industry Safety Standards (Global Online) "/>
    <s v="A-493-0061"/>
    <s v="288E"/>
    <s v="Global Online"/>
    <d v="2024-10-21T00:00:00"/>
    <d v="2024-10-25T00:00:00"/>
    <m/>
    <d v="1899-12-30T08:00:00"/>
    <d v="1899-12-30T05:00:00"/>
    <d v="1899-12-30T15:00:00"/>
    <d v="1899-12-30T14:00:00"/>
    <d v="1899-12-30T02:00:00"/>
    <d v="1899-12-30T21:00:00"/>
    <s v="S. Griffin"/>
    <s v="V. Kentish"/>
    <n v="45"/>
    <n v="30"/>
    <n v="5"/>
    <m/>
    <m/>
    <m/>
    <m/>
    <m/>
    <x v="0"/>
    <n v="156"/>
    <n v="1"/>
    <n v="1"/>
  </r>
  <r>
    <m/>
    <s v="General Industry Safety Standards (Global Online) "/>
    <s v="A-493-0061"/>
    <s v="288E"/>
    <s v="Global Online"/>
    <d v="2025-01-13T00:00:00"/>
    <d v="2025-01-17T00:00:00"/>
    <m/>
    <d v="1899-12-30T19:00:00"/>
    <s v="1600"/>
    <s v="0200"/>
    <s v="0000"/>
    <s v="1300"/>
    <s v="0800"/>
    <s v="S. Griffin"/>
    <s v="V. Kentish"/>
    <n v="45"/>
    <n v="30"/>
    <n v="5"/>
    <m/>
    <m/>
    <m/>
    <m/>
    <m/>
    <x v="0"/>
    <n v="240"/>
    <n v="1"/>
    <n v="1"/>
  </r>
  <r>
    <m/>
    <s v="General Industry Safety Standards (Global Online) "/>
    <s v="A-493-0061"/>
    <s v="288E"/>
    <s v="Global Online"/>
    <d v="2025-02-10T00:00:00"/>
    <d v="2025-02-14T00:00:00"/>
    <m/>
    <d v="1899-12-30T08:00:00"/>
    <s v="0500"/>
    <s v="1500"/>
    <s v="1300"/>
    <s v="0200"/>
    <s v="2100"/>
    <s v="S. Griffin"/>
    <s v="V. Kentish"/>
    <n v="45"/>
    <n v="30"/>
    <n v="5"/>
    <m/>
    <m/>
    <m/>
    <m/>
    <m/>
    <x v="0"/>
    <n v="268"/>
    <n v="1"/>
    <n v="1"/>
  </r>
  <r>
    <m/>
    <s v="General Industry Safety Standards (Global Online) "/>
    <s v="A-493-0061"/>
    <s v="288E"/>
    <s v="Global Online"/>
    <d v="2025-03-03T00:00:00"/>
    <d v="2025-03-07T00:00:00"/>
    <m/>
    <d v="1899-12-30T11:00:00"/>
    <d v="1899-12-30T08:00:00"/>
    <d v="1899-12-30T18:00:00"/>
    <d v="1899-12-30T16:00:00"/>
    <d v="1899-12-30T05:00:00"/>
    <d v="1899-12-30T00:00:00"/>
    <s v="S. Griffin"/>
    <s v="V. Kentish"/>
    <n v="45"/>
    <n v="30"/>
    <n v="5"/>
    <m/>
    <m/>
    <m/>
    <m/>
    <m/>
    <x v="0"/>
    <n v="289"/>
    <n v="1"/>
    <n v="1"/>
  </r>
  <r>
    <m/>
    <s v="General Industry Safety Standards (Global Online) "/>
    <s v="A-493-0061"/>
    <s v="288E"/>
    <s v="Global Online"/>
    <d v="2025-05-05T00:00:00"/>
    <d v="2025-05-09T00:00:00"/>
    <m/>
    <d v="1899-12-30T10:00:00"/>
    <m/>
    <m/>
    <m/>
    <m/>
    <m/>
    <s v="S. Griffin"/>
    <s v="V. Kentish"/>
    <n v="45"/>
    <n v="30"/>
    <n v="5"/>
    <m/>
    <m/>
    <m/>
    <m/>
    <m/>
    <x v="0"/>
    <n v="352"/>
    <n v="1"/>
    <n v="1"/>
  </r>
  <r>
    <m/>
    <s v="General Industry Safety Standards (Global Online) "/>
    <s v="A-493-0061"/>
    <s v="288E"/>
    <s v="Global Online"/>
    <d v="2025-06-09T00:00:00"/>
    <d v="2025-06-13T00:00:00"/>
    <m/>
    <d v="1899-12-30T08:00:00"/>
    <m/>
    <m/>
    <m/>
    <m/>
    <m/>
    <s v="S. Griffin"/>
    <s v="V. Kentish"/>
    <n v="45"/>
    <n v="30"/>
    <n v="5"/>
    <m/>
    <m/>
    <m/>
    <m/>
    <m/>
    <x v="0"/>
    <n v="387"/>
    <n v="1"/>
    <n v="1"/>
  </r>
  <r>
    <m/>
    <s v="General Industry Safety Standards (Global Online) "/>
    <s v="A-493-0061"/>
    <s v="288E"/>
    <s v="Global Online"/>
    <d v="2025-07-14T00:00:00"/>
    <d v="2025-07-18T00:00:00"/>
    <m/>
    <d v="1899-12-30T13:00:00"/>
    <m/>
    <m/>
    <m/>
    <m/>
    <m/>
    <s v="S. Griffin"/>
    <s v="V. Kentish"/>
    <n v="45"/>
    <n v="30"/>
    <n v="5"/>
    <m/>
    <m/>
    <m/>
    <m/>
    <m/>
    <x v="0"/>
    <n v="422"/>
    <n v="1"/>
    <n v="1"/>
  </r>
  <r>
    <m/>
    <s v="General Industry Safety Standards (Global Online) "/>
    <s v="A-493-0061"/>
    <s v="288E"/>
    <s v="Global Online"/>
    <d v="2025-08-11T00:00:00"/>
    <d v="2025-08-15T00:00:00"/>
    <m/>
    <d v="1899-12-30T08:00:00"/>
    <m/>
    <m/>
    <m/>
    <m/>
    <m/>
    <s v="S. Griffin"/>
    <s v="V. Kentish"/>
    <n v="45"/>
    <n v="30"/>
    <n v="5"/>
    <m/>
    <m/>
    <m/>
    <m/>
    <m/>
    <x v="0"/>
    <n v="450"/>
    <n v="1"/>
    <n v="1"/>
  </r>
  <r>
    <m/>
    <s v="General Industry Safety Standards (Global Online) "/>
    <s v="A-493-0061"/>
    <s v="288E"/>
    <s v="Global Online"/>
    <d v="2025-09-15T00:00:00"/>
    <d v="2025-09-19T00:00:00"/>
    <m/>
    <d v="1899-12-30T08:00:00"/>
    <m/>
    <m/>
    <m/>
    <m/>
    <m/>
    <s v="S. Griffin"/>
    <s v="V. Kentish"/>
    <n v="45"/>
    <n v="30"/>
    <n v="5"/>
    <m/>
    <m/>
    <m/>
    <m/>
    <m/>
    <x v="0"/>
    <n v="485"/>
    <n v="1"/>
    <n v="1"/>
  </r>
  <r>
    <m/>
    <s v="Hazardous Substance Incident Response Management (HSIRM)"/>
    <s v="A-493-0077"/>
    <s v="0381"/>
    <s v="Bahrain"/>
    <d v="2025-01-13T00:00:00"/>
    <d v="2025-01-15T00:00:00"/>
    <d v="1899-12-30T08:00:00"/>
    <m/>
    <m/>
    <m/>
    <m/>
    <m/>
    <m/>
    <s v="ENV Contractor"/>
    <m/>
    <n v="25"/>
    <n v="24"/>
    <n v="3"/>
    <m/>
    <m/>
    <m/>
    <m/>
    <m/>
    <x v="0"/>
    <n v="238"/>
    <n v="1"/>
    <n v="1"/>
  </r>
  <r>
    <m/>
    <s v="Hazardous Substance Incident Response Management (HSIRM)"/>
    <s v="A-493-0077"/>
    <s v="0381"/>
    <s v="Bangor, WA"/>
    <d v="2025-07-21T00:00:00"/>
    <d v="2025-07-23T00:00:00"/>
    <d v="1899-12-30T08:00:00"/>
    <m/>
    <m/>
    <m/>
    <m/>
    <m/>
    <m/>
    <s v="ENV Contractor"/>
    <m/>
    <n v="25"/>
    <n v="24"/>
    <n v="3"/>
    <m/>
    <m/>
    <m/>
    <m/>
    <m/>
    <x v="0"/>
    <n v="427"/>
    <n v="1"/>
    <n v="1"/>
  </r>
  <r>
    <m/>
    <s v="Hazardous Substance Incident Response Management (HSIRM)"/>
    <s v="A-493-0077"/>
    <s v="0381"/>
    <s v="Bremerton, WA"/>
    <d v="2025-02-10T00:00:00"/>
    <d v="2025-02-12T00:00:00"/>
    <d v="1899-12-30T08:00:00"/>
    <m/>
    <m/>
    <m/>
    <m/>
    <m/>
    <m/>
    <s v="ENV Contractor"/>
    <m/>
    <n v="25"/>
    <n v="24"/>
    <n v="3"/>
    <m/>
    <m/>
    <m/>
    <m/>
    <m/>
    <x v="0"/>
    <n v="266"/>
    <n v="1"/>
    <n v="1"/>
  </r>
  <r>
    <m/>
    <s v="Hazardous Substance Incident Response Management (HSIRM)"/>
    <s v="A-493-0077"/>
    <s v="0381"/>
    <s v="Crane, IN"/>
    <d v="2025-03-03T00:00:00"/>
    <d v="2025-03-05T00:00:00"/>
    <d v="1899-12-30T08:00:00"/>
    <m/>
    <m/>
    <m/>
    <m/>
    <m/>
    <m/>
    <s v="ENV Contractor"/>
    <m/>
    <n v="25"/>
    <n v="24"/>
    <n v="3"/>
    <m/>
    <m/>
    <m/>
    <m/>
    <m/>
    <x v="0"/>
    <n v="287"/>
    <n v="1"/>
    <n v="1"/>
  </r>
  <r>
    <s v="Naval Support Facility Diego Garcia (UIC: N68539)"/>
    <s v="Hazardous Substance Incident Response Management (HSIRM)"/>
    <s v="A-493-0077"/>
    <s v="0381"/>
    <s v="Diego Garcia"/>
    <d v="2025-02-10T00:00:00"/>
    <d v="2025-02-12T00:00:00"/>
    <d v="1899-12-30T08:00:00"/>
    <m/>
    <m/>
    <m/>
    <m/>
    <m/>
    <m/>
    <s v="ENV Contractor"/>
    <m/>
    <n v="25"/>
    <n v="24"/>
    <n v="3"/>
    <m/>
    <m/>
    <m/>
    <m/>
    <m/>
    <x v="0"/>
    <n v="266"/>
    <n v="1"/>
    <n v="1"/>
  </r>
  <r>
    <m/>
    <s v="Hazardous Substance Incident Response Management (HSIRM)"/>
    <s v="A-493-0077"/>
    <s v="0381"/>
    <s v="Everett, WA"/>
    <d v="2025-05-05T00:00:00"/>
    <d v="2025-05-07T00:00:00"/>
    <d v="1899-12-30T08:00:00"/>
    <m/>
    <m/>
    <m/>
    <m/>
    <m/>
    <m/>
    <s v="ENV Contractor"/>
    <m/>
    <n v="25"/>
    <n v="24"/>
    <n v="3"/>
    <m/>
    <m/>
    <m/>
    <m/>
    <m/>
    <x v="0"/>
    <n v="350"/>
    <n v="1"/>
    <n v="1"/>
  </r>
  <r>
    <m/>
    <s v="Hazardous Substance Incident Response Management (HSIRM)"/>
    <s v="A-493-0077"/>
    <s v="0381"/>
    <s v="Groton, CT"/>
    <d v="2025-03-24T00:00:00"/>
    <d v="2025-03-26T00:00:00"/>
    <d v="1899-12-30T08:00:00"/>
    <m/>
    <m/>
    <m/>
    <m/>
    <m/>
    <m/>
    <s v="ENV Contractor"/>
    <m/>
    <n v="25"/>
    <n v="24"/>
    <n v="3"/>
    <m/>
    <m/>
    <m/>
    <m/>
    <m/>
    <x v="0"/>
    <n v="308"/>
    <n v="1"/>
    <n v="1"/>
  </r>
  <r>
    <m/>
    <s v="Hazardous Substance Incident Response Management (HSIRM)"/>
    <s v="A-493-0077"/>
    <s v="0381"/>
    <s v="Indian Island, WA"/>
    <d v="2025-09-08T00:00:00"/>
    <d v="2025-09-10T00:00:00"/>
    <d v="1899-12-30T08:00:00"/>
    <m/>
    <m/>
    <m/>
    <m/>
    <m/>
    <m/>
    <s v="ENV Contractor"/>
    <m/>
    <n v="25"/>
    <n v="24"/>
    <n v="3"/>
    <m/>
    <m/>
    <m/>
    <m/>
    <m/>
    <x v="0"/>
    <n v="476"/>
    <n v="1"/>
    <n v="1"/>
  </r>
  <r>
    <m/>
    <s v="Hazardous Substance Incident Response Management (HSIRM)"/>
    <s v="A-493-0077"/>
    <s v="0381"/>
    <s v="Lemoore, CA"/>
    <d v="2025-08-04T00:00:00"/>
    <d v="2025-08-06T00:00:00"/>
    <d v="1899-12-30T08:00:00"/>
    <m/>
    <m/>
    <m/>
    <m/>
    <m/>
    <m/>
    <s v="ENV Contractor"/>
    <m/>
    <n v="25"/>
    <n v="24"/>
    <n v="3"/>
    <m/>
    <m/>
    <m/>
    <m/>
    <m/>
    <x v="0"/>
    <n v="441"/>
    <n v="1"/>
    <n v="1"/>
  </r>
  <r>
    <m/>
    <s v="Hazardous Substance Incident Response Management (HSIRM)"/>
    <s v="A-493-0077"/>
    <s v="0381"/>
    <s v="Norfolk, VA Classroom 1"/>
    <d v="2025-02-03T00:00:00"/>
    <d v="2025-02-05T00:00:00"/>
    <d v="1899-12-30T08:00:00"/>
    <m/>
    <m/>
    <m/>
    <m/>
    <m/>
    <m/>
    <s v="ENV Contractor"/>
    <m/>
    <n v="25"/>
    <n v="24"/>
    <n v="3"/>
    <m/>
    <m/>
    <m/>
    <m/>
    <m/>
    <x v="0"/>
    <n v="259"/>
    <n v="1"/>
    <n v="1"/>
  </r>
  <r>
    <m/>
    <s v="Hazardous Substance Incident Response Management (HSIRM)"/>
    <s v="A-493-0077"/>
    <s v="0381"/>
    <s v="Norfolk, VA Classroom 1"/>
    <d v="2025-05-12T00:00:00"/>
    <d v="2025-05-14T00:00:00"/>
    <d v="1899-12-30T08:00:00"/>
    <m/>
    <m/>
    <m/>
    <m/>
    <m/>
    <m/>
    <s v="ENV Contractor"/>
    <m/>
    <n v="25"/>
    <n v="24"/>
    <n v="3"/>
    <m/>
    <m/>
    <m/>
    <m/>
    <m/>
    <x v="0"/>
    <n v="357"/>
    <n v="1"/>
    <n v="1"/>
  </r>
  <r>
    <m/>
    <s v="Hazardous Substance Incident Response Management (HSIRM)"/>
    <s v="A-493-0077"/>
    <s v="0381"/>
    <s v="Norfolk, VA Classroom 2"/>
    <d v="2025-08-04T00:00:00"/>
    <d v="2025-08-06T00:00:00"/>
    <d v="1899-12-30T08:00:00"/>
    <m/>
    <m/>
    <m/>
    <m/>
    <m/>
    <m/>
    <s v="ENV Contractor"/>
    <m/>
    <n v="25"/>
    <n v="24"/>
    <n v="3"/>
    <m/>
    <m/>
    <m/>
    <m/>
    <m/>
    <x v="0"/>
    <n v="441"/>
    <n v="1"/>
    <n v="1"/>
  </r>
  <r>
    <m/>
    <s v="Hazardous Substance Incident Response Management (HSIRM)"/>
    <s v="A-493-0077"/>
    <s v="0381"/>
    <s v="Okinawa, Japan"/>
    <d v="2025-04-07T00:00:00"/>
    <d v="2025-04-09T00:00:00"/>
    <d v="1899-12-30T08:00:00"/>
    <m/>
    <m/>
    <m/>
    <m/>
    <m/>
    <m/>
    <s v="ENV Contractor"/>
    <m/>
    <n v="25"/>
    <n v="24"/>
    <n v="3"/>
    <m/>
    <m/>
    <m/>
    <m/>
    <m/>
    <x v="0"/>
    <n v="322"/>
    <n v="1"/>
    <n v="1"/>
  </r>
  <r>
    <m/>
    <s v="Hazardous Substance Incident Response Management (HSIRM)"/>
    <s v="A-493-0077"/>
    <s v="0381"/>
    <s v="Pax River, MD"/>
    <d v="2025-09-08T00:00:00"/>
    <d v="2025-09-10T00:00:00"/>
    <d v="1899-12-30T08:00:00"/>
    <m/>
    <m/>
    <m/>
    <m/>
    <m/>
    <m/>
    <s v="ENV Contractor"/>
    <m/>
    <n v="25"/>
    <n v="24"/>
    <n v="3"/>
    <m/>
    <m/>
    <m/>
    <m/>
    <m/>
    <x v="0"/>
    <n v="476"/>
    <n v="1"/>
    <n v="1"/>
  </r>
  <r>
    <m/>
    <s v="Hazardous Substance Incident Response Management (HSIRM)"/>
    <s v="A-493-0077"/>
    <s v="0381"/>
    <s v="Pearl Harbor, HI"/>
    <d v="2025-07-14T00:00:00"/>
    <d v="2025-07-16T00:00:00"/>
    <d v="1899-12-30T08:00:00"/>
    <m/>
    <m/>
    <m/>
    <m/>
    <m/>
    <m/>
    <s v="ENV Contractor"/>
    <m/>
    <n v="25"/>
    <n v="24"/>
    <n v="3"/>
    <m/>
    <m/>
    <m/>
    <m/>
    <m/>
    <x v="0"/>
    <n v="420"/>
    <n v="1"/>
    <n v="1"/>
  </r>
  <r>
    <m/>
    <s v="Hazardous Substance Incident Response Management (HSIRM)"/>
    <s v="A-493-0077"/>
    <s v="0381"/>
    <s v="Souda Bay, Greece"/>
    <d v="2025-06-09T00:00:00"/>
    <d v="2025-06-11T00:00:00"/>
    <d v="1899-12-30T08:00:00"/>
    <m/>
    <m/>
    <m/>
    <m/>
    <m/>
    <m/>
    <s v="ENV Contractor"/>
    <m/>
    <n v="25"/>
    <n v="24"/>
    <n v="3"/>
    <m/>
    <m/>
    <m/>
    <m/>
    <m/>
    <x v="0"/>
    <n v="385"/>
    <n v="1"/>
    <n v="1"/>
  </r>
  <r>
    <m/>
    <s v="Hazardous Substance Incident Response Management (HSIRM)"/>
    <s v="A-493-0077"/>
    <s v="0381"/>
    <s v="Great Lakes, IL"/>
    <d v="2025-09-02T00:00:00"/>
    <d v="2025-09-04T00:00:00"/>
    <d v="1899-12-30T08:00:00"/>
    <m/>
    <m/>
    <m/>
    <m/>
    <m/>
    <m/>
    <s v="ENV Contractor"/>
    <m/>
    <n v="25"/>
    <n v="24"/>
    <n v="3"/>
    <m/>
    <m/>
    <m/>
    <m/>
    <m/>
    <x v="0"/>
    <n v="470"/>
    <n v="1"/>
    <n v="1"/>
  </r>
  <r>
    <m/>
    <s v="Hazardous Substance Incident Response Management (HSIRM)"/>
    <s v="A-493-0077"/>
    <s v="0381"/>
    <s v="Yokosuka, Japan"/>
    <d v="2025-08-18T00:00:00"/>
    <d v="2025-08-20T00:00:00"/>
    <d v="1899-12-30T08:00:00"/>
    <m/>
    <m/>
    <m/>
    <m/>
    <m/>
    <m/>
    <s v="ENV Contractor"/>
    <m/>
    <n v="25"/>
    <n v="24"/>
    <n v="3"/>
    <m/>
    <m/>
    <m/>
    <m/>
    <m/>
    <x v="0"/>
    <n v="455"/>
    <n v="1"/>
    <n v="1"/>
  </r>
  <r>
    <m/>
    <s v="Hazardous Substance Incident Response Management (HSIRM) Refresher"/>
    <s v="A-493-0083"/>
    <s v="339E"/>
    <s v="Bahrain"/>
    <d v="2025-01-16T00:00:00"/>
    <d v="2025-01-16T00:00:00"/>
    <d v="1899-12-30T08:00:00"/>
    <m/>
    <m/>
    <m/>
    <m/>
    <m/>
    <m/>
    <s v="ENV Contractor"/>
    <m/>
    <n v="30"/>
    <n v="8"/>
    <n v="1"/>
    <m/>
    <m/>
    <m/>
    <m/>
    <m/>
    <x v="0"/>
    <n v="239"/>
    <n v="1"/>
    <n v="1"/>
  </r>
  <r>
    <m/>
    <s v="Hazardous Substance Incident Response Management (HSIRM) Refresher"/>
    <s v="A-493-0083"/>
    <s v="339E"/>
    <s v="Bangor, WA"/>
    <d v="2025-07-24T00:00:00"/>
    <d v="2025-07-24T00:00:00"/>
    <d v="1899-12-30T08:00:00"/>
    <m/>
    <m/>
    <m/>
    <m/>
    <m/>
    <m/>
    <s v="ENV Contractor"/>
    <m/>
    <n v="30"/>
    <n v="8"/>
    <n v="1"/>
    <m/>
    <m/>
    <m/>
    <m/>
    <m/>
    <x v="0"/>
    <n v="428"/>
    <n v="1"/>
    <n v="1"/>
  </r>
  <r>
    <m/>
    <s v="Hazardous Substance Incident Response Management (HSIRM) Refresher"/>
    <s v="A-493-0083"/>
    <s v="339E"/>
    <s v="Bremerton, WA"/>
    <d v="2025-02-13T00:00:00"/>
    <d v="2025-02-13T00:00:00"/>
    <d v="1899-12-30T08:00:00"/>
    <m/>
    <m/>
    <m/>
    <m/>
    <m/>
    <m/>
    <s v="ENV Contractor"/>
    <m/>
    <n v="30"/>
    <n v="8"/>
    <n v="1"/>
    <m/>
    <m/>
    <m/>
    <m/>
    <m/>
    <x v="0"/>
    <n v="267"/>
    <n v="1"/>
    <n v="1"/>
  </r>
  <r>
    <m/>
    <s v="Hazardous Substance Incident Response Management (HSIRM) Refresher"/>
    <s v="A-493-0083"/>
    <s v="339E"/>
    <s v="Bremerton, WA"/>
    <d v="2025-02-14T00:00:00"/>
    <d v="2025-02-14T00:00:00"/>
    <d v="1899-12-30T08:00:00"/>
    <m/>
    <m/>
    <m/>
    <m/>
    <m/>
    <m/>
    <s v="ENV Contractor"/>
    <m/>
    <n v="30"/>
    <n v="8"/>
    <n v="1"/>
    <m/>
    <m/>
    <m/>
    <m/>
    <m/>
    <x v="0"/>
    <n v="268"/>
    <n v="1"/>
    <n v="1"/>
  </r>
  <r>
    <m/>
    <s v="Hazardous Substance Incident Response Management (HSIRM) Refresher"/>
    <s v="A-493-0083"/>
    <s v="339E"/>
    <s v="Crane, IN"/>
    <d v="2025-03-06T00:00:00"/>
    <d v="2025-03-06T00:00:00"/>
    <d v="1899-12-30T08:00:00"/>
    <m/>
    <m/>
    <m/>
    <m/>
    <m/>
    <m/>
    <s v="ENV Contractor"/>
    <m/>
    <n v="30"/>
    <n v="8"/>
    <n v="1"/>
    <m/>
    <m/>
    <m/>
    <m/>
    <m/>
    <x v="0"/>
    <n v="288"/>
    <n v="1"/>
    <n v="1"/>
  </r>
  <r>
    <s v="Naval Support Facility Diego Garcia (UIC: N68539)"/>
    <s v="Hazardous Substance Incident Response Management (HSIRM) Refresher"/>
    <s v="A-493-0083"/>
    <s v="339E"/>
    <s v="Diego Garcia"/>
    <d v="2025-02-13T00:00:00"/>
    <d v="2025-02-13T00:00:00"/>
    <d v="1899-12-30T08:00:00"/>
    <m/>
    <m/>
    <m/>
    <m/>
    <m/>
    <m/>
    <s v="ENV Contractor"/>
    <m/>
    <n v="30"/>
    <n v="8"/>
    <n v="1"/>
    <m/>
    <m/>
    <m/>
    <m/>
    <m/>
    <x v="0"/>
    <n v="267"/>
    <n v="1"/>
    <n v="1"/>
  </r>
  <r>
    <s v="Naval Support Facility Diego Garcia (UIC: N68539)"/>
    <s v="Hazardous Substance Incident Response Management (HSIRM) Refresher"/>
    <s v="A-493-0083"/>
    <s v="339E"/>
    <s v="Diego Garcia"/>
    <d v="2025-02-14T00:00:00"/>
    <d v="2025-02-14T00:00:00"/>
    <d v="1899-12-30T08:00:00"/>
    <m/>
    <m/>
    <m/>
    <m/>
    <m/>
    <m/>
    <s v="ENV Contractor"/>
    <m/>
    <n v="30"/>
    <n v="8"/>
    <n v="1"/>
    <m/>
    <m/>
    <m/>
    <m/>
    <m/>
    <x v="0"/>
    <n v="268"/>
    <n v="1"/>
    <n v="1"/>
  </r>
  <r>
    <m/>
    <s v="Hazardous Substance Incident Response Management (HSIRM) Refresher"/>
    <s v="A-493-0083"/>
    <s v="339E"/>
    <s v="Everett, WA"/>
    <d v="2025-05-08T00:00:00"/>
    <d v="2025-05-08T00:00:00"/>
    <d v="1899-12-30T08:00:00"/>
    <m/>
    <m/>
    <m/>
    <m/>
    <m/>
    <m/>
    <s v="ENV Contractor"/>
    <m/>
    <n v="30"/>
    <n v="8"/>
    <n v="1"/>
    <m/>
    <m/>
    <m/>
    <m/>
    <m/>
    <x v="0"/>
    <n v="351"/>
    <n v="1"/>
    <n v="1"/>
  </r>
  <r>
    <s v="Eastern Time Zone"/>
    <s v="Hazardous Substance Incident Response Management (HSIRM) Refresher"/>
    <s v="A-493-0083"/>
    <s v="339E"/>
    <s v="Global Online"/>
    <d v="2025-01-13T00:00:00"/>
    <d v="2025-01-13T00:00:00"/>
    <m/>
    <d v="1899-12-30T08:00:00"/>
    <s v="0500"/>
    <s v="1500"/>
    <s v="1300"/>
    <s v="0200"/>
    <s v="2100"/>
    <s v="ENV Contractor"/>
    <m/>
    <n v="30"/>
    <n v="8"/>
    <n v="1"/>
    <m/>
    <m/>
    <m/>
    <m/>
    <m/>
    <x v="0"/>
    <n v="236"/>
    <n v="1"/>
    <n v="1"/>
  </r>
  <r>
    <s v="Central Europe Focused"/>
    <s v="Hazardous Substance Incident Response Management (HSIRM) Refresher"/>
    <s v="A-493-0083"/>
    <s v="339E"/>
    <s v="Global Online"/>
    <d v="2025-02-25T00:00:00"/>
    <d v="2025-02-25T00:00:00"/>
    <m/>
    <d v="1899-12-30T02:00:00"/>
    <d v="1899-12-30T23:00:00"/>
    <d v="1899-12-30T22:00:00"/>
    <d v="1899-12-30T08:00:00"/>
    <d v="1899-12-30T21:00:00"/>
    <d v="1899-12-30T16:00:00"/>
    <s v="ENV Contractor"/>
    <m/>
    <n v="30"/>
    <n v="8"/>
    <n v="1"/>
    <m/>
    <m/>
    <m/>
    <m/>
    <m/>
    <x v="0"/>
    <n v="279"/>
    <n v="1"/>
    <n v="1"/>
  </r>
  <r>
    <s v="Pacific Time Zone Focused"/>
    <s v="Hazardous Substance Incident Response Management (HSIRM) Refresher"/>
    <s v="A-493-0083"/>
    <s v="339E"/>
    <s v="Global Online"/>
    <d v="2025-03-17T00:00:00"/>
    <d v="2025-03-17T00:00:00"/>
    <m/>
    <d v="1899-12-30T11:00:00"/>
    <d v="1899-12-30T08:00:00"/>
    <d v="1899-12-30T18:00:00"/>
    <d v="1899-12-30T16:00:00"/>
    <d v="1899-12-30T05:00:00"/>
    <d v="1899-12-30T00:00:00"/>
    <s v="ENV Contractor"/>
    <m/>
    <n v="30"/>
    <n v="8"/>
    <n v="1"/>
    <m/>
    <m/>
    <m/>
    <m/>
    <m/>
    <x v="0"/>
    <n v="299"/>
    <n v="1"/>
    <n v="1"/>
  </r>
  <r>
    <s v="Eastern Time Zone"/>
    <s v="Hazardous Substance Incident Response Management (HSIRM) Refresher"/>
    <s v="A-493-0083"/>
    <s v="339E"/>
    <s v="Global Online"/>
    <d v="2025-04-07T00:00:00"/>
    <d v="2025-04-07T00:00:00"/>
    <m/>
    <d v="1899-12-30T08:00:00"/>
    <m/>
    <m/>
    <m/>
    <m/>
    <m/>
    <s v="ENV Contractor"/>
    <m/>
    <n v="30"/>
    <n v="8"/>
    <n v="1"/>
    <m/>
    <m/>
    <m/>
    <m/>
    <m/>
    <x v="0"/>
    <n v="320"/>
    <n v="1"/>
    <n v="1"/>
  </r>
  <r>
    <s v="Japan Time Zone Focused   (EDT 1900hr on 6/9/2025)"/>
    <s v="Hazardous Substance Incident Response Management (HSIRM) Refresher"/>
    <s v="A-493-0083"/>
    <s v="339E"/>
    <s v="Global Online"/>
    <d v="2025-06-10T00:00:00"/>
    <d v="2025-06-10T00:00:00"/>
    <m/>
    <d v="1899-12-30T19:00:00"/>
    <m/>
    <m/>
    <m/>
    <m/>
    <d v="1899-12-30T08:00:00"/>
    <s v="ENV Contractor"/>
    <m/>
    <n v="30"/>
    <n v="8"/>
    <n v="1"/>
    <m/>
    <m/>
    <m/>
    <m/>
    <m/>
    <x v="0"/>
    <n v="384"/>
    <n v="1"/>
    <n v="1"/>
  </r>
  <r>
    <s v="Pacific Time Zone Focused"/>
    <s v="Hazardous Substance Incident Response Management (HSIRM) Refresher"/>
    <s v="A-493-0083"/>
    <s v="339E"/>
    <s v="Global Online"/>
    <d v="2025-08-04T00:00:00"/>
    <d v="2025-08-04T00:00:00"/>
    <m/>
    <d v="1899-12-30T11:00:00"/>
    <d v="1899-12-30T08:00:00"/>
    <m/>
    <m/>
    <m/>
    <m/>
    <s v="ENV Contractor"/>
    <m/>
    <n v="30"/>
    <n v="8"/>
    <n v="1"/>
    <m/>
    <m/>
    <m/>
    <m/>
    <m/>
    <x v="0"/>
    <m/>
    <m/>
    <m/>
  </r>
  <r>
    <s v="Central Europe Focused"/>
    <s v="Hazardous Substance Incident Response Management (HSIRM) Refresher"/>
    <s v="A-493-0083"/>
    <s v="339E"/>
    <s v="Global Online"/>
    <d v="2025-09-23T00:00:00"/>
    <d v="2025-09-23T00:00:00"/>
    <m/>
    <d v="1899-12-30T02:00:00"/>
    <m/>
    <m/>
    <d v="1899-12-30T08:00:00"/>
    <m/>
    <m/>
    <s v="ENV Contractor"/>
    <m/>
    <n v="30"/>
    <n v="8"/>
    <n v="1"/>
    <m/>
    <m/>
    <m/>
    <m/>
    <m/>
    <x v="0"/>
    <n v="489"/>
    <n v="1"/>
    <n v="1"/>
  </r>
  <r>
    <m/>
    <s v="Hazardous Substance Incident Response Management (HSIRM) Refresher"/>
    <s v="A-493-0083"/>
    <s v="339E"/>
    <s v="Groton, CT"/>
    <d v="2025-03-27T00:00:00"/>
    <d v="2025-03-27T00:00:00"/>
    <d v="1899-12-30T08:00:00"/>
    <m/>
    <m/>
    <m/>
    <m/>
    <m/>
    <m/>
    <s v="ENV Contractor"/>
    <m/>
    <n v="30"/>
    <n v="8"/>
    <n v="1"/>
    <m/>
    <m/>
    <m/>
    <m/>
    <m/>
    <x v="0"/>
    <n v="309"/>
    <n v="1"/>
    <n v="1"/>
  </r>
  <r>
    <m/>
    <s v="Hazardous Substance Incident Response Management (HSIRM) Refresher"/>
    <s v="A-493-0083"/>
    <s v="339E"/>
    <s v="Norfolk, VA Classroom 1"/>
    <d v="2025-02-06T00:00:00"/>
    <d v="2025-02-06T00:00:00"/>
    <d v="1899-12-30T08:00:00"/>
    <m/>
    <m/>
    <m/>
    <m/>
    <m/>
    <m/>
    <s v="ENV Contractor"/>
    <m/>
    <n v="30"/>
    <n v="8"/>
    <n v="1"/>
    <m/>
    <m/>
    <m/>
    <m/>
    <m/>
    <x v="0"/>
    <n v="260"/>
    <n v="1"/>
    <n v="1"/>
  </r>
  <r>
    <m/>
    <s v="Hazardous Substance Incident Response Management (HSIRM) Refresher"/>
    <s v="A-493-0083"/>
    <s v="339E"/>
    <s v="Norfolk, VA Classroom 1"/>
    <d v="2025-05-15T00:00:00"/>
    <d v="2025-05-15T00:00:00"/>
    <d v="1899-12-30T08:00:00"/>
    <m/>
    <m/>
    <m/>
    <m/>
    <m/>
    <m/>
    <s v="ENV Contractor"/>
    <m/>
    <n v="30"/>
    <n v="8"/>
    <n v="1"/>
    <m/>
    <m/>
    <m/>
    <m/>
    <m/>
    <x v="0"/>
    <n v="358"/>
    <n v="1"/>
    <n v="1"/>
  </r>
  <r>
    <m/>
    <s v="Hazardous Substance Incident Response Management (HSIRM) Refresher"/>
    <s v="A-493-0083"/>
    <s v="339E"/>
    <s v="Norfolk, VA Classroom 2"/>
    <d v="2025-08-07T00:00:00"/>
    <d v="2025-08-07T00:00:00"/>
    <d v="1899-12-30T08:00:00"/>
    <m/>
    <m/>
    <m/>
    <m/>
    <m/>
    <m/>
    <s v="ENV Contractor"/>
    <m/>
    <n v="30"/>
    <n v="8"/>
    <n v="1"/>
    <m/>
    <m/>
    <m/>
    <m/>
    <m/>
    <x v="0"/>
    <n v="442"/>
    <n v="1"/>
    <n v="1"/>
  </r>
  <r>
    <m/>
    <s v="Hazardous Substance Incident Response Management (HSIRM) Refresher"/>
    <s v="A-493-0083"/>
    <s v="339E"/>
    <s v="Okinawa, Japan"/>
    <d v="2025-04-10T00:00:00"/>
    <d v="2025-04-10T00:00:00"/>
    <d v="1899-12-30T08:00:00"/>
    <m/>
    <m/>
    <m/>
    <m/>
    <m/>
    <m/>
    <s v="ENV Contractor"/>
    <m/>
    <n v="30"/>
    <n v="8"/>
    <n v="1"/>
    <m/>
    <m/>
    <m/>
    <m/>
    <m/>
    <x v="0"/>
    <n v="323"/>
    <n v="1"/>
    <n v="1"/>
  </r>
  <r>
    <m/>
    <s v="Hazardous Substance Incident Response Management (HSIRM) Refresher"/>
    <s v="A-493-0083"/>
    <s v="339E"/>
    <s v="Pax River, MD"/>
    <d v="2025-09-11T00:00:00"/>
    <d v="2025-09-11T00:00:00"/>
    <d v="1899-12-30T08:00:00"/>
    <m/>
    <m/>
    <m/>
    <m/>
    <m/>
    <m/>
    <s v="ENV Contractor"/>
    <m/>
    <n v="30"/>
    <n v="8"/>
    <n v="1"/>
    <m/>
    <m/>
    <m/>
    <m/>
    <m/>
    <x v="0"/>
    <n v="477"/>
    <n v="1"/>
    <n v="1"/>
  </r>
  <r>
    <m/>
    <s v="Hazardous Substance Incident Response Management (HSIRM) Refresher"/>
    <s v="A-493-0083"/>
    <s v="339E"/>
    <s v="Pearl Harbor, HI"/>
    <d v="2025-07-17T00:00:00"/>
    <d v="2025-07-17T00:00:00"/>
    <d v="1899-12-30T08:00:00"/>
    <m/>
    <m/>
    <m/>
    <m/>
    <m/>
    <m/>
    <s v="ENV Contractor"/>
    <m/>
    <n v="30"/>
    <n v="8"/>
    <n v="1"/>
    <m/>
    <m/>
    <m/>
    <m/>
    <m/>
    <x v="0"/>
    <n v="421"/>
    <n v="1"/>
    <n v="1"/>
  </r>
  <r>
    <m/>
    <s v="Hazardous Substance Incident Response Management (HSIRM) Refresher"/>
    <s v="A-493-0083"/>
    <s v="339E"/>
    <s v="Souda Bay, Greece"/>
    <d v="2025-06-12T00:00:00"/>
    <d v="2025-06-12T00:00:00"/>
    <d v="1899-12-30T08:00:00"/>
    <m/>
    <m/>
    <m/>
    <m/>
    <m/>
    <m/>
    <s v="ENV Contractor"/>
    <m/>
    <n v="30"/>
    <n v="8"/>
    <n v="1"/>
    <m/>
    <m/>
    <m/>
    <m/>
    <m/>
    <x v="0"/>
    <n v="386"/>
    <n v="1"/>
    <n v="1"/>
  </r>
  <r>
    <m/>
    <s v="Hazardous Substance Incident Response Management (HSIRM) Refresher"/>
    <s v="A-493-0083"/>
    <s v="339E"/>
    <s v="Great Lakes, IL"/>
    <d v="2025-09-05T00:00:00"/>
    <d v="2025-09-05T00:00:00"/>
    <d v="1899-12-30T08:00:00"/>
    <m/>
    <m/>
    <m/>
    <m/>
    <m/>
    <m/>
    <s v="ENV Contractor"/>
    <m/>
    <n v="30"/>
    <n v="8"/>
    <n v="1"/>
    <m/>
    <m/>
    <m/>
    <m/>
    <m/>
    <x v="0"/>
    <n v="471"/>
    <n v="1"/>
    <n v="1"/>
  </r>
  <r>
    <m/>
    <s v="Hazardous Substance Incident Response Management (HSIRM) Refresher"/>
    <s v="A-493-0083"/>
    <s v="339E"/>
    <s v="Yokosuka, Japan"/>
    <d v="2025-08-21T00:00:00"/>
    <d v="2025-08-21T00:00:00"/>
    <d v="1899-12-30T08:00:00"/>
    <m/>
    <m/>
    <m/>
    <m/>
    <m/>
    <m/>
    <s v="ENV Contractor"/>
    <m/>
    <n v="30"/>
    <n v="8"/>
    <n v="1"/>
    <m/>
    <m/>
    <m/>
    <m/>
    <m/>
    <x v="0"/>
    <n v="456"/>
    <n v="1"/>
    <n v="1"/>
  </r>
  <r>
    <s v="Columbus Day"/>
    <s v="Holiday"/>
    <s v="Holiday"/>
    <s v="Holiday"/>
    <m/>
    <d v="2024-10-14T00:00:00"/>
    <d v="2024-10-14T00:00:00"/>
    <m/>
    <m/>
    <m/>
    <m/>
    <m/>
    <m/>
    <m/>
    <m/>
    <m/>
    <n v="0"/>
    <n v="0"/>
    <n v="0"/>
    <m/>
    <m/>
    <m/>
    <m/>
    <m/>
    <x v="0"/>
    <n v="145"/>
    <n v="1"/>
    <n v="1"/>
  </r>
  <r>
    <s v="Veterans Day"/>
    <s v="Holiday"/>
    <s v="Holiday"/>
    <s v="Holiday"/>
    <m/>
    <d v="2024-11-11T00:00:00"/>
    <d v="2024-11-11T00:00:00"/>
    <m/>
    <m/>
    <m/>
    <m/>
    <m/>
    <m/>
    <m/>
    <m/>
    <m/>
    <n v="0"/>
    <n v="0"/>
    <n v="0"/>
    <m/>
    <m/>
    <m/>
    <m/>
    <m/>
    <x v="0"/>
    <n v="173"/>
    <n v="1"/>
    <n v="1"/>
  </r>
  <r>
    <s v="Thanksgiving"/>
    <s v="Holiday"/>
    <s v="Holiday"/>
    <s v="Holiday"/>
    <m/>
    <d v="2024-11-28T00:00:00"/>
    <d v="2024-11-28T00:00:00"/>
    <m/>
    <m/>
    <m/>
    <m/>
    <m/>
    <m/>
    <m/>
    <m/>
    <m/>
    <n v="0"/>
    <n v="0"/>
    <n v="0"/>
    <m/>
    <m/>
    <m/>
    <m/>
    <m/>
    <x v="0"/>
    <n v="190"/>
    <n v="1"/>
    <n v="1"/>
  </r>
  <r>
    <s v="Christmas Day"/>
    <s v="Holiday"/>
    <s v="Holiday"/>
    <s v="Holiday"/>
    <m/>
    <d v="2024-12-25T00:00:00"/>
    <d v="2024-12-25T00:00:00"/>
    <m/>
    <m/>
    <m/>
    <m/>
    <m/>
    <m/>
    <m/>
    <m/>
    <m/>
    <n v="0"/>
    <n v="0"/>
    <n v="0"/>
    <m/>
    <m/>
    <m/>
    <m/>
    <m/>
    <x v="0"/>
    <n v="217"/>
    <n v="1"/>
    <n v="1"/>
  </r>
  <r>
    <s v="New Year's Day"/>
    <s v="Holiday"/>
    <s v="Holiday"/>
    <s v="Holiday"/>
    <m/>
    <d v="2025-01-01T00:00:00"/>
    <d v="2025-01-01T00:00:00"/>
    <m/>
    <m/>
    <m/>
    <m/>
    <m/>
    <m/>
    <m/>
    <m/>
    <m/>
    <n v="0"/>
    <n v="0"/>
    <n v="0"/>
    <m/>
    <m/>
    <m/>
    <m/>
    <m/>
    <x v="0"/>
    <n v="224"/>
    <n v="1"/>
    <n v="1"/>
  </r>
  <r>
    <s v="MLK Day"/>
    <s v="Holiday"/>
    <s v="Holiday"/>
    <s v="Holiday"/>
    <m/>
    <d v="2025-01-20T00:00:00"/>
    <d v="2025-01-20T00:00:00"/>
    <m/>
    <m/>
    <m/>
    <m/>
    <m/>
    <m/>
    <m/>
    <m/>
    <m/>
    <n v="0"/>
    <n v="0"/>
    <n v="0"/>
    <m/>
    <m/>
    <m/>
    <m/>
    <m/>
    <x v="0"/>
    <n v="243"/>
    <n v="1"/>
    <n v="1"/>
  </r>
  <r>
    <s v="Washington's Birthday"/>
    <s v="Holiday"/>
    <s v="Holiday"/>
    <s v="Holiday"/>
    <m/>
    <d v="2025-02-17T00:00:00"/>
    <d v="2025-02-17T00:00:00"/>
    <m/>
    <m/>
    <m/>
    <m/>
    <m/>
    <m/>
    <m/>
    <m/>
    <m/>
    <n v="0"/>
    <n v="0"/>
    <n v="0"/>
    <m/>
    <m/>
    <m/>
    <m/>
    <m/>
    <x v="0"/>
    <n v="271"/>
    <n v="1"/>
    <n v="1"/>
  </r>
  <r>
    <s v="Memorial Day"/>
    <s v="Holiday"/>
    <s v="Holiday"/>
    <s v="Holiday"/>
    <m/>
    <d v="2025-05-26T00:00:00"/>
    <d v="2025-05-26T00:00:00"/>
    <m/>
    <m/>
    <m/>
    <m/>
    <m/>
    <m/>
    <m/>
    <m/>
    <m/>
    <n v="0"/>
    <n v="0"/>
    <n v="0"/>
    <m/>
    <m/>
    <m/>
    <m/>
    <m/>
    <x v="0"/>
    <n v="369"/>
    <n v="1"/>
    <n v="1"/>
  </r>
  <r>
    <s v="Juneteenth"/>
    <s v="Holiday"/>
    <s v="Holiday"/>
    <s v="Holiday"/>
    <m/>
    <d v="2025-06-19T00:00:00"/>
    <d v="2025-06-19T00:00:00"/>
    <m/>
    <m/>
    <m/>
    <m/>
    <m/>
    <m/>
    <m/>
    <m/>
    <m/>
    <n v="0"/>
    <n v="0"/>
    <n v="0"/>
    <m/>
    <m/>
    <m/>
    <m/>
    <m/>
    <x v="0"/>
    <n v="393"/>
    <n v="1"/>
    <n v="1"/>
  </r>
  <r>
    <s v="Independence Day"/>
    <s v="Holiday"/>
    <s v="Holiday"/>
    <s v="Holiday"/>
    <m/>
    <d v="2025-07-04T00:00:00"/>
    <d v="2025-07-04T00:00:00"/>
    <m/>
    <m/>
    <m/>
    <m/>
    <m/>
    <m/>
    <m/>
    <m/>
    <m/>
    <n v="0"/>
    <n v="0"/>
    <n v="0"/>
    <m/>
    <m/>
    <m/>
    <m/>
    <m/>
    <x v="0"/>
    <n v="408"/>
    <n v="1"/>
    <n v="1"/>
  </r>
  <r>
    <s v="Labor Day"/>
    <s v="Holiday"/>
    <s v="Holiday"/>
    <s v="Holiday"/>
    <m/>
    <d v="2025-09-01T00:00:00"/>
    <d v="2025-09-01T00:00:00"/>
    <m/>
    <m/>
    <m/>
    <m/>
    <m/>
    <m/>
    <m/>
    <m/>
    <m/>
    <n v="0"/>
    <n v="0"/>
    <n v="0"/>
    <m/>
    <m/>
    <m/>
    <m/>
    <m/>
    <x v="0"/>
    <n v="467"/>
    <n v="1"/>
    <n v="1"/>
  </r>
  <r>
    <m/>
    <s v="Incident Command System 300 (ICS 300)"/>
    <s v="A-493-2300"/>
    <s v="993F"/>
    <s v="Atsugi, Japan"/>
    <d v="2025-03-10T00:00:00"/>
    <d v="2025-03-11T00:00:00"/>
    <d v="1899-12-30T08:00:00"/>
    <m/>
    <m/>
    <m/>
    <m/>
    <m/>
    <m/>
    <s v="ENV Contractor"/>
    <m/>
    <n v="30"/>
    <n v="16"/>
    <n v="2"/>
    <m/>
    <m/>
    <m/>
    <m/>
    <m/>
    <x v="0"/>
    <n v="293"/>
    <n v="1"/>
    <n v="1"/>
  </r>
  <r>
    <m/>
    <s v="Incident Command System 300 (ICS 300)"/>
    <s v="A-493-2300"/>
    <s v="993F"/>
    <s v="Bangor, WA"/>
    <d v="2025-04-14T00:00:00"/>
    <d v="2025-04-15T00:00:00"/>
    <d v="1899-12-30T08:00:00"/>
    <m/>
    <m/>
    <m/>
    <m/>
    <m/>
    <m/>
    <s v="ENV Contractor"/>
    <m/>
    <n v="30"/>
    <n v="16"/>
    <n v="2"/>
    <m/>
    <m/>
    <m/>
    <m/>
    <m/>
    <x v="0"/>
    <n v="328"/>
    <n v="1"/>
    <n v="1"/>
  </r>
  <r>
    <m/>
    <s v="Incident Command System 300 (ICS 300)"/>
    <s v="A-493-2300"/>
    <s v="993F"/>
    <s v="Coronado, CA"/>
    <d v="2025-07-07T00:00:00"/>
    <d v="2025-07-08T00:00:00"/>
    <d v="1899-12-30T08:00:00"/>
    <m/>
    <m/>
    <m/>
    <m/>
    <m/>
    <m/>
    <s v="ENV Contractor"/>
    <m/>
    <n v="30"/>
    <n v="16"/>
    <n v="2"/>
    <m/>
    <m/>
    <m/>
    <m/>
    <m/>
    <x v="0"/>
    <n v="412"/>
    <n v="1"/>
    <n v="1"/>
  </r>
  <r>
    <s v="Naval Support Facility Diego Garcia (UIC: N68539)"/>
    <s v="Incident Command System 300 (ICS 300)"/>
    <s v="A-493-2300"/>
    <s v="993F"/>
    <s v="Diego Garcia"/>
    <d v="2025-02-03T00:00:00"/>
    <d v="2025-02-04T00:00:00"/>
    <d v="1899-12-30T08:00:00"/>
    <m/>
    <m/>
    <m/>
    <m/>
    <m/>
    <m/>
    <s v="ENV Contractor"/>
    <m/>
    <n v="30"/>
    <n v="16"/>
    <n v="2"/>
    <m/>
    <m/>
    <m/>
    <m/>
    <m/>
    <x v="0"/>
    <n v="258"/>
    <n v="1"/>
    <n v="1"/>
  </r>
  <r>
    <m/>
    <s v="Incident Command System 300 (ICS 300)"/>
    <s v="A-493-2300"/>
    <s v="993F"/>
    <s v="Groton, CT"/>
    <d v="2025-08-11T00:00:00"/>
    <d v="2025-08-12T00:00:00"/>
    <d v="1899-12-30T08:00:00"/>
    <m/>
    <m/>
    <m/>
    <m/>
    <m/>
    <m/>
    <s v="ENV Contractor"/>
    <m/>
    <n v="30"/>
    <n v="16"/>
    <n v="2"/>
    <m/>
    <m/>
    <m/>
    <m/>
    <m/>
    <x v="0"/>
    <n v="447"/>
    <n v="1"/>
    <n v="1"/>
  </r>
  <r>
    <m/>
    <s v="Incident Command System 300 (ICS 300)"/>
    <s v="A-493-2300"/>
    <s v="993F"/>
    <s v="Okinawa, Japan"/>
    <d v="2025-05-05T00:00:00"/>
    <d v="2025-05-06T00:00:00"/>
    <d v="1899-12-30T08:00:00"/>
    <s v="`"/>
    <m/>
    <m/>
    <m/>
    <m/>
    <m/>
    <s v="ENV Contractor"/>
    <m/>
    <n v="30"/>
    <n v="16"/>
    <n v="2"/>
    <m/>
    <m/>
    <m/>
    <m/>
    <m/>
    <x v="0"/>
    <n v="349"/>
    <n v="1"/>
    <n v="1"/>
  </r>
  <r>
    <m/>
    <s v="Incident Command System 300 (ICS 300)"/>
    <s v="A-493-2300"/>
    <s v="993F"/>
    <s v="Pearl Harbor, HI"/>
    <d v="2025-01-21T00:00:00"/>
    <d v="2025-01-22T00:00:00"/>
    <d v="1899-12-30T08:00:00"/>
    <m/>
    <m/>
    <m/>
    <m/>
    <m/>
    <m/>
    <s v="ENV Contractor"/>
    <m/>
    <n v="30"/>
    <n v="16"/>
    <n v="2"/>
    <m/>
    <m/>
    <m/>
    <m/>
    <m/>
    <x v="0"/>
    <n v="245"/>
    <n v="1"/>
    <n v="1"/>
  </r>
  <r>
    <m/>
    <s v="Incident Command System 300 (ICS 300)"/>
    <s v="A-493-2300"/>
    <s v="993F"/>
    <s v="Sasebo, Japan"/>
    <d v="2025-04-07T00:00:00"/>
    <d v="2025-04-08T00:00:00"/>
    <d v="1899-12-30T08:00:00"/>
    <m/>
    <m/>
    <m/>
    <m/>
    <m/>
    <m/>
    <s v="ENV Contractor"/>
    <m/>
    <n v="30"/>
    <n v="16"/>
    <n v="2"/>
    <m/>
    <m/>
    <m/>
    <m/>
    <m/>
    <x v="0"/>
    <n v="321"/>
    <n v="1"/>
    <n v="1"/>
  </r>
  <r>
    <m/>
    <s v="Incident Command System 300 (ICS 300)"/>
    <s v="A-493-2300"/>
    <s v="993F"/>
    <s v="Yokosuka, Japan"/>
    <d v="2025-03-17T00:00:00"/>
    <d v="2025-03-18T00:00:00"/>
    <d v="1899-12-30T08:00:00"/>
    <m/>
    <m/>
    <m/>
    <m/>
    <m/>
    <m/>
    <s v="ENV Contractor"/>
    <m/>
    <n v="30"/>
    <n v="16"/>
    <n v="2"/>
    <m/>
    <m/>
    <m/>
    <m/>
    <m/>
    <x v="0"/>
    <n v="300"/>
    <n v="1"/>
    <n v="1"/>
  </r>
  <r>
    <m/>
    <s v="Incident Command System 300 (ICS 300) Refresher"/>
    <s v="A-493-2301"/>
    <s v="05ZD"/>
    <s v="Annapolis, MD"/>
    <d v="2025-07-07T00:00:00"/>
    <d v="2025-07-07T00:00:00"/>
    <d v="1899-12-30T08:00:00"/>
    <m/>
    <m/>
    <m/>
    <m/>
    <m/>
    <m/>
    <s v="ENV Contractor"/>
    <m/>
    <n v="30"/>
    <n v="8"/>
    <n v="1"/>
    <m/>
    <m/>
    <m/>
    <m/>
    <m/>
    <x v="0"/>
    <n v="411"/>
    <n v="1"/>
    <n v="1"/>
  </r>
  <r>
    <m/>
    <s v="Incident Command System 300 (ICS 300) Refresher"/>
    <s v="A-493-2301"/>
    <s v="05ZD"/>
    <s v="Atsugi, Japan"/>
    <d v="2025-03-12T00:00:00"/>
    <d v="2025-03-12T00:00:00"/>
    <d v="1899-12-30T08:00:00"/>
    <m/>
    <m/>
    <m/>
    <m/>
    <m/>
    <m/>
    <s v="ENV Contractor"/>
    <m/>
    <n v="30"/>
    <n v="8"/>
    <n v="1"/>
    <m/>
    <m/>
    <m/>
    <m/>
    <m/>
    <x v="0"/>
    <n v="294"/>
    <n v="1"/>
    <n v="1"/>
  </r>
  <r>
    <m/>
    <s v="Incident Command System 300 (ICS 300) Refresher"/>
    <s v="A-493-2301"/>
    <s v="05ZD"/>
    <s v="Bangor, WA"/>
    <d v="2025-04-16T00:00:00"/>
    <d v="2025-04-16T00:00:00"/>
    <d v="1899-12-30T08:00:00"/>
    <m/>
    <m/>
    <m/>
    <m/>
    <m/>
    <m/>
    <s v="ENV Contractor"/>
    <m/>
    <n v="30"/>
    <n v="8"/>
    <n v="1"/>
    <m/>
    <m/>
    <m/>
    <m/>
    <m/>
    <x v="0"/>
    <n v="329"/>
    <n v="1"/>
    <n v="1"/>
  </r>
  <r>
    <m/>
    <s v="Incident Command System 300 (ICS 300) Refresher"/>
    <s v="A-493-2301"/>
    <s v="05ZD"/>
    <s v="Bremerton, WA"/>
    <d v="2025-06-30T00:00:00"/>
    <d v="2025-06-30T00:00:00"/>
    <d v="1899-12-30T08:00:00"/>
    <m/>
    <m/>
    <m/>
    <m/>
    <m/>
    <m/>
    <s v="ENV Contractor"/>
    <m/>
    <n v="30"/>
    <n v="8"/>
    <n v="1"/>
    <m/>
    <m/>
    <m/>
    <m/>
    <m/>
    <x v="0"/>
    <n v="404"/>
    <n v="1"/>
    <n v="1"/>
  </r>
  <r>
    <m/>
    <s v="Incident Command System 300 (ICS 300) Refresher"/>
    <s v="A-493-2301"/>
    <s v="05ZD"/>
    <s v="Colts Neck, NJ"/>
    <d v="2025-07-09T00:00:00"/>
    <d v="2025-07-09T00:00:00"/>
    <d v="1899-12-30T08:00:00"/>
    <m/>
    <m/>
    <m/>
    <m/>
    <m/>
    <m/>
    <s v="ENV Contractor"/>
    <m/>
    <n v="30"/>
    <n v="8"/>
    <n v="1"/>
    <m/>
    <m/>
    <m/>
    <m/>
    <m/>
    <x v="0"/>
    <n v="413"/>
    <n v="1"/>
    <n v="1"/>
  </r>
  <r>
    <m/>
    <s v="Incident Command System 300 (ICS 300) Refresher"/>
    <s v="A-493-2301"/>
    <s v="05ZD"/>
    <s v="Crane, IN"/>
    <d v="2025-08-04T00:00:00"/>
    <d v="2025-08-04T00:00:00"/>
    <d v="1899-12-30T08:00:00"/>
    <m/>
    <m/>
    <m/>
    <m/>
    <m/>
    <m/>
    <s v="ENV Contractor"/>
    <m/>
    <n v="30"/>
    <n v="8"/>
    <n v="1"/>
    <m/>
    <m/>
    <m/>
    <m/>
    <m/>
    <x v="0"/>
    <n v="439"/>
    <n v="1"/>
    <n v="1"/>
  </r>
  <r>
    <s v="Naval Support Facility Diego Garcia (UIC: N68539)"/>
    <s v="Incident Command System 300 (ICS 300) Refresher"/>
    <s v="A-493-2301"/>
    <s v="05ZD"/>
    <s v="Diego Garcia"/>
    <d v="2025-02-05T00:00:00"/>
    <d v="2025-02-05T00:00:00"/>
    <d v="1899-12-30T08:00:00"/>
    <m/>
    <m/>
    <m/>
    <m/>
    <m/>
    <m/>
    <s v="ENV Contractor"/>
    <m/>
    <n v="30"/>
    <n v="8"/>
    <n v="1"/>
    <m/>
    <m/>
    <m/>
    <m/>
    <m/>
    <x v="0"/>
    <n v="259"/>
    <n v="1"/>
    <n v="1"/>
  </r>
  <r>
    <m/>
    <s v="Incident Command System 300 (ICS 300) Refresher"/>
    <s v="A-493-2301"/>
    <s v="05ZD"/>
    <s v="Indian Head, MD"/>
    <d v="2025-06-03T00:00:00"/>
    <d v="2025-06-03T00:00:00"/>
    <d v="1899-12-30T08:00:00"/>
    <m/>
    <m/>
    <m/>
    <m/>
    <m/>
    <m/>
    <s v="ENV Contractor"/>
    <m/>
    <n v="30"/>
    <n v="8"/>
    <n v="1"/>
    <m/>
    <m/>
    <m/>
    <m/>
    <m/>
    <x v="0"/>
    <n v="377"/>
    <n v="1"/>
    <n v="1"/>
  </r>
  <r>
    <m/>
    <s v="Incident Command System 300 (ICS 300) Refresher"/>
    <s v="A-493-2301"/>
    <s v="05ZD"/>
    <s v="Newport, RI"/>
    <d v="2025-08-25T00:00:00"/>
    <d v="2025-08-25T00:00:00"/>
    <d v="1899-12-30T08:00:00"/>
    <m/>
    <m/>
    <m/>
    <m/>
    <m/>
    <m/>
    <s v="ENV Contractor"/>
    <m/>
    <n v="30"/>
    <n v="8"/>
    <n v="1"/>
    <m/>
    <m/>
    <m/>
    <m/>
    <m/>
    <x v="0"/>
    <n v="460"/>
    <n v="1"/>
    <n v="1"/>
  </r>
  <r>
    <m/>
    <s v="Incident Command System 300 (ICS 300) Refresher"/>
    <s v="A-493-2301"/>
    <s v="05ZD"/>
    <s v="Norfolk, VA Classroom 1"/>
    <d v="2025-06-09T00:00:00"/>
    <d v="2025-06-09T00:00:00"/>
    <d v="1899-12-30T08:00:00"/>
    <m/>
    <m/>
    <m/>
    <m/>
    <m/>
    <m/>
    <s v="ENV Contractor"/>
    <m/>
    <n v="30"/>
    <n v="8"/>
    <n v="1"/>
    <m/>
    <m/>
    <m/>
    <m/>
    <m/>
    <x v="0"/>
    <n v="383"/>
    <n v="1"/>
    <n v="1"/>
  </r>
  <r>
    <m/>
    <s v="Incident Command System 300 (ICS 300) Refresher"/>
    <s v="A-493-2301"/>
    <s v="05ZD"/>
    <s v="Okinawa, Japan"/>
    <d v="2025-05-07T00:00:00"/>
    <d v="2025-05-07T00:00:00"/>
    <d v="1899-12-30T08:00:00"/>
    <m/>
    <m/>
    <m/>
    <m/>
    <m/>
    <m/>
    <s v="ENV Contractor"/>
    <m/>
    <n v="30"/>
    <n v="8"/>
    <n v="1"/>
    <m/>
    <m/>
    <m/>
    <m/>
    <m/>
    <x v="0"/>
    <n v="350"/>
    <n v="1"/>
    <n v="1"/>
  </r>
  <r>
    <m/>
    <s v="Incident Command System 300 (ICS 300) Refresher"/>
    <s v="A-493-2301"/>
    <s v="05ZD"/>
    <s v="Pax River, MD"/>
    <d v="2025-06-05T00:00:00"/>
    <d v="2025-06-05T00:00:00"/>
    <d v="1899-12-30T08:00:00"/>
    <m/>
    <m/>
    <m/>
    <m/>
    <m/>
    <m/>
    <s v="ENV Contractor"/>
    <m/>
    <n v="30"/>
    <n v="8"/>
    <n v="1"/>
    <m/>
    <m/>
    <m/>
    <m/>
    <m/>
    <x v="0"/>
    <n v="379"/>
    <n v="1"/>
    <n v="1"/>
  </r>
  <r>
    <m/>
    <s v="Incident Command System 300 (ICS 300) Refresher"/>
    <s v="A-493-2301"/>
    <s v="05ZD"/>
    <s v="Great Lakes, IL"/>
    <d v="2025-08-06T00:00:00"/>
    <d v="2025-08-06T00:00:00"/>
    <d v="1899-12-30T08:00:00"/>
    <m/>
    <m/>
    <m/>
    <m/>
    <m/>
    <m/>
    <s v="ENV Contractor"/>
    <m/>
    <n v="30"/>
    <n v="8"/>
    <n v="1"/>
    <m/>
    <m/>
    <m/>
    <m/>
    <m/>
    <x v="0"/>
    <n v="441"/>
    <n v="1"/>
    <n v="1"/>
  </r>
  <r>
    <m/>
    <s v="Incident Command System 300 (ICS 300) Refresher"/>
    <s v="A-493-2301"/>
    <s v="05ZD"/>
    <s v="Portsmouth, NH"/>
    <d v="2025-08-14T00:00:00"/>
    <d v="2025-08-14T00:00:00"/>
    <d v="1899-12-30T08:00:00"/>
    <m/>
    <m/>
    <m/>
    <m/>
    <m/>
    <m/>
    <s v="ENV Contractor"/>
    <m/>
    <n v="30"/>
    <n v="8"/>
    <n v="1"/>
    <m/>
    <m/>
    <m/>
    <m/>
    <m/>
    <x v="0"/>
    <n v="449"/>
    <n v="1"/>
    <n v="1"/>
  </r>
  <r>
    <m/>
    <s v="Incident Command System 300 (ICS 300) Refresher"/>
    <s v="A-493-2301"/>
    <s v="05ZD"/>
    <s v="Sasebo, Japan"/>
    <d v="2025-04-09T00:00:00"/>
    <d v="2025-04-09T00:00:00"/>
    <d v="1899-12-30T08:00:00"/>
    <m/>
    <m/>
    <m/>
    <m/>
    <m/>
    <m/>
    <s v="ENV Contractor"/>
    <m/>
    <n v="30"/>
    <n v="8"/>
    <n v="1"/>
    <m/>
    <m/>
    <m/>
    <m/>
    <m/>
    <x v="0"/>
    <n v="322"/>
    <n v="1"/>
    <n v="1"/>
  </r>
  <r>
    <m/>
    <s v="Incident Command System 400 (ICS 400)"/>
    <s v="A-493-0216"/>
    <s v="12X8"/>
    <s v="Atsugi, Japan"/>
    <d v="2025-03-13T00:00:00"/>
    <d v="2025-03-13T00:00:00"/>
    <d v="1899-12-30T08:00:00"/>
    <m/>
    <m/>
    <m/>
    <m/>
    <m/>
    <m/>
    <s v="ENV Contractor"/>
    <m/>
    <n v="30"/>
    <n v="8"/>
    <n v="1"/>
    <m/>
    <m/>
    <m/>
    <m/>
    <m/>
    <x v="0"/>
    <n v="295"/>
    <n v="1"/>
    <n v="1"/>
  </r>
  <r>
    <m/>
    <s v="Incident Command System 400 (ICS 400)"/>
    <s v="A-493-0216"/>
    <s v="12X8"/>
    <s v="Bangor, WA"/>
    <d v="2025-04-17T00:00:00"/>
    <d v="2025-04-17T00:00:00"/>
    <d v="1899-12-30T08:00:00"/>
    <m/>
    <m/>
    <m/>
    <m/>
    <m/>
    <m/>
    <s v="ENV Contractor"/>
    <m/>
    <n v="30"/>
    <n v="8"/>
    <n v="1"/>
    <m/>
    <m/>
    <m/>
    <m/>
    <m/>
    <x v="0"/>
    <n v="330"/>
    <n v="1"/>
    <n v="1"/>
  </r>
  <r>
    <s v="Naval Support Facility Diego Garcia (UIC: N68539)"/>
    <s v="Incident Command System 400 (ICS 400)"/>
    <s v="A-493-0216"/>
    <s v="12X8"/>
    <s v="Diego Garcia"/>
    <d v="2025-02-06T00:00:00"/>
    <d v="2025-02-06T00:00:00"/>
    <d v="1899-12-30T08:00:00"/>
    <m/>
    <m/>
    <m/>
    <m/>
    <m/>
    <m/>
    <s v="ENV Contractor"/>
    <m/>
    <n v="30"/>
    <n v="8"/>
    <n v="1"/>
    <m/>
    <m/>
    <m/>
    <m/>
    <m/>
    <x v="0"/>
    <n v="260"/>
    <n v="1"/>
    <n v="1"/>
  </r>
  <r>
    <m/>
    <s v="Incident Command System 400 (ICS 400)"/>
    <s v="A-493-0216"/>
    <s v="12X8"/>
    <s v="Okinawa, Japan"/>
    <d v="2025-05-08T00:00:00"/>
    <d v="2025-05-08T00:00:00"/>
    <d v="1899-12-30T08:00:00"/>
    <m/>
    <m/>
    <m/>
    <m/>
    <m/>
    <m/>
    <s v="ENV Contractor"/>
    <m/>
    <n v="30"/>
    <n v="8"/>
    <n v="1"/>
    <m/>
    <m/>
    <m/>
    <m/>
    <m/>
    <x v="0"/>
    <n v="351"/>
    <n v="1"/>
    <n v="1"/>
  </r>
  <r>
    <m/>
    <s v="Incident Command System 400 (ICS 400)"/>
    <s v="A-493-0216"/>
    <s v="12X8"/>
    <s v="Pearl Harbor, HI"/>
    <d v="2025-01-23T00:00:00"/>
    <d v="2025-01-23T00:00:00"/>
    <d v="1899-12-30T08:00:00"/>
    <m/>
    <m/>
    <m/>
    <m/>
    <m/>
    <m/>
    <s v="ENV Contractor"/>
    <m/>
    <n v="30"/>
    <n v="8"/>
    <n v="1"/>
    <m/>
    <m/>
    <m/>
    <m/>
    <m/>
    <x v="0"/>
    <n v="246"/>
    <n v="1"/>
    <n v="1"/>
  </r>
  <r>
    <m/>
    <s v="Incident Command System 400 (ICS 400)"/>
    <s v="A-493-0216"/>
    <s v="12X8"/>
    <s v="Sasebo, Japan"/>
    <d v="2025-04-10T00:00:00"/>
    <d v="2025-04-10T00:00:00"/>
    <d v="1899-12-30T08:00:00"/>
    <m/>
    <m/>
    <m/>
    <m/>
    <m/>
    <m/>
    <s v="ENV Contractor"/>
    <m/>
    <n v="30"/>
    <n v="8"/>
    <n v="1"/>
    <m/>
    <m/>
    <m/>
    <m/>
    <m/>
    <x v="0"/>
    <n v="323"/>
    <n v="1"/>
    <n v="1"/>
  </r>
  <r>
    <s v="Singapore Area Coordinator"/>
    <s v="Incident Command System 400 (ICS 400)"/>
    <s v="A-493-0216"/>
    <s v="12X8"/>
    <s v="Singapore"/>
    <d v="2025-02-10T00:00:00"/>
    <d v="2025-02-10T00:00:00"/>
    <d v="1899-12-30T08:00:00"/>
    <m/>
    <m/>
    <m/>
    <m/>
    <m/>
    <m/>
    <s v="ENV Contractor"/>
    <m/>
    <n v="30"/>
    <n v="8"/>
    <n v="1"/>
    <m/>
    <m/>
    <m/>
    <m/>
    <m/>
    <x v="0"/>
    <n v="264"/>
    <n v="1"/>
    <n v="1"/>
  </r>
  <r>
    <m/>
    <s v="Incident Command System 400 (ICS 400)"/>
    <s v="A-493-0216"/>
    <s v="12X8"/>
    <s v="Yokosuka, Japan"/>
    <d v="2025-03-19T00:00:00"/>
    <d v="2025-03-19T00:00:00"/>
    <d v="1899-12-30T08:00:00"/>
    <m/>
    <m/>
    <m/>
    <m/>
    <m/>
    <m/>
    <s v="ENV Contractor"/>
    <m/>
    <n v="30"/>
    <n v="8"/>
    <n v="1"/>
    <m/>
    <m/>
    <m/>
    <m/>
    <m/>
    <x v="0"/>
    <n v="301"/>
    <n v="1"/>
    <n v="1"/>
  </r>
  <r>
    <m/>
    <s v="Industrial Noise"/>
    <s v="A-493-0092"/>
    <n v="5891"/>
    <s v="Guam"/>
    <d v="2025-05-27T00:00:00"/>
    <d v="2025-05-29T00:00:00"/>
    <d v="1899-12-30T08:00:00"/>
    <m/>
    <m/>
    <m/>
    <m/>
    <m/>
    <m/>
    <m/>
    <m/>
    <n v="25"/>
    <n v="24"/>
    <n v="3"/>
    <m/>
    <m/>
    <m/>
    <m/>
    <m/>
    <x v="0"/>
    <n v="372"/>
    <n v="1"/>
    <n v="1"/>
  </r>
  <r>
    <m/>
    <s v="Industrial Noise"/>
    <s v="A-493-0092"/>
    <n v="5891"/>
    <s v="Jacksonville, FL"/>
    <d v="2025-07-01T00:00:00"/>
    <d v="2025-07-03T00:00:00"/>
    <d v="1899-12-30T08:00:00"/>
    <m/>
    <m/>
    <m/>
    <m/>
    <m/>
    <m/>
    <m/>
    <m/>
    <n v="25"/>
    <n v="24"/>
    <n v="3"/>
    <m/>
    <m/>
    <m/>
    <m/>
    <m/>
    <x v="0"/>
    <n v="407"/>
    <n v="1"/>
    <n v="1"/>
  </r>
  <r>
    <m/>
    <s v="Industrial Noise"/>
    <s v="A-493-0092"/>
    <n v="5891"/>
    <s v="Norfolk, VA Classroom 1"/>
    <d v="2025-05-05T00:00:00"/>
    <d v="2025-05-07T00:00:00"/>
    <d v="1899-12-30T08:00:00"/>
    <m/>
    <m/>
    <m/>
    <m/>
    <m/>
    <m/>
    <m/>
    <m/>
    <n v="25"/>
    <n v="24"/>
    <n v="3"/>
    <m/>
    <m/>
    <m/>
    <m/>
    <m/>
    <x v="0"/>
    <n v="350"/>
    <n v="1"/>
    <n v="1"/>
  </r>
  <r>
    <m/>
    <s v="Industrial Noise"/>
    <s v="A-493-0092"/>
    <n v="5891"/>
    <s v="Norfolk, VA Classroom 1"/>
    <d v="2025-06-16T00:00:00"/>
    <d v="2025-06-18T00:00:00"/>
    <d v="1899-12-30T08:00:00"/>
    <m/>
    <m/>
    <m/>
    <m/>
    <m/>
    <m/>
    <m/>
    <m/>
    <n v="25"/>
    <n v="24"/>
    <n v="3"/>
    <m/>
    <m/>
    <m/>
    <m/>
    <m/>
    <x v="0"/>
    <n v="392"/>
    <n v="1"/>
    <n v="1"/>
  </r>
  <r>
    <m/>
    <s v="Industrial Noise"/>
    <s v="A-493-0092"/>
    <n v="5891"/>
    <s v="Norfolk, VA Classroom 1"/>
    <d v="2025-09-08T00:00:00"/>
    <d v="2025-09-10T00:00:00"/>
    <d v="1899-12-30T08:00:00"/>
    <m/>
    <m/>
    <m/>
    <m/>
    <m/>
    <m/>
    <m/>
    <m/>
    <n v="25"/>
    <n v="24"/>
    <n v="3"/>
    <m/>
    <m/>
    <m/>
    <m/>
    <m/>
    <x v="0"/>
    <n v="476"/>
    <n v="1"/>
    <n v="1"/>
  </r>
  <r>
    <m/>
    <s v="Industrial Noise"/>
    <s v="A-493-0092"/>
    <n v="5891"/>
    <s v="Pearl Harbor, HI"/>
    <d v="2025-07-23T00:00:00"/>
    <d v="2025-07-25T00:00:00"/>
    <d v="1899-12-30T08:00:00"/>
    <m/>
    <m/>
    <m/>
    <m/>
    <m/>
    <m/>
    <m/>
    <m/>
    <n v="25"/>
    <n v="24"/>
    <n v="3"/>
    <m/>
    <m/>
    <m/>
    <m/>
    <m/>
    <x v="0"/>
    <n v="429"/>
    <n v="1"/>
    <n v="1"/>
  </r>
  <r>
    <m/>
    <s v="Industrial Noise"/>
    <s v="A-493-0092"/>
    <n v="5891"/>
    <s v="San Diego, CA"/>
    <d v="2025-03-12T00:00:00"/>
    <d v="2025-03-14T00:00:00"/>
    <d v="1899-12-30T08:00:00"/>
    <m/>
    <m/>
    <m/>
    <m/>
    <m/>
    <m/>
    <m/>
    <m/>
    <n v="25"/>
    <n v="24"/>
    <n v="3"/>
    <m/>
    <m/>
    <m/>
    <m/>
    <m/>
    <x v="0"/>
    <n v="296"/>
    <n v="1"/>
    <n v="1"/>
  </r>
  <r>
    <m/>
    <s v="Industrial Noise"/>
    <s v="A-493-0092"/>
    <n v="5891"/>
    <s v="Virginia Beach, VA "/>
    <d v="2025-09-17T00:00:00"/>
    <d v="2025-09-19T00:00:00"/>
    <d v="1899-12-30T08:00:00"/>
    <m/>
    <m/>
    <m/>
    <m/>
    <m/>
    <m/>
    <m/>
    <m/>
    <n v="25"/>
    <n v="24"/>
    <n v="3"/>
    <m/>
    <m/>
    <m/>
    <m/>
    <m/>
    <x v="0"/>
    <n v="485"/>
    <n v="1"/>
    <n v="1"/>
  </r>
  <r>
    <m/>
    <s v="Industrial Noise"/>
    <s v="A-493-0092"/>
    <n v="5891"/>
    <s v="Whidbey Island, WA"/>
    <d v="2025-08-13T00:00:00"/>
    <d v="2025-08-15T00:00:00"/>
    <d v="1899-12-30T08:00:00"/>
    <m/>
    <m/>
    <m/>
    <m/>
    <m/>
    <m/>
    <m/>
    <m/>
    <n v="25"/>
    <n v="24"/>
    <n v="3"/>
    <m/>
    <m/>
    <m/>
    <m/>
    <m/>
    <x v="0"/>
    <n v="450"/>
    <n v="1"/>
    <n v="1"/>
  </r>
  <r>
    <m/>
    <s v="Industrial Noise"/>
    <s v="A-493-0092"/>
    <n v="5891"/>
    <s v="Yokosuka, Japan"/>
    <d v="2025-02-19T00:00:00"/>
    <d v="2025-02-21T00:00:00"/>
    <d v="1899-12-30T08:00:00"/>
    <m/>
    <m/>
    <m/>
    <m/>
    <m/>
    <m/>
    <m/>
    <m/>
    <n v="25"/>
    <n v="24"/>
    <n v="3"/>
    <m/>
    <m/>
    <m/>
    <m/>
    <m/>
    <x v="0"/>
    <n v="275"/>
    <n v="1"/>
    <n v="1"/>
  </r>
  <r>
    <m/>
    <s v="General Industry Safety Standards (Global Online) "/>
    <s v="A-493-0061"/>
    <s v="288E"/>
    <s v="Global Online"/>
    <d v="2024-11-04T00:00:00"/>
    <d v="2024-11-08T00:00:00"/>
    <m/>
    <d v="1899-12-30T13:00:00"/>
    <s v="1000"/>
    <s v="2000"/>
    <s v="1800"/>
    <s v="0700"/>
    <s v="0200"/>
    <s v="S. Griffin"/>
    <s v="V. Kentish"/>
    <n v="45"/>
    <n v="30"/>
    <n v="5"/>
    <m/>
    <m/>
    <m/>
    <m/>
    <m/>
    <x v="0"/>
    <n v="170"/>
    <n v="1"/>
    <n v="1"/>
  </r>
  <r>
    <m/>
    <s v="General Industry Safety Standards (Global Online) "/>
    <s v="A-493-0061"/>
    <s v="288E"/>
    <s v="Global Online"/>
    <d v="2024-12-01T00:00:00"/>
    <d v="2024-12-06T00:00:00"/>
    <m/>
    <d v="1899-12-30T07:00:00"/>
    <d v="1899-12-30T04:00:00"/>
    <d v="1899-12-30T15:00:00"/>
    <d v="1899-12-30T13:00:00"/>
    <d v="1899-12-30T02:00:00"/>
    <d v="1899-12-30T21:00:00"/>
    <s v="S. Griffin"/>
    <s v="V. Kentish"/>
    <n v="45"/>
    <n v="30"/>
    <n v="5"/>
    <m/>
    <m/>
    <m/>
    <m/>
    <m/>
    <x v="0"/>
    <n v="198"/>
    <n v="1"/>
    <n v="1"/>
  </r>
  <r>
    <s v="Need Location"/>
    <s v="Industrial Noise"/>
    <s v="A-493-0092"/>
    <n v="5891"/>
    <m/>
    <d v="2025-04-01T00:00:00"/>
    <d v="2025-04-03T00:00:00"/>
    <d v="1899-12-30T08:00:00"/>
    <m/>
    <m/>
    <m/>
    <m/>
    <m/>
    <m/>
    <m/>
    <m/>
    <n v="25"/>
    <n v="24"/>
    <n v="3"/>
    <m/>
    <m/>
    <m/>
    <m/>
    <m/>
    <x v="0"/>
    <n v="316"/>
    <n v="1"/>
    <n v="1"/>
  </r>
  <r>
    <m/>
    <s v="Hazardous Material Control and Management [HMC&amp;M] Technician (Global Online)"/>
    <s v="A-322-2604"/>
    <s v="10ZZ"/>
    <s v="Global Online"/>
    <d v="2024-09-30T00:00:00"/>
    <d v="2024-10-04T00:00:00"/>
    <m/>
    <d v="1899-12-30T13:00:00"/>
    <m/>
    <m/>
    <m/>
    <m/>
    <m/>
    <s v="EMC Stroughn"/>
    <m/>
    <n v="45"/>
    <n v="24"/>
    <n v="5"/>
    <m/>
    <m/>
    <m/>
    <m/>
    <m/>
    <x v="3"/>
    <n v="1"/>
    <n v="1"/>
    <m/>
  </r>
  <r>
    <m/>
    <s v="Hazardous Material Control and Management [HMC&amp;M] Technician (Global Online)"/>
    <s v="A-322-2604"/>
    <s v="10ZZ"/>
    <s v="Global Online"/>
    <d v="2024-10-21T00:00:00"/>
    <d v="2024-10-25T00:00:00"/>
    <m/>
    <d v="1899-12-30T08:00:00"/>
    <m/>
    <m/>
    <m/>
    <m/>
    <m/>
    <s v="EMC Stroughn"/>
    <m/>
    <n v="45"/>
    <n v="24"/>
    <n v="5"/>
    <m/>
    <m/>
    <m/>
    <m/>
    <m/>
    <x v="4"/>
    <n v="1"/>
    <n v="1"/>
    <m/>
  </r>
  <r>
    <m/>
    <s v="Hazardous Material Control and Management [HMC&amp;M] Technician (Global Online)"/>
    <s v="A-322-2604"/>
    <s v="10ZZ"/>
    <s v="Global Online"/>
    <d v="2024-11-03T00:00:00"/>
    <d v="2024-11-07T00:00:00"/>
    <m/>
    <d v="1899-12-30T19:00:00"/>
    <m/>
    <m/>
    <m/>
    <m/>
    <m/>
    <s v="EMC Stroughn"/>
    <m/>
    <n v="45"/>
    <n v="24"/>
    <n v="5"/>
    <m/>
    <m/>
    <m/>
    <m/>
    <m/>
    <x v="5"/>
    <n v="1"/>
    <n v="1"/>
    <m/>
  </r>
  <r>
    <m/>
    <s v="Hazardous Material Control and Management [HMC&amp;M] Technician (Global Online)"/>
    <s v="A-322-2604"/>
    <s v="10ZZ"/>
    <s v="Global Online"/>
    <d v="2024-12-02T00:00:00"/>
    <d v="2024-12-06T00:00:00"/>
    <m/>
    <d v="1899-12-30T13:00:00"/>
    <m/>
    <m/>
    <m/>
    <m/>
    <m/>
    <s v="EMC Stroughn"/>
    <m/>
    <n v="45"/>
    <n v="24"/>
    <n v="5"/>
    <m/>
    <m/>
    <m/>
    <m/>
    <m/>
    <x v="6"/>
    <n v="1"/>
    <n v="1"/>
    <m/>
  </r>
  <r>
    <m/>
    <s v="Introduction to Hazardous Materials [Ashore] (Global Online) "/>
    <s v="A-493-0331"/>
    <s v="10UG"/>
    <s v="Global Online"/>
    <d v="2025-01-07T00:00:00"/>
    <d v="2025-01-09T00:00:00"/>
    <m/>
    <d v="1899-12-30T12:00:00"/>
    <s v="0900"/>
    <s v="1900"/>
    <s v="1700"/>
    <s v="0600"/>
    <s v="0100"/>
    <m/>
    <m/>
    <n v="45"/>
    <n v="24"/>
    <n v="3"/>
    <m/>
    <m/>
    <m/>
    <m/>
    <m/>
    <x v="0"/>
    <n v="232"/>
    <n v="1"/>
    <n v="1"/>
  </r>
  <r>
    <m/>
    <s v="Introduction to Hazardous Materials [Ashore] (Global Online) "/>
    <s v="A-493-0331"/>
    <s v="10UG"/>
    <s v="Global Online"/>
    <d v="2025-01-22T00:00:00"/>
    <d v="2025-01-24T00:00:00"/>
    <m/>
    <d v="1899-12-30T12:00:00"/>
    <s v="0900"/>
    <s v="1900"/>
    <s v="1700"/>
    <s v="0600"/>
    <s v="0100"/>
    <m/>
    <m/>
    <n v="45"/>
    <n v="24"/>
    <n v="3"/>
    <m/>
    <m/>
    <m/>
    <m/>
    <m/>
    <x v="0"/>
    <n v="247"/>
    <n v="1"/>
    <n v="1"/>
  </r>
  <r>
    <m/>
    <s v="Introduction to Hazardous Materials [Ashore] (Global Online) "/>
    <s v="A-493-0331"/>
    <s v="10UG"/>
    <s v="Global Online"/>
    <d v="2025-02-18T00:00:00"/>
    <d v="2025-02-20T00:00:00"/>
    <m/>
    <d v="1899-12-30T12:00:00"/>
    <s v="0900"/>
    <s v="1900"/>
    <s v="1700"/>
    <s v="0600"/>
    <s v="0100"/>
    <m/>
    <m/>
    <n v="45"/>
    <n v="24"/>
    <n v="3"/>
    <m/>
    <m/>
    <m/>
    <m/>
    <m/>
    <x v="0"/>
    <n v="274"/>
    <n v="1"/>
    <n v="1"/>
  </r>
  <r>
    <m/>
    <s v="Introduction to Hazardous Materials [Ashore] (Global Online) "/>
    <s v="A-493-0331"/>
    <s v="10UG"/>
    <s v="Global Online"/>
    <d v="2025-03-04T00:00:00"/>
    <d v="2025-03-06T00:00:00"/>
    <m/>
    <d v="1899-12-30T12:00:00"/>
    <s v="0900"/>
    <s v="1900"/>
    <s v="1700"/>
    <s v="0600"/>
    <s v="0100"/>
    <m/>
    <m/>
    <n v="45"/>
    <n v="24"/>
    <n v="3"/>
    <m/>
    <m/>
    <m/>
    <m/>
    <m/>
    <x v="0"/>
    <n v="288"/>
    <n v="1"/>
    <n v="1"/>
  </r>
  <r>
    <m/>
    <s v="Introduction to Hazardous Materials [Ashore] (Global Online) "/>
    <s v="A-493-0331"/>
    <s v="10UG"/>
    <s v="Global Online"/>
    <d v="2025-03-18T00:00:00"/>
    <d v="2025-03-20T00:00:00"/>
    <m/>
    <d v="1899-12-30T12:00:00"/>
    <s v="0900"/>
    <s v="1900"/>
    <s v="1700"/>
    <s v="0600"/>
    <s v="0100"/>
    <m/>
    <m/>
    <n v="45"/>
    <n v="24"/>
    <n v="3"/>
    <m/>
    <m/>
    <m/>
    <m/>
    <m/>
    <x v="0"/>
    <n v="302"/>
    <n v="1"/>
    <n v="1"/>
  </r>
  <r>
    <m/>
    <s v="Introduction to Hazardous Materials [Ashore] (Global Online) "/>
    <s v="A-493-0331"/>
    <s v="10UG"/>
    <s v="Global Online"/>
    <d v="2025-04-29T00:00:00"/>
    <d v="2025-05-01T00:00:00"/>
    <m/>
    <d v="1899-12-30T12:00:00"/>
    <m/>
    <m/>
    <m/>
    <m/>
    <m/>
    <m/>
    <m/>
    <n v="45"/>
    <n v="24"/>
    <n v="3"/>
    <m/>
    <m/>
    <m/>
    <m/>
    <m/>
    <x v="0"/>
    <n v="344"/>
    <n v="1"/>
    <n v="1"/>
  </r>
  <r>
    <m/>
    <s v="Introduction to Hazardous Materials [Ashore] (Global Online) "/>
    <s v="A-493-0331"/>
    <s v="10UG"/>
    <s v="Global Online"/>
    <d v="2025-05-13T00:00:00"/>
    <d v="2025-05-15T00:00:00"/>
    <m/>
    <d v="1899-12-30T12:00:00"/>
    <m/>
    <m/>
    <m/>
    <m/>
    <m/>
    <m/>
    <m/>
    <n v="45"/>
    <n v="24"/>
    <n v="3"/>
    <m/>
    <m/>
    <m/>
    <m/>
    <m/>
    <x v="0"/>
    <n v="358"/>
    <n v="1"/>
    <n v="1"/>
  </r>
  <r>
    <m/>
    <s v="Introduction to Hazardous Materials [Ashore] (Global Online) "/>
    <s v="A-493-0331"/>
    <s v="10UG"/>
    <s v="Global Online"/>
    <d v="2025-05-27T00:00:00"/>
    <d v="2025-05-29T00:00:00"/>
    <m/>
    <d v="1899-12-30T12:00:00"/>
    <m/>
    <m/>
    <m/>
    <m/>
    <m/>
    <m/>
    <m/>
    <n v="45"/>
    <n v="24"/>
    <n v="3"/>
    <m/>
    <m/>
    <m/>
    <m/>
    <m/>
    <x v="0"/>
    <n v="372"/>
    <n v="1"/>
    <n v="1"/>
  </r>
  <r>
    <m/>
    <s v="Introduction to Hazardous Materials [Ashore] (Global Online) "/>
    <s v="A-493-0331"/>
    <s v="10UG"/>
    <s v="Global Online"/>
    <d v="2025-06-10T00:00:00"/>
    <d v="2025-06-12T00:00:00"/>
    <m/>
    <d v="1899-12-30T12:00:00"/>
    <m/>
    <m/>
    <m/>
    <m/>
    <m/>
    <m/>
    <m/>
    <n v="45"/>
    <n v="24"/>
    <n v="3"/>
    <m/>
    <m/>
    <m/>
    <m/>
    <m/>
    <x v="0"/>
    <n v="386"/>
    <n v="1"/>
    <n v="1"/>
  </r>
  <r>
    <m/>
    <s v="Introduction to Hazardous Materials [Ashore] (Global Online) "/>
    <s v="A-493-0331"/>
    <s v="10UG"/>
    <s v="Global Online"/>
    <d v="2025-06-30T00:00:00"/>
    <d v="2025-07-02T00:00:00"/>
    <m/>
    <d v="1899-12-30T12:00:00"/>
    <m/>
    <m/>
    <m/>
    <m/>
    <m/>
    <m/>
    <m/>
    <n v="45"/>
    <n v="24"/>
    <n v="3"/>
    <m/>
    <m/>
    <m/>
    <m/>
    <m/>
    <x v="0"/>
    <n v="406"/>
    <n v="1"/>
    <n v="1"/>
  </r>
  <r>
    <m/>
    <s v="Introduction to Hazardous Materials [Ashore] (Global Online) "/>
    <s v="A-493-0331"/>
    <s v="10UG"/>
    <s v="Global Online"/>
    <d v="2025-07-15T00:00:00"/>
    <d v="2025-07-17T00:00:00"/>
    <m/>
    <d v="1899-12-30T12:00:00"/>
    <m/>
    <m/>
    <m/>
    <m/>
    <m/>
    <m/>
    <m/>
    <n v="45"/>
    <n v="24"/>
    <n v="3"/>
    <m/>
    <m/>
    <m/>
    <m/>
    <m/>
    <x v="0"/>
    <n v="421"/>
    <n v="1"/>
    <n v="1"/>
  </r>
  <r>
    <m/>
    <s v="Introduction to Hazardous Materials [Ashore] (Global Online) "/>
    <s v="A-493-0331"/>
    <s v="10UG"/>
    <s v="Global Online"/>
    <d v="2025-08-05T00:00:00"/>
    <d v="2025-08-07T00:00:00"/>
    <m/>
    <d v="1899-12-30T12:00:00"/>
    <m/>
    <m/>
    <m/>
    <m/>
    <m/>
    <m/>
    <m/>
    <n v="45"/>
    <n v="24"/>
    <n v="3"/>
    <m/>
    <m/>
    <m/>
    <m/>
    <m/>
    <x v="0"/>
    <n v="442"/>
    <n v="1"/>
    <n v="1"/>
  </r>
  <r>
    <m/>
    <s v="Introduction to Hazardous Materials [Ashore] (Global Online) "/>
    <s v="A-493-0331"/>
    <s v="10UG"/>
    <s v="Global Online"/>
    <d v="2025-08-19T00:00:00"/>
    <d v="2025-08-21T00:00:00"/>
    <m/>
    <d v="1899-12-30T12:00:00"/>
    <m/>
    <m/>
    <m/>
    <m/>
    <m/>
    <m/>
    <m/>
    <n v="45"/>
    <n v="24"/>
    <n v="3"/>
    <m/>
    <m/>
    <m/>
    <m/>
    <m/>
    <x v="0"/>
    <n v="456"/>
    <n v="1"/>
    <n v="1"/>
  </r>
  <r>
    <m/>
    <s v="Introduction to Hazardous Materials [Ashore] (Global Online) "/>
    <s v="A-493-0331"/>
    <s v="10UG"/>
    <s v="Global Online"/>
    <d v="2025-09-02T00:00:00"/>
    <d v="2025-09-04T00:00:00"/>
    <m/>
    <d v="1899-12-30T12:00:00"/>
    <m/>
    <m/>
    <m/>
    <m/>
    <m/>
    <m/>
    <m/>
    <n v="45"/>
    <n v="24"/>
    <n v="3"/>
    <m/>
    <m/>
    <m/>
    <m/>
    <m/>
    <x v="0"/>
    <n v="470"/>
    <n v="1"/>
    <n v="1"/>
  </r>
  <r>
    <m/>
    <s v="Introduction to Hazardous Materials [Ashore] (Global Online) "/>
    <s v="A-493-0331"/>
    <s v="10UG"/>
    <s v="Global Online"/>
    <d v="2025-09-16T00:00:00"/>
    <d v="2025-09-18T00:00:00"/>
    <m/>
    <d v="1899-12-30T12:00:00"/>
    <m/>
    <m/>
    <m/>
    <m/>
    <m/>
    <m/>
    <m/>
    <n v="45"/>
    <n v="24"/>
    <n v="3"/>
    <m/>
    <m/>
    <m/>
    <m/>
    <m/>
    <x v="0"/>
    <n v="484"/>
    <n v="1"/>
    <n v="1"/>
  </r>
  <r>
    <s v="Need Location"/>
    <s v="Industrial Noise"/>
    <s v="A-493-0092"/>
    <n v="5891"/>
    <m/>
    <d v="2024-11-13T00:00:00"/>
    <d v="2024-11-15T00:00:00"/>
    <d v="1899-12-30T08:00:00"/>
    <m/>
    <m/>
    <m/>
    <m/>
    <m/>
    <m/>
    <m/>
    <m/>
    <n v="25"/>
    <n v="24"/>
    <n v="3"/>
    <m/>
    <m/>
    <m/>
    <m/>
    <m/>
    <x v="0"/>
    <n v="177"/>
    <n v="1"/>
    <n v="1"/>
  </r>
  <r>
    <s v="Need Location"/>
    <s v="Industrial Noise"/>
    <s v="A-493-0092"/>
    <n v="5891"/>
    <m/>
    <d v="2024-12-03T00:00:00"/>
    <d v="2024-12-05T00:00:00"/>
    <d v="1899-12-30T08:00:00"/>
    <m/>
    <m/>
    <m/>
    <m/>
    <m/>
    <m/>
    <m/>
    <m/>
    <n v="25"/>
    <n v="24"/>
    <n v="3"/>
    <m/>
    <m/>
    <m/>
    <m/>
    <m/>
    <x v="0"/>
    <n v="197"/>
    <n v="1"/>
    <n v="1"/>
  </r>
  <r>
    <m/>
    <s v="Introduction to Hazardous Materials [Ashore] (Global Online) "/>
    <s v="A-493-0331"/>
    <s v="10UG"/>
    <s v="Global Online"/>
    <d v="2024-10-15T00:00:00"/>
    <d v="2024-10-17T00:00:00"/>
    <m/>
    <d v="1899-12-30T12:00:00"/>
    <d v="1899-12-30T09:00:00"/>
    <d v="1899-12-30T19:00:00"/>
    <d v="1899-12-30T18:00:00"/>
    <d v="1899-12-30T06:00:00"/>
    <d v="1899-12-30T01:00:00"/>
    <m/>
    <m/>
    <n v="45"/>
    <n v="24"/>
    <n v="3"/>
    <m/>
    <m/>
    <m/>
    <m/>
    <m/>
    <x v="0"/>
    <n v="148"/>
    <n v="1"/>
    <n v="1"/>
  </r>
  <r>
    <m/>
    <s v="Introduction to Industrial Hygiene for Safety Professionals (Global Online) "/>
    <s v="A-493-0335"/>
    <s v="09ND"/>
    <s v="Global Online"/>
    <d v="2025-01-06T00:00:00"/>
    <d v="2025-01-09T00:00:00"/>
    <m/>
    <d v="1899-12-30T12:00:00"/>
    <s v="0900"/>
    <s v="1900"/>
    <s v="1700"/>
    <s v="0600"/>
    <s v="0100"/>
    <m/>
    <m/>
    <n v="45"/>
    <n v="32"/>
    <n v="4"/>
    <m/>
    <m/>
    <m/>
    <m/>
    <m/>
    <x v="0"/>
    <n v="232"/>
    <n v="1"/>
    <n v="1"/>
  </r>
  <r>
    <m/>
    <s v="Introduction to Industrial Hygiene for Safety Professionals (Global Online) "/>
    <s v="A-493-0335"/>
    <s v="09ND"/>
    <s v="Global Online"/>
    <d v="2025-01-21T00:00:00"/>
    <d v="2025-01-24T00:00:00"/>
    <m/>
    <d v="1899-12-30T12:00:00"/>
    <s v="0900"/>
    <s v="1900"/>
    <s v="1700"/>
    <s v="0600"/>
    <s v="0100"/>
    <m/>
    <m/>
    <n v="45"/>
    <n v="32"/>
    <n v="4"/>
    <m/>
    <m/>
    <m/>
    <m/>
    <m/>
    <x v="0"/>
    <n v="247"/>
    <n v="1"/>
    <n v="1"/>
  </r>
  <r>
    <m/>
    <s v="Introduction to Industrial Hygiene for Safety Professionals (Global Online) "/>
    <s v="A-493-0335"/>
    <s v="09ND"/>
    <s v="Global Online"/>
    <d v="2025-02-24T00:00:00"/>
    <d v="2025-02-27T00:00:00"/>
    <m/>
    <d v="1899-12-30T12:00:00"/>
    <s v="0900"/>
    <s v="1900"/>
    <s v="1700"/>
    <s v="0600"/>
    <s v="0100"/>
    <m/>
    <m/>
    <n v="45"/>
    <n v="32"/>
    <n v="4"/>
    <m/>
    <m/>
    <m/>
    <m/>
    <m/>
    <x v="0"/>
    <n v="281"/>
    <n v="1"/>
    <n v="1"/>
  </r>
  <r>
    <m/>
    <s v="Introduction to Industrial Hygiene for Safety Professionals (Global Online) "/>
    <s v="A-493-0335"/>
    <s v="09ND"/>
    <s v="Global Online"/>
    <d v="2025-03-24T00:00:00"/>
    <d v="2025-03-27T00:00:00"/>
    <m/>
    <d v="1899-12-30T12:00:00"/>
    <s v="0900"/>
    <s v="1900"/>
    <s v="1700"/>
    <s v="0600"/>
    <s v="0100"/>
    <m/>
    <m/>
    <n v="45"/>
    <n v="32"/>
    <n v="4"/>
    <m/>
    <m/>
    <m/>
    <m/>
    <m/>
    <x v="0"/>
    <n v="309"/>
    <n v="1"/>
    <n v="1"/>
  </r>
  <r>
    <m/>
    <s v="Introduction to Industrial Hygiene for Safety Professionals (Global Online) "/>
    <s v="A-493-0335"/>
    <s v="09ND"/>
    <s v="Global Online"/>
    <d v="2025-04-28T00:00:00"/>
    <d v="2025-05-01T00:00:00"/>
    <m/>
    <d v="1899-12-30T12:00:00"/>
    <m/>
    <m/>
    <m/>
    <m/>
    <m/>
    <m/>
    <m/>
    <n v="45"/>
    <n v="32"/>
    <n v="4"/>
    <m/>
    <m/>
    <m/>
    <m/>
    <m/>
    <x v="0"/>
    <n v="344"/>
    <n v="1"/>
    <n v="1"/>
  </r>
  <r>
    <m/>
    <s v="Introduction to Industrial Hygiene for Safety Professionals (Global Online) "/>
    <s v="A-493-0335"/>
    <s v="09ND"/>
    <s v="Global Online"/>
    <d v="2025-05-19T00:00:00"/>
    <d v="2025-05-22T00:00:00"/>
    <m/>
    <d v="1899-12-30T12:00:00"/>
    <m/>
    <m/>
    <m/>
    <m/>
    <m/>
    <m/>
    <m/>
    <n v="45"/>
    <n v="32"/>
    <n v="4"/>
    <m/>
    <m/>
    <m/>
    <m/>
    <m/>
    <x v="0"/>
    <n v="365"/>
    <n v="1"/>
    <n v="1"/>
  </r>
  <r>
    <m/>
    <s v="Introduction to Industrial Hygiene for Safety Professionals (Global Online) "/>
    <s v="A-493-0335"/>
    <s v="09ND"/>
    <s v="Global Online"/>
    <d v="2025-06-02T00:00:00"/>
    <d v="2025-06-05T00:00:00"/>
    <m/>
    <d v="1899-12-30T12:00:00"/>
    <m/>
    <m/>
    <m/>
    <m/>
    <m/>
    <m/>
    <m/>
    <n v="45"/>
    <n v="32"/>
    <n v="4"/>
    <m/>
    <m/>
    <m/>
    <m/>
    <m/>
    <x v="0"/>
    <n v="379"/>
    <n v="1"/>
    <n v="1"/>
  </r>
  <r>
    <m/>
    <s v="Introduction to Industrial Hygiene for Safety Professionals (Global Online) "/>
    <s v="A-493-0335"/>
    <s v="09ND"/>
    <s v="Global Online"/>
    <d v="2025-06-23T00:00:00"/>
    <d v="2025-06-26T00:00:00"/>
    <m/>
    <d v="1899-12-30T12:00:00"/>
    <m/>
    <m/>
    <m/>
    <m/>
    <m/>
    <m/>
    <m/>
    <n v="45"/>
    <n v="32"/>
    <n v="4"/>
    <m/>
    <m/>
    <m/>
    <m/>
    <m/>
    <x v="0"/>
    <n v="400"/>
    <n v="1"/>
    <n v="1"/>
  </r>
  <r>
    <m/>
    <s v="Introduction to Industrial Hygiene for Safety Professionals (Global Online) "/>
    <s v="A-493-0335"/>
    <s v="09ND"/>
    <s v="Global Online"/>
    <d v="2025-07-07T00:00:00"/>
    <d v="2025-07-10T00:00:00"/>
    <m/>
    <d v="1899-12-30T12:00:00"/>
    <m/>
    <m/>
    <m/>
    <m/>
    <m/>
    <m/>
    <m/>
    <n v="45"/>
    <n v="32"/>
    <n v="4"/>
    <m/>
    <m/>
    <m/>
    <m/>
    <m/>
    <x v="0"/>
    <n v="414"/>
    <n v="1"/>
    <n v="1"/>
  </r>
  <r>
    <m/>
    <s v="Introduction to Industrial Hygiene for Safety Professionals (Global Online) "/>
    <s v="A-493-0335"/>
    <s v="09ND"/>
    <s v="Global Online"/>
    <d v="2025-07-21T00:00:00"/>
    <d v="2025-07-24T00:00:00"/>
    <m/>
    <d v="1899-12-30T12:00:00"/>
    <m/>
    <m/>
    <m/>
    <m/>
    <m/>
    <m/>
    <m/>
    <n v="45"/>
    <n v="32"/>
    <n v="4"/>
    <m/>
    <m/>
    <m/>
    <m/>
    <m/>
    <x v="0"/>
    <n v="428"/>
    <n v="1"/>
    <n v="1"/>
  </r>
  <r>
    <m/>
    <s v="Introduction to Industrial Hygiene for Safety Professionals (Global Online) "/>
    <s v="A-493-0335"/>
    <s v="09ND"/>
    <s v="Global Online"/>
    <d v="2025-08-18T00:00:00"/>
    <d v="2025-08-21T00:00:00"/>
    <m/>
    <d v="1899-12-30T12:00:00"/>
    <m/>
    <m/>
    <m/>
    <m/>
    <m/>
    <m/>
    <m/>
    <n v="45"/>
    <n v="32"/>
    <n v="4"/>
    <m/>
    <m/>
    <m/>
    <m/>
    <m/>
    <x v="0"/>
    <n v="456"/>
    <n v="1"/>
    <n v="1"/>
  </r>
  <r>
    <m/>
    <s v="Introduction to Industrial Hygiene for Safety Professionals (Global Online) "/>
    <s v="A-493-0335"/>
    <s v="09ND"/>
    <s v="Global Online"/>
    <d v="2025-09-02T00:00:00"/>
    <d v="2025-09-05T00:00:00"/>
    <m/>
    <d v="1899-12-30T12:00:00"/>
    <m/>
    <m/>
    <m/>
    <m/>
    <m/>
    <m/>
    <m/>
    <n v="45"/>
    <n v="32"/>
    <n v="4"/>
    <m/>
    <m/>
    <m/>
    <m/>
    <m/>
    <x v="0"/>
    <n v="471"/>
    <n v="1"/>
    <n v="1"/>
  </r>
  <r>
    <m/>
    <s v="Introduction to Industrial Hygiene for Safety Professionals (Global Online) "/>
    <s v="A-493-0335"/>
    <s v="09ND"/>
    <s v="Global Online"/>
    <d v="2025-09-22T00:00:00"/>
    <d v="2025-09-25T00:00:00"/>
    <m/>
    <d v="1899-12-30T12:00:00"/>
    <m/>
    <m/>
    <m/>
    <m/>
    <m/>
    <m/>
    <m/>
    <n v="45"/>
    <n v="32"/>
    <n v="4"/>
    <m/>
    <m/>
    <m/>
    <m/>
    <m/>
    <x v="0"/>
    <n v="491"/>
    <n v="1"/>
    <n v="1"/>
  </r>
  <r>
    <m/>
    <s v="Introduction to Hazardous Materials [Ashore] (Global Online) "/>
    <s v="A-493-0331"/>
    <s v="10UG"/>
    <s v="Global Online"/>
    <d v="2024-10-29T00:00:00"/>
    <d v="2024-10-31T00:00:00"/>
    <m/>
    <d v="1899-12-30T12:00:00"/>
    <d v="1899-12-30T09:00:00"/>
    <d v="1899-12-30T19:00:00"/>
    <d v="1899-12-30T18:00:00"/>
    <d v="1899-12-30T06:00:00"/>
    <d v="1899-12-30T01:00:00"/>
    <m/>
    <m/>
    <n v="45"/>
    <n v="24"/>
    <n v="3"/>
    <m/>
    <m/>
    <m/>
    <m/>
    <m/>
    <x v="0"/>
    <n v="162"/>
    <n v="1"/>
    <n v="1"/>
  </r>
  <r>
    <m/>
    <s v="Introduction to Hazardous Materials [Ashore] (Global Online) "/>
    <s v="A-493-0331"/>
    <s v="10UG"/>
    <s v="Global Online"/>
    <d v="2024-11-12T00:00:00"/>
    <d v="2024-11-14T00:00:00"/>
    <m/>
    <d v="1899-12-30T12:00:00"/>
    <s v="0900"/>
    <s v="1900"/>
    <s v="1700"/>
    <s v="0600"/>
    <s v="0100"/>
    <m/>
    <m/>
    <n v="45"/>
    <n v="24"/>
    <n v="3"/>
    <m/>
    <m/>
    <m/>
    <m/>
    <m/>
    <x v="0"/>
    <n v="176"/>
    <n v="1"/>
    <n v="1"/>
  </r>
  <r>
    <m/>
    <s v="Introduction to Hazardous Materials [Ashore] (Global Online) "/>
    <s v="A-493-0331"/>
    <s v="10UG"/>
    <s v="Global Online"/>
    <d v="2024-12-10T00:00:00"/>
    <d v="2024-12-12T00:00:00"/>
    <m/>
    <d v="1899-12-30T12:00:00"/>
    <s v="0900"/>
    <s v="1900"/>
    <s v="1700"/>
    <s v="0600"/>
    <s v="0100"/>
    <m/>
    <m/>
    <n v="45"/>
    <n v="24"/>
    <n v="3"/>
    <m/>
    <m/>
    <m/>
    <m/>
    <m/>
    <x v="0"/>
    <n v="204"/>
    <n v="1"/>
    <n v="1"/>
  </r>
  <r>
    <m/>
    <s v="Introduction to Industrial Hygiene for Safety Professionals (Global Online) "/>
    <s v="A-493-0335"/>
    <s v="09ND"/>
    <s v="Global Online"/>
    <d v="2024-10-15T00:00:00"/>
    <d v="2024-10-18T00:00:00"/>
    <m/>
    <d v="1899-12-30T12:00:00"/>
    <d v="1899-12-30T09:00:00"/>
    <d v="1899-12-30T19:00:00"/>
    <d v="1899-12-30T18:00:00"/>
    <d v="1899-12-30T06:00:00"/>
    <d v="1899-12-30T01:00:00"/>
    <m/>
    <m/>
    <n v="45"/>
    <n v="32"/>
    <n v="4"/>
    <m/>
    <m/>
    <m/>
    <m/>
    <m/>
    <x v="0"/>
    <n v="149"/>
    <n v="1"/>
    <n v="1"/>
  </r>
  <r>
    <m/>
    <s v="Introduction to Industrial Hygiene for Safety Professionals (Global Online) "/>
    <s v="A-493-0335"/>
    <s v="09ND"/>
    <s v="Global Online"/>
    <d v="2024-11-04T00:00:00"/>
    <d v="2024-11-07T00:00:00"/>
    <m/>
    <d v="1899-12-30T12:00:00"/>
    <s v="0900"/>
    <s v="1900"/>
    <s v="1700"/>
    <s v="0600"/>
    <s v="0100"/>
    <m/>
    <m/>
    <n v="45"/>
    <n v="32"/>
    <n v="4"/>
    <m/>
    <m/>
    <m/>
    <m/>
    <m/>
    <x v="0"/>
    <n v="169"/>
    <n v="1"/>
    <n v="1"/>
  </r>
  <r>
    <m/>
    <s v="Introduction to Naval Safety and Occupational Health (Global Online) "/>
    <s v="A-493-0550"/>
    <s v="09K5"/>
    <s v="Global Online"/>
    <d v="2025-01-13T00:00:00"/>
    <d v="2025-01-17T00:00:00"/>
    <m/>
    <d v="1899-12-30T13:00:00"/>
    <s v="1000"/>
    <s v="2000"/>
    <s v="1800"/>
    <s v="0700"/>
    <s v="0200"/>
    <s v="D. Rodriguez"/>
    <s v="T. White"/>
    <n v="45"/>
    <n v="32"/>
    <n v="4"/>
    <m/>
    <m/>
    <m/>
    <m/>
    <m/>
    <x v="0"/>
    <n v="240"/>
    <n v="1"/>
    <n v="1"/>
  </r>
  <r>
    <m/>
    <s v="Introduction to Naval Safety and Occupational Health (Global Online) "/>
    <s v="A-493-0550"/>
    <s v="09K5"/>
    <s v="Global Online"/>
    <d v="2025-02-03T00:00:00"/>
    <d v="2025-02-07T00:00:00"/>
    <m/>
    <d v="1899-12-30T08:00:00"/>
    <s v="0500"/>
    <s v="1500"/>
    <s v="1300"/>
    <s v="0200"/>
    <s v="2100"/>
    <s v="D. Rodriguez"/>
    <s v="T. White"/>
    <n v="45"/>
    <n v="32"/>
    <n v="4"/>
    <m/>
    <m/>
    <m/>
    <m/>
    <m/>
    <x v="0"/>
    <n v="261"/>
    <n v="1"/>
    <n v="1"/>
  </r>
  <r>
    <m/>
    <s v="Introduction to Naval Safety and Occupational Health (Global Online) "/>
    <s v="A-493-0550"/>
    <s v="09K5"/>
    <s v="Global Online"/>
    <d v="2025-02-24T00:00:00"/>
    <d v="2025-02-28T00:00:00"/>
    <m/>
    <d v="1899-12-30T19:00:00"/>
    <s v="1600"/>
    <s v="0200"/>
    <s v="0000"/>
    <s v="1300"/>
    <s v="0800"/>
    <s v="D. Rodriguez"/>
    <s v="T. White"/>
    <n v="45"/>
    <n v="32"/>
    <n v="4"/>
    <m/>
    <m/>
    <m/>
    <m/>
    <m/>
    <x v="0"/>
    <n v="282"/>
    <n v="1"/>
    <n v="1"/>
  </r>
  <r>
    <m/>
    <s v="Introduction to Naval Safety and Occupational Health (Global Online) "/>
    <s v="A-493-0550"/>
    <s v="09K5"/>
    <s v="Global Online"/>
    <d v="2025-03-17T00:00:00"/>
    <d v="2025-03-21T00:00:00"/>
    <m/>
    <d v="1899-12-30T07:00:00"/>
    <d v="1899-12-30T04:00:00"/>
    <d v="1899-12-30T15:00:00"/>
    <d v="1899-12-30T13:00:00"/>
    <d v="1899-12-30T02:00:00"/>
    <d v="1899-12-30T21:00:00"/>
    <s v="D. Rodriguez"/>
    <s v="T. White"/>
    <n v="45"/>
    <n v="32"/>
    <n v="4"/>
    <m/>
    <m/>
    <m/>
    <m/>
    <m/>
    <x v="0"/>
    <n v="303"/>
    <n v="1"/>
    <n v="1"/>
  </r>
  <r>
    <m/>
    <s v="Introduction to Naval Safety and Occupational Health (Global Online) "/>
    <s v="A-493-0550"/>
    <s v="09K5"/>
    <s v="Global Online"/>
    <d v="2025-03-31T00:00:00"/>
    <d v="2025-04-04T00:00:00"/>
    <m/>
    <d v="1899-12-30T08:00:00"/>
    <m/>
    <m/>
    <m/>
    <m/>
    <m/>
    <s v="D. Rodriguez"/>
    <s v="T. White"/>
    <n v="45"/>
    <n v="32"/>
    <n v="4"/>
    <m/>
    <m/>
    <m/>
    <m/>
    <m/>
    <x v="0"/>
    <n v="317"/>
    <n v="1"/>
    <n v="1"/>
  </r>
  <r>
    <s v="Seabees Gulfport special conveing"/>
    <s v="Introduction to Naval Safety and Occupational Health (Global Online) "/>
    <s v="A-493-0550"/>
    <s v="09K5"/>
    <s v="Global Online"/>
    <d v="2025-05-05T00:00:00"/>
    <d v="2025-05-09T00:00:00"/>
    <m/>
    <d v="1899-12-30T11:00:00"/>
    <m/>
    <m/>
    <m/>
    <m/>
    <m/>
    <s v="D. Rodriguez"/>
    <s v="T. White"/>
    <n v="45"/>
    <n v="32"/>
    <n v="4"/>
    <m/>
    <m/>
    <m/>
    <m/>
    <m/>
    <x v="0"/>
    <n v="352"/>
    <n v="1"/>
    <n v="1"/>
  </r>
  <r>
    <m/>
    <s v="Introduction to Naval Safety and Occupational Health (Global Online) "/>
    <s v="A-493-0550"/>
    <s v="09K5"/>
    <s v="Global Online"/>
    <d v="2025-05-19T00:00:00"/>
    <d v="2025-05-19T00:00:00"/>
    <m/>
    <d v="1899-12-30T08:00:00"/>
    <m/>
    <m/>
    <m/>
    <m/>
    <m/>
    <s v="D. Rodriguez"/>
    <s v="T. White"/>
    <n v="45"/>
    <n v="32"/>
    <n v="4"/>
    <m/>
    <m/>
    <m/>
    <m/>
    <m/>
    <x v="0"/>
    <n v="362"/>
    <n v="1"/>
    <n v="1"/>
  </r>
  <r>
    <m/>
    <s v="Introduction to Naval Safety and Occupational Health (Global Online) "/>
    <s v="A-493-0550"/>
    <s v="09K5"/>
    <s v="Global Online"/>
    <d v="2025-06-02T00:00:00"/>
    <d v="2025-06-06T00:00:00"/>
    <m/>
    <d v="1899-12-30T13:00:00"/>
    <m/>
    <m/>
    <m/>
    <m/>
    <m/>
    <s v="D. Rodriguez"/>
    <s v="T. White"/>
    <n v="45"/>
    <n v="32"/>
    <n v="4"/>
    <m/>
    <m/>
    <m/>
    <m/>
    <m/>
    <x v="0"/>
    <n v="380"/>
    <n v="1"/>
    <n v="1"/>
  </r>
  <r>
    <m/>
    <s v="Introduction to Naval Safety and Occupational Health (Global Online) "/>
    <s v="A-493-0550"/>
    <s v="09K5"/>
    <s v="Global Online"/>
    <d v="2025-06-23T00:00:00"/>
    <d v="2025-06-27T00:00:00"/>
    <m/>
    <d v="1899-12-30T07:00:00"/>
    <m/>
    <m/>
    <m/>
    <m/>
    <m/>
    <s v="D. Rodriguez"/>
    <s v="T. White"/>
    <n v="45"/>
    <n v="32"/>
    <n v="4"/>
    <m/>
    <m/>
    <m/>
    <m/>
    <m/>
    <x v="0"/>
    <n v="401"/>
    <n v="1"/>
    <n v="1"/>
  </r>
  <r>
    <m/>
    <s v="Introduction to Naval Safety and Occupational Health (Global Online) "/>
    <s v="A-493-0550"/>
    <s v="09K5"/>
    <s v="Global Online"/>
    <d v="2025-07-07T00:00:00"/>
    <d v="2025-07-11T00:00:00"/>
    <m/>
    <d v="1899-12-30T19:00:00"/>
    <m/>
    <m/>
    <m/>
    <m/>
    <m/>
    <s v="D. Rodriguez"/>
    <s v="T. White"/>
    <n v="45"/>
    <n v="32"/>
    <n v="4"/>
    <m/>
    <m/>
    <m/>
    <m/>
    <m/>
    <x v="0"/>
    <n v="415"/>
    <n v="1"/>
    <n v="1"/>
  </r>
  <r>
    <s v="Seabees Port Hueneme special conveing"/>
    <s v="Introduction to Naval Safety and Occupational Health (Global Online) "/>
    <s v="A-493-0550"/>
    <s v="09K5"/>
    <s v="Global Online"/>
    <d v="2025-07-21T00:00:00"/>
    <d v="2025-07-25T00:00:00"/>
    <m/>
    <d v="1899-12-30T08:00:00"/>
    <m/>
    <m/>
    <m/>
    <m/>
    <m/>
    <s v="D. Rodriguez"/>
    <s v="T. White"/>
    <n v="45"/>
    <n v="32"/>
    <n v="4"/>
    <m/>
    <m/>
    <m/>
    <m/>
    <m/>
    <x v="0"/>
    <n v="429"/>
    <n v="1"/>
    <n v="1"/>
  </r>
  <r>
    <m/>
    <s v="Introduction to Naval Safety and Occupational Health (Global Online) "/>
    <s v="A-493-0550"/>
    <s v="09K5"/>
    <s v="Global Online"/>
    <d v="2025-08-04T00:00:00"/>
    <d v="2025-08-08T00:00:00"/>
    <m/>
    <d v="1899-12-30T11:00:00"/>
    <m/>
    <m/>
    <m/>
    <m/>
    <m/>
    <s v="D. Rodriguez"/>
    <s v="T. White"/>
    <n v="45"/>
    <n v="32"/>
    <n v="4"/>
    <m/>
    <m/>
    <m/>
    <m/>
    <m/>
    <x v="0"/>
    <n v="443"/>
    <n v="1"/>
    <n v="1"/>
  </r>
  <r>
    <m/>
    <s v="Introduction to Naval Safety and Occupational Health (Global Online) "/>
    <s v="A-493-0550"/>
    <s v="09K5"/>
    <s v="Global Online"/>
    <d v="2025-08-18T00:00:00"/>
    <d v="2025-08-22T00:00:00"/>
    <m/>
    <d v="1899-12-30T10:00:00"/>
    <m/>
    <m/>
    <m/>
    <m/>
    <m/>
    <s v="D. Rodriguez"/>
    <s v="T. White"/>
    <n v="45"/>
    <n v="32"/>
    <n v="4"/>
    <m/>
    <m/>
    <m/>
    <m/>
    <m/>
    <x v="0"/>
    <n v="457"/>
    <n v="1"/>
    <n v="1"/>
  </r>
  <r>
    <m/>
    <s v="Introduction to Naval Safety and Occupational Health (Global Online) "/>
    <s v="A-493-0550"/>
    <s v="09K5"/>
    <s v="Global Online"/>
    <d v="2025-09-08T00:00:00"/>
    <d v="2025-09-12T00:00:00"/>
    <m/>
    <d v="1899-12-30T08:00:00"/>
    <m/>
    <m/>
    <m/>
    <m/>
    <m/>
    <s v="D. Rodriguez"/>
    <s v="T. White"/>
    <n v="45"/>
    <n v="32"/>
    <n v="4"/>
    <m/>
    <m/>
    <m/>
    <m/>
    <m/>
    <x v="0"/>
    <n v="478"/>
    <n v="1"/>
    <n v="1"/>
  </r>
  <r>
    <m/>
    <s v="Introduction to Naval Safety and Occupational Health (Global Online) "/>
    <s v="A-493-0550"/>
    <s v="09K5"/>
    <s v="Global Online"/>
    <d v="2025-09-15T00:00:00"/>
    <d v="2025-09-19T00:00:00"/>
    <m/>
    <d v="1899-12-30T13:00:00"/>
    <m/>
    <m/>
    <m/>
    <m/>
    <m/>
    <s v="D. Rodriguez"/>
    <s v="T. White"/>
    <n v="45"/>
    <n v="32"/>
    <n v="4"/>
    <m/>
    <m/>
    <m/>
    <m/>
    <m/>
    <x v="0"/>
    <n v="485"/>
    <n v="1"/>
    <n v="1"/>
  </r>
  <r>
    <m/>
    <s v="Introduction to Naval Safety and Occupational Health (Global Online) "/>
    <s v="A-493-0550"/>
    <s v="09K5"/>
    <s v="Global Online"/>
    <d v="2025-09-29T00:00:00"/>
    <d v="2025-10-03T00:00:00"/>
    <m/>
    <d v="1899-12-30T08:00:00"/>
    <m/>
    <m/>
    <m/>
    <m/>
    <m/>
    <s v="D. Rodriguez"/>
    <s v="T. White"/>
    <n v="45"/>
    <n v="32"/>
    <n v="4"/>
    <m/>
    <m/>
    <m/>
    <m/>
    <m/>
    <x v="0"/>
    <n v="499"/>
    <n v="1"/>
    <n v="1"/>
  </r>
  <r>
    <m/>
    <s v="Introduction to Industrial Hygiene for Safety Professionals (Global Online) "/>
    <s v="A-493-0335"/>
    <s v="09ND"/>
    <s v="Global Online"/>
    <d v="2024-11-18T00:00:00"/>
    <d v="2024-11-21T00:00:00"/>
    <m/>
    <d v="1899-12-30T12:00:00"/>
    <s v="0900"/>
    <s v="1900"/>
    <s v="1700"/>
    <s v="0600"/>
    <s v="0100"/>
    <m/>
    <m/>
    <n v="45"/>
    <n v="32"/>
    <n v="4"/>
    <m/>
    <m/>
    <m/>
    <m/>
    <m/>
    <x v="0"/>
    <n v="183"/>
    <n v="1"/>
    <n v="1"/>
  </r>
  <r>
    <m/>
    <s v="Machinery and Machine Guarding Standards (Global Online) "/>
    <s v="A-493-0073"/>
    <s v="714S"/>
    <s v="Global Online"/>
    <d v="2025-01-13T00:00:00"/>
    <d v="2025-01-16T00:00:00"/>
    <m/>
    <d v="1899-12-30T11:00:00"/>
    <d v="1899-12-30T08:00:00"/>
    <d v="1899-12-30T18:00:00"/>
    <d v="1899-12-30T16:00:00"/>
    <d v="1899-12-30T05:00:00"/>
    <d v="1899-12-30T00:00:00"/>
    <s v="SOH Contractor"/>
    <m/>
    <n v="30"/>
    <n v="32"/>
    <n v="4"/>
    <m/>
    <m/>
    <m/>
    <m/>
    <m/>
    <x v="0"/>
    <n v="239"/>
    <n v="1"/>
    <n v="1"/>
  </r>
  <r>
    <m/>
    <s v="Machinery and Machine Guarding Standards (Global Online) "/>
    <s v="A-493-0073"/>
    <s v="714S"/>
    <s v="Global Online"/>
    <d v="2025-02-10T00:00:00"/>
    <d v="2025-02-13T00:00:00"/>
    <m/>
    <d v="1899-12-30T02:00:00"/>
    <d v="1899-12-30T23:00:00"/>
    <d v="1899-12-30T22:00:00"/>
    <d v="1899-12-30T08:00:00"/>
    <d v="1899-12-30T21:00:00"/>
    <d v="1899-12-30T16:00:00"/>
    <s v="SOH Contractor"/>
    <m/>
    <n v="30"/>
    <n v="32"/>
    <n v="4"/>
    <m/>
    <m/>
    <m/>
    <m/>
    <m/>
    <x v="0"/>
    <n v="267"/>
    <n v="1"/>
    <n v="1"/>
  </r>
  <r>
    <m/>
    <s v="Machinery and Machine Guarding Standards (Global Online) "/>
    <s v="A-493-0073"/>
    <s v="714S"/>
    <s v="Global Online"/>
    <d v="2025-03-17T00:00:00"/>
    <d v="2025-03-20T00:00:00"/>
    <m/>
    <d v="1899-12-30T14:00:00"/>
    <d v="1899-12-30T11:00:00"/>
    <d v="1899-12-30T21:00:00"/>
    <d v="1899-12-30T20:00:00"/>
    <d v="1899-12-30T08:00:00"/>
    <d v="1899-12-30T03:00:00"/>
    <s v="SOH Contractor"/>
    <m/>
    <n v="30"/>
    <n v="32"/>
    <n v="4"/>
    <m/>
    <m/>
    <m/>
    <m/>
    <m/>
    <x v="0"/>
    <n v="302"/>
    <n v="1"/>
    <n v="1"/>
  </r>
  <r>
    <m/>
    <s v="Machinery and Machine Guarding Standards (Global Online) "/>
    <s v="A-493-0073"/>
    <s v="714S"/>
    <s v="Global Online"/>
    <d v="2025-04-07T00:00:00"/>
    <d v="2025-04-10T00:00:00"/>
    <m/>
    <d v="1899-12-30T19:00:00"/>
    <m/>
    <m/>
    <m/>
    <m/>
    <d v="1899-12-30T08:00:00"/>
    <s v="SOH Contractor"/>
    <m/>
    <n v="30"/>
    <n v="32"/>
    <n v="4"/>
    <m/>
    <m/>
    <m/>
    <m/>
    <m/>
    <x v="0"/>
    <n v="323"/>
    <n v="1"/>
    <n v="1"/>
  </r>
  <r>
    <m/>
    <s v="Machinery and Machine Guarding Standards (Global Online) "/>
    <s v="A-493-0073"/>
    <s v="714S"/>
    <s v="Global Online"/>
    <d v="2025-05-19T00:00:00"/>
    <d v="2025-05-22T00:00:00"/>
    <m/>
    <d v="1899-12-30T08:00:00"/>
    <m/>
    <m/>
    <m/>
    <m/>
    <m/>
    <s v="SOH Contractor"/>
    <m/>
    <n v="30"/>
    <n v="32"/>
    <n v="4"/>
    <m/>
    <m/>
    <m/>
    <m/>
    <m/>
    <x v="0"/>
    <n v="365"/>
    <n v="1"/>
    <n v="1"/>
  </r>
  <r>
    <m/>
    <s v="Machinery and Machine Guarding Standards (Global Online) "/>
    <s v="A-493-0073"/>
    <s v="714S"/>
    <s v="Global Online"/>
    <d v="2025-06-02T00:00:00"/>
    <d v="2025-06-05T00:00:00"/>
    <m/>
    <d v="1899-12-30T11:00:00"/>
    <d v="1899-12-30T08:00:00"/>
    <m/>
    <m/>
    <m/>
    <m/>
    <s v="SOH Contractor"/>
    <m/>
    <n v="30"/>
    <n v="32"/>
    <n v="4"/>
    <m/>
    <m/>
    <m/>
    <m/>
    <m/>
    <x v="0"/>
    <n v="379"/>
    <n v="1"/>
    <n v="1"/>
  </r>
  <r>
    <m/>
    <s v="Machinery and Machine Guarding Standards (Global Online) "/>
    <s v="A-493-0073"/>
    <s v="714S"/>
    <s v="Global Online"/>
    <d v="2025-07-21T00:00:00"/>
    <d v="2025-07-24T00:00:00"/>
    <m/>
    <d v="1899-12-30T14:00:00"/>
    <m/>
    <m/>
    <m/>
    <d v="1899-12-30T08:00:00"/>
    <m/>
    <s v="SOH Contractor"/>
    <m/>
    <n v="30"/>
    <n v="32"/>
    <n v="4"/>
    <m/>
    <m/>
    <m/>
    <m/>
    <m/>
    <x v="0"/>
    <n v="428"/>
    <n v="1"/>
    <n v="1"/>
  </r>
  <r>
    <m/>
    <s v="Machinery and Machine Guarding Standards (Global Online) "/>
    <s v="A-493-0073"/>
    <s v="714S"/>
    <s v="Global Online"/>
    <d v="2025-08-18T00:00:00"/>
    <d v="2025-08-21T00:00:00"/>
    <m/>
    <d v="1899-12-30T08:00:00"/>
    <m/>
    <m/>
    <m/>
    <m/>
    <m/>
    <s v="SOH Contractor"/>
    <m/>
    <n v="30"/>
    <n v="32"/>
    <n v="4"/>
    <m/>
    <m/>
    <m/>
    <m/>
    <m/>
    <x v="0"/>
    <n v="456"/>
    <n v="1"/>
    <n v="1"/>
  </r>
  <r>
    <m/>
    <s v="Machinery and Machine Guarding Standards (Global Online) "/>
    <s v="A-493-0073"/>
    <s v="714S"/>
    <s v="Global Online"/>
    <d v="2025-09-15T00:00:00"/>
    <d v="2025-09-18T00:00:00"/>
    <m/>
    <d v="1899-12-30T02:00:00"/>
    <m/>
    <m/>
    <d v="1899-12-30T08:00:00"/>
    <m/>
    <m/>
    <s v="SOH Contractor"/>
    <m/>
    <n v="30"/>
    <n v="32"/>
    <n v="4"/>
    <m/>
    <m/>
    <m/>
    <m/>
    <m/>
    <x v="0"/>
    <n v="484"/>
    <n v="1"/>
    <n v="1"/>
  </r>
  <r>
    <m/>
    <s v="Introduction to Naval Safety and Occupational Health (Global Online) "/>
    <s v="A-493-0550"/>
    <s v="09K5"/>
    <s v="Global Online"/>
    <d v="2024-10-07T00:00:00"/>
    <d v="2024-10-11T00:00:00"/>
    <m/>
    <d v="1899-12-30T08:00:00"/>
    <m/>
    <m/>
    <m/>
    <m/>
    <m/>
    <s v="D. Rodriguez"/>
    <s v="T. White"/>
    <n v="45"/>
    <n v="32"/>
    <n v="4"/>
    <m/>
    <m/>
    <m/>
    <m/>
    <m/>
    <x v="0"/>
    <n v="142"/>
    <n v="1"/>
    <n v="1"/>
  </r>
  <r>
    <m/>
    <s v="Introduction to Naval Safety and Occupational Health (Global Online) "/>
    <s v="A-493-0550"/>
    <s v="09K5"/>
    <s v="Global Online"/>
    <d v="2024-10-21T00:00:00"/>
    <d v="2024-10-25T00:00:00"/>
    <m/>
    <d v="1899-12-30T10:00:00"/>
    <d v="1899-12-30T07:00:00"/>
    <d v="1899-12-30T17:00:00"/>
    <d v="1899-12-30T15:00:00"/>
    <d v="1899-12-30T04:00:00"/>
    <d v="1899-12-30T23:00:00"/>
    <s v="D. Rodriguez"/>
    <s v="T. White"/>
    <n v="45"/>
    <n v="32"/>
    <n v="4"/>
    <m/>
    <m/>
    <m/>
    <m/>
    <m/>
    <x v="0"/>
    <n v="156"/>
    <n v="1"/>
    <n v="1"/>
  </r>
  <r>
    <m/>
    <s v="Introduction to Naval Safety and Occupational Health (Global Online) "/>
    <s v="A-493-0550"/>
    <s v="09K5"/>
    <s v="Global Online"/>
    <d v="2024-11-04T00:00:00"/>
    <d v="2024-11-08T00:00:00"/>
    <m/>
    <d v="1899-12-30T08:00:00"/>
    <s v="0500"/>
    <s v="1500"/>
    <s v="1300"/>
    <s v="0200"/>
    <s v="2100"/>
    <s v="D. Rodriguez"/>
    <s v="T. White"/>
    <n v="45"/>
    <n v="32"/>
    <n v="4"/>
    <m/>
    <m/>
    <m/>
    <m/>
    <m/>
    <x v="0"/>
    <n v="170"/>
    <n v="1"/>
    <n v="1"/>
  </r>
  <r>
    <m/>
    <s v="Introduction to Naval Safety and Occupational Health (Global Online) "/>
    <s v="A-493-0550"/>
    <s v="09K5"/>
    <s v="Global Online"/>
    <d v="2024-11-18T00:00:00"/>
    <d v="2024-11-22T00:00:00"/>
    <m/>
    <d v="1899-12-30T10:00:00"/>
    <s v="0700"/>
    <s v="1700"/>
    <s v="1500"/>
    <s v="0400"/>
    <s v="2300"/>
    <s v="D. Rodriguez"/>
    <s v="T. White"/>
    <n v="45"/>
    <n v="32"/>
    <n v="4"/>
    <m/>
    <m/>
    <m/>
    <m/>
    <m/>
    <x v="0"/>
    <n v="184"/>
    <n v="1"/>
    <n v="1"/>
  </r>
  <r>
    <m/>
    <s v="Mishap Investigation (Global Online) "/>
    <s v="A-493-0078"/>
    <n v="1228"/>
    <s v="Global Online"/>
    <d v="2025-01-27T00:00:00"/>
    <d v="2025-01-31T00:00:00"/>
    <m/>
    <d v="1899-12-30T13:00:00"/>
    <s v="1000"/>
    <s v="2000"/>
    <s v="1800"/>
    <s v="0700"/>
    <s v="0200"/>
    <s v="T. White"/>
    <s v="D. Rodriguez"/>
    <n v="45"/>
    <n v="40"/>
    <n v="5"/>
    <m/>
    <m/>
    <m/>
    <m/>
    <m/>
    <x v="0"/>
    <n v="254"/>
    <n v="1"/>
    <n v="1"/>
  </r>
  <r>
    <m/>
    <s v="Mishap Investigation (Global Online) "/>
    <s v="A-493-0078"/>
    <n v="1228"/>
    <s v="Global Online"/>
    <d v="2025-02-10T00:00:00"/>
    <d v="2025-02-14T00:00:00"/>
    <m/>
    <d v="1899-12-30T08:00:00"/>
    <s v="0500"/>
    <s v="1500"/>
    <s v="1300"/>
    <s v="0200"/>
    <s v="2100"/>
    <s v="T. White"/>
    <s v="D. Rodriguez"/>
    <n v="45"/>
    <n v="40"/>
    <n v="5"/>
    <m/>
    <m/>
    <m/>
    <m/>
    <m/>
    <x v="0"/>
    <n v="268"/>
    <n v="1"/>
    <n v="1"/>
  </r>
  <r>
    <m/>
    <s v="Mishap Investigation (Global Online) "/>
    <s v="A-493-0078"/>
    <n v="1228"/>
    <s v="Global Online"/>
    <d v="2025-02-24T00:00:00"/>
    <d v="2024-02-28T00:00:00"/>
    <m/>
    <d v="1899-12-30T19:00:00"/>
    <m/>
    <m/>
    <m/>
    <m/>
    <m/>
    <s v="T. White"/>
    <s v="D. Rodriguez"/>
    <n v="45"/>
    <n v="40"/>
    <n v="5"/>
    <m/>
    <m/>
    <m/>
    <m/>
    <m/>
    <x v="0"/>
    <n v="-84"/>
    <n v="1"/>
    <n v="1"/>
  </r>
  <r>
    <m/>
    <s v="Mishap Investigation (Global Online) "/>
    <s v="A-493-0078"/>
    <n v="1228"/>
    <s v="Global Online"/>
    <d v="2025-03-10T00:00:00"/>
    <d v="2025-03-14T00:00:00"/>
    <m/>
    <d v="1899-12-30T07:00:00"/>
    <d v="1899-12-30T04:00:00"/>
    <d v="1899-12-30T15:00:00"/>
    <d v="1899-12-30T13:00:00"/>
    <d v="1899-12-30T02:00:00"/>
    <d v="1899-12-30T21:00:00"/>
    <s v="T. White"/>
    <s v="D. Rodriguez"/>
    <n v="45"/>
    <n v="40"/>
    <n v="5"/>
    <m/>
    <m/>
    <m/>
    <m/>
    <m/>
    <x v="0"/>
    <n v="296"/>
    <n v="1"/>
    <n v="1"/>
  </r>
  <r>
    <m/>
    <s v="Mishap Investigation (Global Online) "/>
    <s v="A-493-0078"/>
    <n v="1228"/>
    <s v="Global Online"/>
    <d v="2025-03-24T00:00:00"/>
    <d v="2025-03-28T00:00:00"/>
    <m/>
    <d v="1899-12-30T08:00:00"/>
    <s v="0500"/>
    <s v="1500"/>
    <s v="1300"/>
    <s v="0200"/>
    <s v="2100"/>
    <s v="T. White"/>
    <s v="D. Rodriguez"/>
    <n v="45"/>
    <n v="40"/>
    <n v="5"/>
    <m/>
    <m/>
    <m/>
    <m/>
    <m/>
    <x v="0"/>
    <n v="310"/>
    <n v="1"/>
    <n v="1"/>
  </r>
  <r>
    <m/>
    <s v="Mishap Investigation (Global Online) "/>
    <s v="A-493-0078"/>
    <n v="1228"/>
    <s v="Global Online"/>
    <d v="2025-04-07T00:00:00"/>
    <d v="2025-04-11T00:00:00"/>
    <m/>
    <d v="1899-12-30T11:00:00"/>
    <m/>
    <m/>
    <m/>
    <m/>
    <m/>
    <s v="T. White"/>
    <s v="D. Rodriguez"/>
    <n v="45"/>
    <n v="40"/>
    <n v="5"/>
    <m/>
    <m/>
    <m/>
    <m/>
    <m/>
    <x v="0"/>
    <n v="324"/>
    <n v="1"/>
    <n v="1"/>
  </r>
  <r>
    <m/>
    <s v="Mishap Investigation (Global Online) "/>
    <s v="A-493-0078"/>
    <n v="1228"/>
    <s v="Global Online"/>
    <d v="2025-05-05T00:00:00"/>
    <d v="2025-05-09T00:00:00"/>
    <m/>
    <d v="1899-12-30T08:00:00"/>
    <m/>
    <m/>
    <m/>
    <m/>
    <m/>
    <s v="T. White"/>
    <s v="D. Rodriguez"/>
    <n v="45"/>
    <n v="40"/>
    <n v="5"/>
    <m/>
    <m/>
    <m/>
    <m/>
    <m/>
    <x v="0"/>
    <n v="352"/>
    <n v="1"/>
    <n v="1"/>
  </r>
  <r>
    <m/>
    <s v="Mishap Investigation (Global Online) "/>
    <s v="A-493-0078"/>
    <n v="1228"/>
    <s v="Global Online"/>
    <d v="2025-05-19T00:00:00"/>
    <d v="2025-05-23T00:00:00"/>
    <m/>
    <d v="1899-12-30T13:00:00"/>
    <m/>
    <m/>
    <m/>
    <m/>
    <m/>
    <s v="T. White"/>
    <s v="D. Rodriguez"/>
    <n v="45"/>
    <n v="40"/>
    <n v="5"/>
    <m/>
    <m/>
    <m/>
    <m/>
    <m/>
    <x v="0"/>
    <n v="366"/>
    <n v="1"/>
    <n v="1"/>
  </r>
  <r>
    <m/>
    <s v="Mishap Investigation (Global Online) "/>
    <s v="A-493-0078"/>
    <n v="1228"/>
    <s v="Global Online"/>
    <d v="2025-06-09T00:00:00"/>
    <d v="2025-06-13T00:00:00"/>
    <m/>
    <d v="1899-12-30T07:00:00"/>
    <m/>
    <m/>
    <m/>
    <m/>
    <m/>
    <s v="T. White"/>
    <s v="D. Rodriguez"/>
    <n v="45"/>
    <n v="40"/>
    <n v="5"/>
    <m/>
    <m/>
    <m/>
    <m/>
    <m/>
    <x v="0"/>
    <n v="387"/>
    <n v="1"/>
    <n v="1"/>
  </r>
  <r>
    <m/>
    <s v="Mishap Investigation (Global Online) "/>
    <s v="A-493-0078"/>
    <n v="1228"/>
    <s v="Global Online"/>
    <d v="2025-06-23T00:00:00"/>
    <d v="2025-06-27T00:00:00"/>
    <m/>
    <d v="1899-12-30T19:00:00"/>
    <m/>
    <m/>
    <m/>
    <m/>
    <m/>
    <s v="T. White"/>
    <s v="D. Rodriguez"/>
    <n v="45"/>
    <n v="40"/>
    <n v="5"/>
    <m/>
    <m/>
    <m/>
    <m/>
    <m/>
    <x v="0"/>
    <n v="401"/>
    <n v="1"/>
    <n v="1"/>
  </r>
  <r>
    <m/>
    <s v="Mishap Investigation (Global Online) "/>
    <s v="A-493-0078"/>
    <n v="1228"/>
    <s v="Global Online"/>
    <d v="2025-07-14T00:00:00"/>
    <d v="2025-07-18T00:00:00"/>
    <m/>
    <d v="1899-12-30T08:00:00"/>
    <m/>
    <m/>
    <m/>
    <m/>
    <m/>
    <s v="T. White"/>
    <s v="D. Rodriguez"/>
    <n v="45"/>
    <n v="40"/>
    <n v="5"/>
    <m/>
    <m/>
    <m/>
    <m/>
    <m/>
    <x v="0"/>
    <n v="422"/>
    <n v="1"/>
    <n v="1"/>
  </r>
  <r>
    <m/>
    <s v="Mishap Investigation (Global Online) "/>
    <s v="A-493-0078"/>
    <n v="1228"/>
    <s v="Global Online"/>
    <d v="2025-07-28T00:00:00"/>
    <d v="2025-08-01T00:00:00"/>
    <m/>
    <d v="1899-12-30T11:00:00"/>
    <m/>
    <m/>
    <m/>
    <m/>
    <m/>
    <s v="T. White"/>
    <s v="D. Rodriguez"/>
    <n v="45"/>
    <n v="40"/>
    <n v="5"/>
    <m/>
    <m/>
    <m/>
    <m/>
    <m/>
    <x v="0"/>
    <n v="436"/>
    <n v="1"/>
    <n v="1"/>
  </r>
  <r>
    <m/>
    <s v="Mishap Investigation (Global Online) "/>
    <s v="A-493-0078"/>
    <n v="1228"/>
    <s v="Global Online"/>
    <d v="2025-08-11T00:00:00"/>
    <d v="2025-08-15T00:00:00"/>
    <m/>
    <d v="1899-12-30T10:00:00"/>
    <m/>
    <m/>
    <m/>
    <m/>
    <m/>
    <s v="T. White"/>
    <s v="D. Rodriguez"/>
    <n v="45"/>
    <n v="40"/>
    <n v="5"/>
    <m/>
    <m/>
    <m/>
    <m/>
    <m/>
    <x v="0"/>
    <n v="450"/>
    <n v="1"/>
    <n v="1"/>
  </r>
  <r>
    <m/>
    <s v="Mishap Investigation (Global Online) "/>
    <s v="A-493-0078"/>
    <n v="1228"/>
    <s v="Global Online"/>
    <d v="2025-08-25T00:00:00"/>
    <d v="2025-08-29T00:00:00"/>
    <m/>
    <d v="1899-12-30T08:00:00"/>
    <m/>
    <m/>
    <m/>
    <m/>
    <m/>
    <s v="T. White"/>
    <s v="D. Rodriguez"/>
    <n v="45"/>
    <n v="40"/>
    <n v="5"/>
    <m/>
    <m/>
    <m/>
    <m/>
    <m/>
    <x v="0"/>
    <n v="464"/>
    <n v="1"/>
    <n v="1"/>
  </r>
  <r>
    <m/>
    <s v="Mishap Investigation (Global Online) "/>
    <s v="A-493-0078"/>
    <n v="1228"/>
    <s v="Global Online"/>
    <d v="2025-09-08T00:00:00"/>
    <d v="2025-09-12T00:00:00"/>
    <m/>
    <d v="1899-12-30T13:00:00"/>
    <m/>
    <m/>
    <m/>
    <m/>
    <m/>
    <s v="T. White"/>
    <s v="D. Rodriguez"/>
    <n v="45"/>
    <n v="40"/>
    <n v="5"/>
    <m/>
    <m/>
    <m/>
    <m/>
    <m/>
    <x v="0"/>
    <n v="478"/>
    <n v="1"/>
    <n v="1"/>
  </r>
  <r>
    <m/>
    <s v="Mishap Investigation (Global Online) "/>
    <s v="A-493-0078"/>
    <n v="1228"/>
    <s v="Global Online"/>
    <d v="2025-09-22T00:00:00"/>
    <d v="2025-09-26T00:00:00"/>
    <m/>
    <d v="1899-12-30T08:00:00"/>
    <m/>
    <m/>
    <m/>
    <m/>
    <m/>
    <s v="T. White"/>
    <s v="D. Rodriguez"/>
    <n v="45"/>
    <n v="40"/>
    <n v="5"/>
    <m/>
    <m/>
    <m/>
    <m/>
    <m/>
    <x v="0"/>
    <n v="492"/>
    <n v="1"/>
    <n v="1"/>
  </r>
  <r>
    <m/>
    <s v="Introduction to Naval Safety and Occupational Health (Global Online) "/>
    <s v="A-493-0550"/>
    <s v="09K5"/>
    <s v="Global Online"/>
    <d v="2024-12-02T00:00:00"/>
    <d v="2024-12-06T00:00:00"/>
    <m/>
    <d v="1899-12-30T08:00:00"/>
    <s v="0500"/>
    <s v="1500"/>
    <s v="1300"/>
    <s v="0200"/>
    <s v="2100"/>
    <s v="D. Rodriguez"/>
    <s v="T. White"/>
    <n v="45"/>
    <n v="32"/>
    <n v="4"/>
    <m/>
    <m/>
    <m/>
    <m/>
    <m/>
    <x v="0"/>
    <n v="198"/>
    <n v="1"/>
    <n v="1"/>
  </r>
  <r>
    <m/>
    <s v="Machinery and Machine Guarding Standards (Global Online) "/>
    <s v="A-493-0073"/>
    <s v="714S"/>
    <s v="Global Online"/>
    <d v="2024-11-25T00:00:00"/>
    <d v="2024-11-29T00:00:00"/>
    <m/>
    <d v="1899-12-30T08:00:00"/>
    <s v="0500"/>
    <s v="1500"/>
    <s v="1300"/>
    <s v="0200"/>
    <s v="2100"/>
    <s v="SOH Contractor"/>
    <m/>
    <n v="30"/>
    <n v="32"/>
    <n v="4"/>
    <m/>
    <m/>
    <m/>
    <m/>
    <m/>
    <x v="0"/>
    <n v="191"/>
    <n v="1"/>
    <n v="1"/>
  </r>
  <r>
    <m/>
    <s v="Navy Ergonomics Program (Global Online)"/>
    <s v="A-493-0085"/>
    <n v="3555"/>
    <s v="Global Online"/>
    <d v="2025-01-13T00:00:00"/>
    <d v="2025-01-16T00:00:00"/>
    <m/>
    <d v="1899-12-30T12:00:00"/>
    <s v="0900"/>
    <s v="1900"/>
    <s v="1700"/>
    <s v="0600"/>
    <s v="0100"/>
    <m/>
    <m/>
    <n v="45"/>
    <n v="32"/>
    <n v="4"/>
    <m/>
    <m/>
    <m/>
    <m/>
    <m/>
    <x v="0"/>
    <n v="239"/>
    <n v="1"/>
    <n v="1"/>
  </r>
  <r>
    <m/>
    <s v="Navy Ergonomics Program (Global Online)"/>
    <s v="A-493-0085"/>
    <n v="3555"/>
    <s v="Global Online"/>
    <d v="2025-02-03T00:00:00"/>
    <d v="2025-02-06T00:00:00"/>
    <m/>
    <d v="1899-12-30T12:00:00"/>
    <s v="0900"/>
    <s v="1900"/>
    <s v="1700"/>
    <s v="0600"/>
    <s v="0100"/>
    <m/>
    <m/>
    <n v="45"/>
    <n v="32"/>
    <n v="4"/>
    <m/>
    <m/>
    <m/>
    <m/>
    <m/>
    <x v="0"/>
    <n v="260"/>
    <n v="1"/>
    <n v="1"/>
  </r>
  <r>
    <m/>
    <s v="Navy Ergonomics Program (Global Online)"/>
    <s v="A-493-0085"/>
    <n v="3555"/>
    <s v="Global Online"/>
    <d v="2025-02-24T00:00:00"/>
    <d v="2025-02-27T00:00:00"/>
    <m/>
    <d v="1899-12-30T12:00:00"/>
    <s v="0900"/>
    <s v="1900"/>
    <s v="1700"/>
    <s v="0600"/>
    <s v="0100"/>
    <m/>
    <m/>
    <n v="45"/>
    <n v="32"/>
    <n v="4"/>
    <m/>
    <m/>
    <m/>
    <m/>
    <m/>
    <x v="0"/>
    <n v="281"/>
    <n v="1"/>
    <n v="1"/>
  </r>
  <r>
    <m/>
    <s v="Navy Ergonomics Program (Global Online)"/>
    <s v="A-493-0085"/>
    <n v="3555"/>
    <s v="Global Online"/>
    <d v="2025-03-10T00:00:00"/>
    <d v="2025-03-13T00:00:00"/>
    <m/>
    <d v="1899-12-30T12:00:00"/>
    <s v="0900"/>
    <s v="1900"/>
    <s v="1700"/>
    <s v="0600"/>
    <s v="0100"/>
    <m/>
    <m/>
    <n v="45"/>
    <n v="32"/>
    <n v="4"/>
    <m/>
    <m/>
    <m/>
    <m/>
    <m/>
    <x v="0"/>
    <n v="295"/>
    <n v="1"/>
    <n v="1"/>
  </r>
  <r>
    <m/>
    <s v="Navy Ergonomics Program (Global Online)"/>
    <s v="A-493-0085"/>
    <n v="3555"/>
    <s v="Global Online"/>
    <d v="2025-03-31T00:00:00"/>
    <d v="2025-04-03T00:00:00"/>
    <m/>
    <d v="1899-12-30T12:00:00"/>
    <m/>
    <m/>
    <m/>
    <m/>
    <m/>
    <m/>
    <m/>
    <n v="45"/>
    <n v="32"/>
    <n v="4"/>
    <m/>
    <m/>
    <m/>
    <m/>
    <m/>
    <x v="0"/>
    <n v="316"/>
    <n v="1"/>
    <n v="1"/>
  </r>
  <r>
    <m/>
    <s v="Navy Ergonomics Program (Global Online)"/>
    <s v="A-493-0085"/>
    <n v="3555"/>
    <s v="Global Online"/>
    <d v="2025-05-05T00:00:00"/>
    <d v="2025-05-08T00:00:00"/>
    <m/>
    <d v="1899-12-30T12:00:00"/>
    <m/>
    <m/>
    <m/>
    <m/>
    <m/>
    <m/>
    <m/>
    <n v="45"/>
    <n v="32"/>
    <n v="4"/>
    <m/>
    <m/>
    <m/>
    <m/>
    <m/>
    <x v="0"/>
    <n v="351"/>
    <n v="1"/>
    <n v="1"/>
  </r>
  <r>
    <m/>
    <s v="Navy Ergonomics Program (Global Online)"/>
    <s v="A-493-0085"/>
    <n v="3555"/>
    <s v="Global Online"/>
    <d v="2025-05-27T00:00:00"/>
    <d v="2025-05-30T00:00:00"/>
    <m/>
    <d v="1899-12-30T12:00:00"/>
    <m/>
    <m/>
    <m/>
    <m/>
    <m/>
    <m/>
    <m/>
    <n v="45"/>
    <n v="32"/>
    <n v="4"/>
    <m/>
    <m/>
    <m/>
    <m/>
    <m/>
    <x v="0"/>
    <n v="373"/>
    <n v="1"/>
    <n v="1"/>
  </r>
  <r>
    <m/>
    <s v="Navy Ergonomics Program (Global Online)"/>
    <s v="A-493-0085"/>
    <n v="3555"/>
    <s v="Global Online"/>
    <d v="2025-06-09T00:00:00"/>
    <d v="2025-06-12T00:00:00"/>
    <m/>
    <d v="1899-12-30T12:00:00"/>
    <m/>
    <m/>
    <m/>
    <m/>
    <m/>
    <m/>
    <m/>
    <n v="45"/>
    <n v="32"/>
    <n v="4"/>
    <m/>
    <m/>
    <m/>
    <m/>
    <m/>
    <x v="0"/>
    <n v="386"/>
    <n v="1"/>
    <n v="1"/>
  </r>
  <r>
    <m/>
    <s v="Navy Ergonomics Program (Global Online)"/>
    <s v="A-493-0085"/>
    <n v="3555"/>
    <s v="Global Online"/>
    <d v="2025-06-23T00:00:00"/>
    <d v="2025-06-26T00:00:00"/>
    <m/>
    <d v="1899-12-30T12:00:00"/>
    <m/>
    <m/>
    <m/>
    <m/>
    <m/>
    <m/>
    <m/>
    <n v="45"/>
    <n v="32"/>
    <n v="4"/>
    <m/>
    <m/>
    <m/>
    <m/>
    <m/>
    <x v="0"/>
    <n v="400"/>
    <n v="1"/>
    <n v="1"/>
  </r>
  <r>
    <m/>
    <s v="Navy Ergonomics Program (Global Online)"/>
    <s v="A-493-0085"/>
    <n v="3555"/>
    <s v="Global Online"/>
    <d v="2025-07-28T00:00:00"/>
    <d v="2025-07-31T00:00:00"/>
    <m/>
    <d v="1899-12-30T12:00:00"/>
    <m/>
    <m/>
    <m/>
    <m/>
    <m/>
    <m/>
    <m/>
    <n v="45"/>
    <n v="32"/>
    <n v="4"/>
    <m/>
    <m/>
    <m/>
    <m/>
    <m/>
    <x v="0"/>
    <n v="435"/>
    <n v="1"/>
    <n v="1"/>
  </r>
  <r>
    <m/>
    <s v="Navy Ergonomics Program (Global Online)"/>
    <s v="A-493-0085"/>
    <n v="3555"/>
    <s v="Global Online"/>
    <d v="2025-08-11T00:00:00"/>
    <d v="2025-08-14T00:00:00"/>
    <m/>
    <d v="1899-12-30T12:00:00"/>
    <m/>
    <m/>
    <m/>
    <m/>
    <m/>
    <m/>
    <m/>
    <n v="45"/>
    <n v="32"/>
    <n v="4"/>
    <m/>
    <m/>
    <m/>
    <m/>
    <m/>
    <x v="0"/>
    <n v="449"/>
    <n v="1"/>
    <n v="1"/>
  </r>
  <r>
    <m/>
    <s v="Navy Ergonomics Program (Global Online)"/>
    <s v="A-493-0085"/>
    <n v="3555"/>
    <s v="Global Online"/>
    <d v="2025-08-25T00:00:00"/>
    <d v="2025-08-28T00:00:00"/>
    <m/>
    <d v="1899-12-30T12:00:00"/>
    <m/>
    <m/>
    <m/>
    <m/>
    <m/>
    <m/>
    <m/>
    <n v="45"/>
    <n v="32"/>
    <n v="4"/>
    <m/>
    <m/>
    <m/>
    <m/>
    <m/>
    <x v="0"/>
    <n v="463"/>
    <n v="1"/>
    <n v="1"/>
  </r>
  <r>
    <m/>
    <s v="Navy Ergonomics Program (Global Online)"/>
    <s v="A-493-0085"/>
    <n v="3555"/>
    <s v="Global Online"/>
    <d v="2025-09-08T00:00:00"/>
    <d v="2025-09-11T00:00:00"/>
    <m/>
    <d v="1899-12-30T12:00:00"/>
    <m/>
    <m/>
    <m/>
    <m/>
    <m/>
    <m/>
    <m/>
    <n v="45"/>
    <n v="32"/>
    <n v="4"/>
    <m/>
    <m/>
    <m/>
    <m/>
    <m/>
    <x v="0"/>
    <n v="477"/>
    <n v="1"/>
    <n v="1"/>
  </r>
  <r>
    <m/>
    <s v="Navy Ergonomics Program (Global Online)"/>
    <s v="A-493-0085"/>
    <n v="3555"/>
    <s v="Global Online"/>
    <d v="2025-09-22T00:00:00"/>
    <d v="2025-09-25T00:00:00"/>
    <m/>
    <d v="1899-12-30T12:00:00"/>
    <m/>
    <m/>
    <m/>
    <m/>
    <m/>
    <m/>
    <m/>
    <n v="45"/>
    <n v="32"/>
    <n v="4"/>
    <m/>
    <m/>
    <m/>
    <m/>
    <m/>
    <x v="0"/>
    <n v="491"/>
    <n v="1"/>
    <n v="1"/>
  </r>
  <r>
    <m/>
    <s v="Oil Hazardous Substance Spill Response Tabletop Exercise (OHS TTX)"/>
    <s v="A-493-2501"/>
    <s v="05ZE"/>
    <s v="Annapolis, MD"/>
    <d v="2025-07-08T00:00:00"/>
    <d v="2025-07-08T00:00:00"/>
    <d v="1899-12-30T08:00:00"/>
    <m/>
    <m/>
    <m/>
    <m/>
    <m/>
    <m/>
    <s v="ENV Contractor"/>
    <m/>
    <n v="30"/>
    <n v="8"/>
    <n v="1"/>
    <m/>
    <m/>
    <m/>
    <m/>
    <m/>
    <x v="0"/>
    <n v="412"/>
    <n v="1"/>
    <n v="1"/>
  </r>
  <r>
    <m/>
    <s v="Oil Hazardous Substance Spill Response Tabletop Exercise (OHS TTX)"/>
    <s v="A-493-2501"/>
    <s v="05ZE"/>
    <s v="Atsugi, Japan"/>
    <d v="2025-03-14T00:00:00"/>
    <d v="2025-03-14T00:00:00"/>
    <d v="1899-12-30T08:00:00"/>
    <m/>
    <m/>
    <m/>
    <m/>
    <m/>
    <m/>
    <s v="ENV Contractor"/>
    <m/>
    <n v="30"/>
    <n v="8"/>
    <n v="1"/>
    <m/>
    <m/>
    <m/>
    <m/>
    <m/>
    <x v="0"/>
    <n v="296"/>
    <n v="1"/>
    <n v="1"/>
  </r>
  <r>
    <m/>
    <s v="Oil Hazardous Substance Spill Response Tabletop Exercise (OHS TTX)"/>
    <s v="A-493-2501"/>
    <s v="05ZE"/>
    <s v="Bangor, WA"/>
    <d v="2025-04-18T00:00:00"/>
    <d v="2025-04-18T00:00:00"/>
    <d v="1899-12-30T08:00:00"/>
    <m/>
    <m/>
    <m/>
    <m/>
    <m/>
    <m/>
    <s v="ENV Contractor"/>
    <m/>
    <n v="30"/>
    <n v="8"/>
    <n v="1"/>
    <m/>
    <m/>
    <m/>
    <m/>
    <m/>
    <x v="0"/>
    <n v="331"/>
    <n v="1"/>
    <n v="1"/>
  </r>
  <r>
    <m/>
    <s v="Oil Hazardous Substance Spill Response Tabletop Exercise (OHS TTX)"/>
    <s v="A-493-2501"/>
    <s v="05ZE"/>
    <s v="Bremerton, WA"/>
    <d v="2025-07-01T00:00:00"/>
    <d v="2025-07-01T00:00:00"/>
    <d v="1899-12-30T08:00:00"/>
    <m/>
    <m/>
    <m/>
    <m/>
    <m/>
    <m/>
    <s v="ENV Contractor"/>
    <m/>
    <n v="30"/>
    <n v="8"/>
    <n v="1"/>
    <m/>
    <m/>
    <m/>
    <m/>
    <m/>
    <x v="0"/>
    <n v="405"/>
    <n v="1"/>
    <n v="1"/>
  </r>
  <r>
    <m/>
    <s v="Oil Hazardous Substance Spill Response Tabletop Exercise (OHS TTX)"/>
    <s v="A-493-2501"/>
    <s v="05ZE"/>
    <s v="Colts Neck, NJ"/>
    <d v="2025-07-10T00:00:00"/>
    <d v="2025-07-10T00:00:00"/>
    <d v="1899-12-30T08:00:00"/>
    <m/>
    <m/>
    <m/>
    <m/>
    <m/>
    <m/>
    <s v="ENV Contractor"/>
    <m/>
    <n v="30"/>
    <n v="8"/>
    <n v="1"/>
    <m/>
    <m/>
    <m/>
    <m/>
    <m/>
    <x v="0"/>
    <n v="414"/>
    <n v="1"/>
    <n v="1"/>
  </r>
  <r>
    <m/>
    <s v="Oil Hazardous Substance Spill Response Tabletop Exercise (OHS TTX)"/>
    <s v="A-493-2501"/>
    <s v="05ZE"/>
    <s v="Coronado, CA"/>
    <d v="2025-07-09T00:00:00"/>
    <d v="2025-07-09T00:00:00"/>
    <d v="1899-12-30T08:00:00"/>
    <m/>
    <m/>
    <m/>
    <m/>
    <m/>
    <m/>
    <s v="ENV Contractor"/>
    <m/>
    <n v="30"/>
    <n v="8"/>
    <n v="1"/>
    <m/>
    <m/>
    <m/>
    <m/>
    <m/>
    <x v="0"/>
    <n v="413"/>
    <n v="1"/>
    <n v="1"/>
  </r>
  <r>
    <m/>
    <s v="Oil Hazardous Substance Spill Response Tabletop Exercise (OHS TTX)"/>
    <s v="A-493-2501"/>
    <s v="05ZE"/>
    <s v="Crane, IN"/>
    <d v="2025-08-05T00:00:00"/>
    <d v="2025-08-05T00:00:00"/>
    <d v="1899-12-30T08:00:00"/>
    <m/>
    <m/>
    <m/>
    <m/>
    <m/>
    <m/>
    <s v="ENV Contractor"/>
    <m/>
    <n v="30"/>
    <n v="8"/>
    <n v="1"/>
    <m/>
    <m/>
    <m/>
    <m/>
    <m/>
    <x v="0"/>
    <n v="440"/>
    <n v="1"/>
    <n v="1"/>
  </r>
  <r>
    <s v="Naval Support Facility Diego Garcia (UIC: N68539)"/>
    <s v="Oil Hazardous Substance Spill Response Tabletop Exercise (OHS TTX)"/>
    <s v="A-493-2501"/>
    <s v="05ZE"/>
    <s v="Diego Garcia"/>
    <d v="2025-02-07T00:00:00"/>
    <d v="2025-02-07T00:00:00"/>
    <d v="1899-12-30T08:00:00"/>
    <m/>
    <m/>
    <m/>
    <m/>
    <m/>
    <m/>
    <s v="ENV Contractor"/>
    <m/>
    <n v="30"/>
    <n v="8"/>
    <n v="1"/>
    <m/>
    <m/>
    <m/>
    <m/>
    <m/>
    <x v="0"/>
    <n v="261"/>
    <n v="1"/>
    <n v="1"/>
  </r>
  <r>
    <m/>
    <s v="Oil Hazardous Substance Spill Response Tabletop Exercise (OHS TTX)"/>
    <s v="A-493-2501"/>
    <s v="05ZE"/>
    <s v="Groton, CT"/>
    <d v="2025-08-13T00:00:00"/>
    <d v="2025-08-13T00:00:00"/>
    <d v="1899-12-30T08:00:00"/>
    <m/>
    <m/>
    <m/>
    <m/>
    <m/>
    <m/>
    <s v="ENV Contractor"/>
    <m/>
    <n v="30"/>
    <n v="8"/>
    <n v="1"/>
    <m/>
    <m/>
    <m/>
    <m/>
    <m/>
    <x v="0"/>
    <n v="448"/>
    <n v="1"/>
    <n v="1"/>
  </r>
  <r>
    <m/>
    <s v="Oil Hazardous Substance Spill Response Tabletop Exercise (OHS TTX)"/>
    <s v="A-493-2501"/>
    <s v="05ZE"/>
    <s v="Indian Head, MD"/>
    <d v="2025-06-04T00:00:00"/>
    <d v="2025-06-04T00:00:00"/>
    <d v="1899-12-30T08:00:00"/>
    <m/>
    <m/>
    <m/>
    <m/>
    <m/>
    <m/>
    <s v="ENV Contractor"/>
    <m/>
    <n v="30"/>
    <n v="8"/>
    <n v="1"/>
    <m/>
    <m/>
    <m/>
    <m/>
    <m/>
    <x v="0"/>
    <n v="378"/>
    <n v="1"/>
    <n v="1"/>
  </r>
  <r>
    <m/>
    <s v="Oil Hazardous Substance Spill Response Tabletop Exercise (OHS TTX)"/>
    <s v="A-493-2501"/>
    <s v="05ZE"/>
    <s v="Little Creek, VA"/>
    <d v="2025-06-11T00:00:00"/>
    <d v="2025-06-11T00:00:00"/>
    <d v="1899-12-30T08:00:00"/>
    <m/>
    <m/>
    <m/>
    <m/>
    <m/>
    <m/>
    <s v="ENV Contractor"/>
    <m/>
    <n v="30"/>
    <n v="8"/>
    <n v="1"/>
    <m/>
    <m/>
    <m/>
    <m/>
    <m/>
    <x v="0"/>
    <n v="385"/>
    <n v="1"/>
    <n v="1"/>
  </r>
  <r>
    <m/>
    <s v="Oil Hazardous Substance Spill Response Tabletop Exercise (OHS TTX)"/>
    <s v="A-493-2501"/>
    <s v="05ZE"/>
    <s v="Newport, RI"/>
    <d v="2025-08-26T00:00:00"/>
    <d v="2025-08-26T00:00:00"/>
    <d v="1899-12-30T08:00:00"/>
    <m/>
    <m/>
    <m/>
    <m/>
    <m/>
    <m/>
    <s v="ENV Contractor"/>
    <m/>
    <n v="30"/>
    <n v="8"/>
    <n v="1"/>
    <m/>
    <m/>
    <m/>
    <m/>
    <m/>
    <x v="0"/>
    <n v="461"/>
    <n v="1"/>
    <n v="1"/>
  </r>
  <r>
    <m/>
    <s v="Oil Hazardous Substance Spill Response Tabletop Exercise (OHS TTX)"/>
    <s v="A-493-2501"/>
    <s v="05ZE"/>
    <s v="Norfolk, VA Classroom 1"/>
    <d v="2025-06-10T00:00:00"/>
    <d v="2025-06-10T00:00:00"/>
    <d v="1899-12-30T08:00:00"/>
    <m/>
    <m/>
    <m/>
    <m/>
    <m/>
    <m/>
    <s v="ENV Contractor"/>
    <m/>
    <n v="30"/>
    <n v="8"/>
    <n v="1"/>
    <m/>
    <m/>
    <m/>
    <m/>
    <m/>
    <x v="0"/>
    <n v="384"/>
    <n v="1"/>
    <n v="1"/>
  </r>
  <r>
    <m/>
    <s v="Oil Hazardous Substance Spill Response Tabletop Exercise (OHS TTX)"/>
    <s v="A-493-2501"/>
    <s v="05ZE"/>
    <s v="Okinawa, Japan"/>
    <d v="2025-05-09T00:00:00"/>
    <d v="2025-05-09T00:00:00"/>
    <d v="1899-12-30T08:00:00"/>
    <m/>
    <m/>
    <m/>
    <m/>
    <m/>
    <m/>
    <s v="ENV Contractor"/>
    <m/>
    <n v="30"/>
    <n v="8"/>
    <n v="1"/>
    <m/>
    <m/>
    <m/>
    <m/>
    <m/>
    <x v="0"/>
    <n v="352"/>
    <n v="1"/>
    <n v="1"/>
  </r>
  <r>
    <m/>
    <s v="Oil Hazardous Substance Spill Response Tabletop Exercise (OHS TTX)"/>
    <s v="A-493-2501"/>
    <s v="05ZE"/>
    <s v="Pax River, MD"/>
    <d v="2025-06-06T00:00:00"/>
    <d v="2025-06-06T00:00:00"/>
    <d v="1899-12-30T08:00:00"/>
    <m/>
    <m/>
    <m/>
    <m/>
    <m/>
    <m/>
    <s v="ENV Contractor"/>
    <m/>
    <n v="30"/>
    <n v="8"/>
    <n v="1"/>
    <m/>
    <m/>
    <m/>
    <m/>
    <m/>
    <x v="0"/>
    <n v="380"/>
    <n v="1"/>
    <n v="1"/>
  </r>
  <r>
    <m/>
    <s v="Oil Hazardous Substance Spill Response Tabletop Exercise (OHS TTX)"/>
    <s v="A-493-2501"/>
    <s v="05ZE"/>
    <s v="Pearl Harbor, HI"/>
    <d v="2025-01-24T00:00:00"/>
    <d v="2025-01-24T00:00:00"/>
    <d v="1899-12-30T08:00:00"/>
    <m/>
    <m/>
    <m/>
    <m/>
    <m/>
    <m/>
    <s v="ENV Contractor"/>
    <m/>
    <n v="30"/>
    <n v="8"/>
    <n v="1"/>
    <m/>
    <m/>
    <m/>
    <m/>
    <m/>
    <x v="0"/>
    <n v="247"/>
    <n v="1"/>
    <n v="1"/>
  </r>
  <r>
    <m/>
    <s v="Oil Hazardous Substance Spill Response Tabletop Exercise (OHS TTX)"/>
    <s v="A-493-2501"/>
    <s v="05ZE"/>
    <s v="Great Lakes, IL"/>
    <d v="2025-08-07T00:00:00"/>
    <d v="2025-08-07T00:00:00"/>
    <d v="1899-12-30T08:00:00"/>
    <m/>
    <m/>
    <m/>
    <m/>
    <m/>
    <m/>
    <s v="ENV Contractor"/>
    <m/>
    <n v="30"/>
    <n v="8"/>
    <n v="1"/>
    <m/>
    <m/>
    <m/>
    <m/>
    <m/>
    <x v="0"/>
    <n v="442"/>
    <n v="1"/>
    <n v="1"/>
  </r>
  <r>
    <m/>
    <s v="Oil Hazardous Substance Spill Response Tabletop Exercise (OHS TTX)"/>
    <s v="A-493-2501"/>
    <s v="05ZE"/>
    <s v="Portsmouth, NH"/>
    <d v="2025-08-15T00:00:00"/>
    <d v="2025-08-15T00:00:00"/>
    <d v="1899-12-30T08:00:00"/>
    <m/>
    <m/>
    <m/>
    <m/>
    <m/>
    <m/>
    <s v="ENV Contractor"/>
    <m/>
    <n v="30"/>
    <n v="8"/>
    <n v="1"/>
    <m/>
    <m/>
    <m/>
    <m/>
    <m/>
    <x v="0"/>
    <n v="450"/>
    <n v="1"/>
    <n v="1"/>
  </r>
  <r>
    <m/>
    <s v="Oil Hazardous Substance Spill Response Tabletop Exercise (OHS TTX)"/>
    <s v="A-493-2501"/>
    <s v="05ZE"/>
    <s v="Sasebo, Japan"/>
    <d v="2025-04-11T00:00:00"/>
    <d v="2025-04-11T00:00:00"/>
    <d v="1899-12-30T08:00:00"/>
    <m/>
    <m/>
    <m/>
    <m/>
    <m/>
    <m/>
    <s v="ENV Contractor"/>
    <m/>
    <n v="30"/>
    <n v="8"/>
    <n v="1"/>
    <m/>
    <m/>
    <m/>
    <m/>
    <m/>
    <x v="0"/>
    <n v="324"/>
    <n v="1"/>
    <n v="1"/>
  </r>
  <r>
    <s v="Singapore Area Coordinator"/>
    <s v="Oil Hazardous Substance Spill Response Tabletop Exercise (OHS TTX)"/>
    <s v="A-493-2501"/>
    <s v="05ZE"/>
    <s v="Singapore"/>
    <d v="2025-02-11T00:00:00"/>
    <d v="2025-02-11T00:00:00"/>
    <d v="1899-12-30T08:00:00"/>
    <m/>
    <m/>
    <m/>
    <m/>
    <m/>
    <m/>
    <s v="ENV Contractor"/>
    <m/>
    <n v="30"/>
    <n v="8"/>
    <n v="1"/>
    <m/>
    <m/>
    <m/>
    <m/>
    <m/>
    <x v="0"/>
    <n v="265"/>
    <n v="1"/>
    <n v="1"/>
  </r>
  <r>
    <m/>
    <s v="Oil Hazardous Substance Spill Response Tabletop Exercise (OHS TTX)"/>
    <s v="A-493-2501"/>
    <s v="05ZE"/>
    <s v="Yokosuka, Japan"/>
    <d v="2025-03-20T00:00:00"/>
    <d v="2025-03-20T00:00:00"/>
    <d v="1899-12-30T08:00:00"/>
    <m/>
    <m/>
    <m/>
    <m/>
    <m/>
    <m/>
    <s v="ENV Contractor"/>
    <m/>
    <n v="30"/>
    <n v="8"/>
    <n v="1"/>
    <m/>
    <m/>
    <m/>
    <m/>
    <m/>
    <x v="0"/>
    <n v="302"/>
    <n v="1"/>
    <n v="1"/>
  </r>
  <r>
    <s v="Yorktown NWS (NCRSE)"/>
    <s v="Oil Hazardous Substance Spill Response Tabletop Exercise (OHS TTX)"/>
    <s v="A-493-2501"/>
    <s v="05ZE"/>
    <s v="Yorktown, VA"/>
    <d v="2025-06-12T00:00:00"/>
    <d v="2025-06-12T00:00:00"/>
    <d v="1899-12-30T08:00:00"/>
    <m/>
    <m/>
    <m/>
    <m/>
    <m/>
    <m/>
    <s v="ENV Contractor"/>
    <m/>
    <n v="30"/>
    <n v="8"/>
    <n v="1"/>
    <m/>
    <m/>
    <m/>
    <m/>
    <m/>
    <x v="0"/>
    <n v="386"/>
    <n v="1"/>
    <n v="1"/>
  </r>
  <r>
    <s v="PDS Prep Week"/>
    <s v="Professional Development Symposium"/>
    <s v="PDS"/>
    <s v="PDS"/>
    <m/>
    <d v="2025-04-14T00:00:00"/>
    <d v="2025-04-18T00:00:00"/>
    <m/>
    <m/>
    <m/>
    <m/>
    <m/>
    <m/>
    <m/>
    <m/>
    <m/>
    <n v="0"/>
    <n v="0"/>
    <n v="0"/>
    <m/>
    <m/>
    <m/>
    <m/>
    <m/>
    <x v="0"/>
    <n v="331"/>
    <n v="1"/>
    <n v="1"/>
  </r>
  <r>
    <s v="PDS Week"/>
    <s v="Professional Development Symposium"/>
    <s v="PDS"/>
    <s v="PDS"/>
    <m/>
    <d v="2025-04-21T00:00:00"/>
    <d v="2025-04-26T00:00:00"/>
    <m/>
    <m/>
    <m/>
    <m/>
    <m/>
    <m/>
    <m/>
    <m/>
    <m/>
    <n v="0"/>
    <n v="0"/>
    <n v="0"/>
    <m/>
    <m/>
    <m/>
    <m/>
    <m/>
    <x v="0"/>
    <n v="339"/>
    <n v="1"/>
    <n v="1"/>
  </r>
  <r>
    <m/>
    <s v="Mishap Investigation (Global Online) "/>
    <s v="A-493-0078"/>
    <n v="1228"/>
    <s v="Global Online"/>
    <d v="2024-10-07T00:00:00"/>
    <d v="2024-10-11T00:00:00"/>
    <m/>
    <d v="1899-12-30T10:00:00"/>
    <d v="1899-12-30T07:00:00"/>
    <d v="1899-12-30T17:00:00"/>
    <d v="1899-12-30T15:00:00"/>
    <d v="1899-12-30T04:00:00"/>
    <d v="1899-12-30T23:00:00"/>
    <s v="T. White"/>
    <s v="D. Rodriguez"/>
    <n v="45"/>
    <n v="40"/>
    <n v="5"/>
    <m/>
    <m/>
    <m/>
    <m/>
    <m/>
    <x v="0"/>
    <n v="142"/>
    <n v="1"/>
    <n v="1"/>
  </r>
  <r>
    <m/>
    <s v="Respiratory Protection Program Management"/>
    <s v="A-493-0072"/>
    <s v="713U"/>
    <s v="Atsugi, Japan"/>
    <d v="2025-05-12T00:00:00"/>
    <d v="2025-05-16T00:00:00"/>
    <d v="1899-12-30T08:00:00"/>
    <m/>
    <m/>
    <m/>
    <m/>
    <m/>
    <m/>
    <m/>
    <m/>
    <n v="30"/>
    <n v="32"/>
    <n v="5"/>
    <m/>
    <m/>
    <m/>
    <m/>
    <m/>
    <x v="0"/>
    <n v="359"/>
    <n v="1"/>
    <n v="1"/>
  </r>
  <r>
    <m/>
    <s v="Respiratory Protection Program Management"/>
    <s v="A-493-0072"/>
    <s v="713U"/>
    <s v="Coronado, CA"/>
    <d v="2025-01-13T00:00:00"/>
    <d v="2025-01-17T00:00:00"/>
    <d v="1899-12-30T08:00:00"/>
    <m/>
    <m/>
    <m/>
    <m/>
    <m/>
    <m/>
    <m/>
    <m/>
    <n v="30"/>
    <n v="32"/>
    <n v="5"/>
    <m/>
    <m/>
    <m/>
    <m/>
    <m/>
    <x v="0"/>
    <n v="240"/>
    <n v="1"/>
    <n v="1"/>
  </r>
  <r>
    <m/>
    <s v="Respiratory Protection Program Management"/>
    <s v="A-493-0072"/>
    <s v="713U"/>
    <s v="Everett, WA"/>
    <d v="2025-08-25T00:00:00"/>
    <d v="2025-08-29T00:00:00"/>
    <d v="1899-12-30T08:00:00"/>
    <m/>
    <m/>
    <m/>
    <m/>
    <m/>
    <m/>
    <m/>
    <m/>
    <n v="30"/>
    <n v="32"/>
    <n v="5"/>
    <m/>
    <m/>
    <m/>
    <m/>
    <m/>
    <x v="0"/>
    <n v="464"/>
    <n v="1"/>
    <n v="1"/>
  </r>
  <r>
    <m/>
    <s v="Mishap Investigation (Global Online) "/>
    <s v="A-493-0078"/>
    <n v="1228"/>
    <s v="Global Online"/>
    <d v="2024-10-28T00:00:00"/>
    <d v="2024-11-01T00:00:00"/>
    <m/>
    <d v="1899-12-30T08:00:00"/>
    <d v="1899-12-30T05:00:00"/>
    <d v="1899-12-30T15:00:00"/>
    <d v="1899-12-30T14:00:00"/>
    <d v="1899-12-30T02:00:00"/>
    <d v="1899-12-30T21:00:00"/>
    <s v="T. White"/>
    <s v="D. Rodriguez"/>
    <n v="45"/>
    <n v="40"/>
    <n v="5"/>
    <m/>
    <m/>
    <m/>
    <m/>
    <m/>
    <x v="0"/>
    <n v="163"/>
    <n v="1"/>
    <n v="1"/>
  </r>
  <r>
    <m/>
    <s v="Respiratory Protection Program Management"/>
    <s v="A-493-0072"/>
    <s v="713U"/>
    <s v="Iwakuni, Japan"/>
    <d v="2025-05-19T00:00:00"/>
    <d v="2025-05-23T00:00:00"/>
    <d v="1899-12-30T08:00:00"/>
    <m/>
    <m/>
    <m/>
    <m/>
    <m/>
    <m/>
    <m/>
    <m/>
    <n v="30"/>
    <n v="32"/>
    <n v="5"/>
    <m/>
    <m/>
    <m/>
    <m/>
    <m/>
    <x v="0"/>
    <n v="366"/>
    <n v="1"/>
    <n v="1"/>
  </r>
  <r>
    <m/>
    <s v="Respiratory Protection Program Management"/>
    <s v="A-493-0072"/>
    <s v="713U"/>
    <s v="Jacksonville, FL"/>
    <d v="2025-07-07T00:00:00"/>
    <d v="2025-07-11T00:00:00"/>
    <d v="1899-12-30T08:00:00"/>
    <m/>
    <m/>
    <m/>
    <m/>
    <m/>
    <m/>
    <m/>
    <m/>
    <n v="30"/>
    <n v="32"/>
    <n v="5"/>
    <m/>
    <m/>
    <m/>
    <m/>
    <m/>
    <x v="0"/>
    <n v="415"/>
    <n v="1"/>
    <n v="1"/>
  </r>
  <r>
    <m/>
    <s v="Respiratory Protection Program Management"/>
    <s v="A-493-0072"/>
    <s v="713U"/>
    <s v="Lemoore, CA"/>
    <d v="2025-01-27T00:00:00"/>
    <d v="2025-01-31T00:00:00"/>
    <d v="1899-12-30T08:00:00"/>
    <m/>
    <m/>
    <m/>
    <m/>
    <m/>
    <m/>
    <m/>
    <m/>
    <n v="30"/>
    <n v="32"/>
    <n v="5"/>
    <m/>
    <m/>
    <m/>
    <m/>
    <m/>
    <x v="0"/>
    <n v="254"/>
    <n v="1"/>
    <n v="1"/>
  </r>
  <r>
    <m/>
    <s v="Respiratory Protection Program Management"/>
    <s v="A-493-0072"/>
    <s v="713U"/>
    <s v="Lemoore, CA"/>
    <d v="2025-06-23T00:00:00"/>
    <d v="2025-06-27T00:00:00"/>
    <d v="1899-12-30T08:00:00"/>
    <m/>
    <m/>
    <m/>
    <m/>
    <m/>
    <m/>
    <m/>
    <m/>
    <n v="30"/>
    <n v="32"/>
    <n v="5"/>
    <m/>
    <m/>
    <m/>
    <m/>
    <m/>
    <x v="0"/>
    <n v="401"/>
    <n v="1"/>
    <n v="1"/>
  </r>
  <r>
    <m/>
    <s v="Respiratory Protection Program Management"/>
    <s v="A-493-0072"/>
    <s v="713U"/>
    <s v="Mayport, FL"/>
    <d v="2025-07-14T00:00:00"/>
    <d v="2025-07-18T00:00:00"/>
    <d v="1899-12-30T08:00:00"/>
    <m/>
    <m/>
    <m/>
    <m/>
    <m/>
    <m/>
    <m/>
    <m/>
    <n v="30"/>
    <n v="32"/>
    <n v="5"/>
    <m/>
    <m/>
    <m/>
    <m/>
    <m/>
    <x v="0"/>
    <n v="422"/>
    <n v="1"/>
    <n v="1"/>
  </r>
  <r>
    <m/>
    <s v="Respiratory Protection Program Management"/>
    <s v="A-493-0072"/>
    <s v="713U"/>
    <s v="New Orleans, LA"/>
    <d v="2025-03-03T00:00:00"/>
    <d v="2025-03-07T00:00:00"/>
    <d v="1899-12-30T08:00:00"/>
    <m/>
    <m/>
    <m/>
    <m/>
    <m/>
    <m/>
    <m/>
    <m/>
    <n v="30"/>
    <n v="32"/>
    <n v="5"/>
    <m/>
    <m/>
    <m/>
    <m/>
    <m/>
    <x v="0"/>
    <n v="289"/>
    <n v="1"/>
    <n v="1"/>
  </r>
  <r>
    <m/>
    <s v="Mishap Investigation (Global Online) "/>
    <s v="A-493-0078"/>
    <n v="1228"/>
    <s v="Global Online"/>
    <d v="2024-11-18T00:00:00"/>
    <d v="2024-11-22T00:00:00"/>
    <m/>
    <d v="1899-12-30T10:00:00"/>
    <s v="0700"/>
    <s v="1700"/>
    <s v="1500"/>
    <s v="0400"/>
    <s v="2300"/>
    <s v="T. White"/>
    <s v="D. Rodriguez"/>
    <n v="45"/>
    <n v="40"/>
    <n v="5"/>
    <m/>
    <m/>
    <m/>
    <m/>
    <m/>
    <x v="0"/>
    <n v="184"/>
    <n v="1"/>
    <n v="1"/>
  </r>
  <r>
    <m/>
    <s v="Mishap Investigation (Global Online) "/>
    <s v="A-493-0078"/>
    <n v="1228"/>
    <s v="Global Online"/>
    <d v="2024-12-09T00:00:00"/>
    <d v="2024-12-13T00:00:00"/>
    <m/>
    <d v="1899-12-30T08:00:00"/>
    <s v="0500"/>
    <s v="1500"/>
    <s v="1300"/>
    <s v="0200"/>
    <s v="2100"/>
    <s v="T. White"/>
    <s v="D. Rodriguez"/>
    <n v="45"/>
    <n v="40"/>
    <n v="5"/>
    <m/>
    <m/>
    <m/>
    <m/>
    <m/>
    <x v="0"/>
    <n v="205"/>
    <n v="1"/>
    <n v="1"/>
  </r>
  <r>
    <m/>
    <s v="Respiratory Protection Program Management"/>
    <s v="A-493-0072"/>
    <s v="713U"/>
    <s v="Norfolk, VA Classroom 2"/>
    <d v="2025-04-07T00:00:00"/>
    <d v="2025-04-11T00:00:00"/>
    <d v="1899-12-30T08:00:00"/>
    <m/>
    <m/>
    <m/>
    <m/>
    <m/>
    <m/>
    <m/>
    <m/>
    <n v="30"/>
    <n v="32"/>
    <n v="5"/>
    <m/>
    <m/>
    <m/>
    <m/>
    <m/>
    <x v="0"/>
    <n v="324"/>
    <n v="1"/>
    <n v="1"/>
  </r>
  <r>
    <m/>
    <s v="Respiratory Protection Program Management"/>
    <s v="A-493-0072"/>
    <s v="713U"/>
    <s v="Norfolk, VA Classroom 1"/>
    <d v="2025-04-28T00:00:00"/>
    <d v="2025-05-02T00:00:00"/>
    <d v="1899-12-30T08:00:00"/>
    <m/>
    <m/>
    <m/>
    <m/>
    <m/>
    <m/>
    <m/>
    <m/>
    <n v="30"/>
    <n v="32"/>
    <n v="5"/>
    <m/>
    <m/>
    <m/>
    <m/>
    <m/>
    <x v="0"/>
    <n v="345"/>
    <n v="1"/>
    <n v="1"/>
  </r>
  <r>
    <s v="Classroom needed"/>
    <s v="Respiratory Protection Program Management"/>
    <s v="A-493-0072"/>
    <s v="713U"/>
    <s v="Norfolk, VA"/>
    <d v="2025-08-04T00:00:00"/>
    <d v="2025-08-08T00:00:00"/>
    <d v="1899-12-30T08:00:00"/>
    <m/>
    <m/>
    <m/>
    <m/>
    <m/>
    <m/>
    <m/>
    <m/>
    <n v="30"/>
    <n v="32"/>
    <n v="5"/>
    <m/>
    <m/>
    <m/>
    <m/>
    <m/>
    <x v="0"/>
    <n v="443"/>
    <n v="1"/>
    <n v="1"/>
  </r>
  <r>
    <m/>
    <s v="Respiratory Protection Program Management"/>
    <s v="A-493-0072"/>
    <s v="713U"/>
    <s v="Pearl Harbor, HI"/>
    <d v="2025-01-06T00:00:00"/>
    <d v="2025-01-10T00:00:00"/>
    <d v="1899-12-30T08:00:00"/>
    <m/>
    <m/>
    <m/>
    <m/>
    <m/>
    <m/>
    <m/>
    <m/>
    <n v="30"/>
    <n v="32"/>
    <n v="5"/>
    <m/>
    <m/>
    <m/>
    <m/>
    <m/>
    <x v="0"/>
    <n v="233"/>
    <n v="1"/>
    <n v="1"/>
  </r>
  <r>
    <m/>
    <s v="Respiratory Protection Program Management"/>
    <s v="A-493-0072"/>
    <s v="713U"/>
    <s v="Pearl Harbor, HI"/>
    <d v="2025-09-15T00:00:00"/>
    <d v="2025-09-19T00:00:00"/>
    <d v="1899-12-30T08:00:00"/>
    <m/>
    <m/>
    <m/>
    <m/>
    <m/>
    <m/>
    <m/>
    <m/>
    <n v="30"/>
    <n v="32"/>
    <n v="5"/>
    <m/>
    <m/>
    <m/>
    <m/>
    <m/>
    <x v="0"/>
    <n v="485"/>
    <n v="1"/>
    <n v="1"/>
  </r>
  <r>
    <m/>
    <s v="Respiratory Protection Program Management"/>
    <s v="A-493-0072"/>
    <s v="713U"/>
    <s v="San Diego, CA"/>
    <d v="2025-02-03T00:00:00"/>
    <d v="2025-02-07T00:00:00"/>
    <d v="1899-12-30T08:00:00"/>
    <m/>
    <m/>
    <m/>
    <m/>
    <m/>
    <m/>
    <m/>
    <m/>
    <n v="30"/>
    <n v="32"/>
    <n v="5"/>
    <m/>
    <m/>
    <m/>
    <m/>
    <m/>
    <x v="0"/>
    <n v="261"/>
    <n v="1"/>
    <n v="1"/>
  </r>
  <r>
    <m/>
    <s v="Respiratory Protection Program Management"/>
    <s v="A-493-0072"/>
    <s v="713U"/>
    <s v="San Diego, CA"/>
    <d v="2025-03-17T00:00:00"/>
    <d v="2025-03-21T00:00:00"/>
    <d v="1899-12-30T08:00:00"/>
    <m/>
    <m/>
    <m/>
    <m/>
    <m/>
    <m/>
    <m/>
    <m/>
    <n v="30"/>
    <n v="32"/>
    <n v="5"/>
    <m/>
    <m/>
    <m/>
    <m/>
    <m/>
    <x v="0"/>
    <n v="303"/>
    <n v="1"/>
    <n v="1"/>
  </r>
  <r>
    <m/>
    <s v="Respiratory Protection Program Management"/>
    <s v="A-493-0072"/>
    <s v="713U"/>
    <s v="San Diego, CA"/>
    <d v="2025-09-08T00:00:00"/>
    <d v="2025-09-12T00:00:00"/>
    <d v="1899-12-30T08:00:00"/>
    <m/>
    <m/>
    <m/>
    <m/>
    <m/>
    <m/>
    <m/>
    <m/>
    <n v="30"/>
    <n v="32"/>
    <n v="5"/>
    <m/>
    <m/>
    <m/>
    <m/>
    <m/>
    <x v="0"/>
    <n v="478"/>
    <n v="1"/>
    <n v="1"/>
  </r>
  <r>
    <m/>
    <s v="Respiratory Protection Program Management"/>
    <s v="A-493-0072"/>
    <s v="713U"/>
    <s v="Virginia Beach, VA "/>
    <d v="2025-09-22T00:00:00"/>
    <d v="2025-09-26T00:00:00"/>
    <d v="1899-12-30T08:00:00"/>
    <m/>
    <m/>
    <m/>
    <m/>
    <m/>
    <m/>
    <m/>
    <m/>
    <n v="30"/>
    <n v="32"/>
    <n v="5"/>
    <m/>
    <m/>
    <m/>
    <m/>
    <m/>
    <x v="0"/>
    <n v="492"/>
    <n v="1"/>
    <n v="1"/>
  </r>
  <r>
    <m/>
    <s v="Respiratory Protection Program Management"/>
    <s v="A-493-0072"/>
    <s v="713U"/>
    <s v="Washington, DC"/>
    <d v="2025-07-28T00:00:00"/>
    <d v="2025-08-01T00:00:00"/>
    <d v="1899-12-30T08:00:00"/>
    <m/>
    <m/>
    <m/>
    <m/>
    <m/>
    <m/>
    <m/>
    <m/>
    <n v="30"/>
    <n v="32"/>
    <n v="5"/>
    <m/>
    <m/>
    <m/>
    <m/>
    <m/>
    <x v="0"/>
    <n v="436"/>
    <n v="1"/>
    <n v="1"/>
  </r>
  <r>
    <m/>
    <s v="Respiratory Protection Program Management"/>
    <s v="A-493-0072"/>
    <s v="713U"/>
    <s v="Whidbey Island, WA"/>
    <d v="2025-08-18T00:00:00"/>
    <d v="2025-08-22T00:00:00"/>
    <d v="1899-12-30T08:00:00"/>
    <m/>
    <m/>
    <m/>
    <m/>
    <m/>
    <m/>
    <m/>
    <m/>
    <n v="30"/>
    <n v="32"/>
    <n v="5"/>
    <m/>
    <m/>
    <m/>
    <m/>
    <m/>
    <x v="0"/>
    <n v="457"/>
    <n v="1"/>
    <n v="1"/>
  </r>
  <r>
    <m/>
    <s v="Respiratory Protection Program Management"/>
    <s v="A-493-0072"/>
    <s v="713U"/>
    <s v="Yokosuka, Japan"/>
    <d v="2025-02-24T00:00:00"/>
    <d v="2025-02-28T00:00:00"/>
    <d v="1899-12-30T08:00:00"/>
    <m/>
    <m/>
    <m/>
    <m/>
    <m/>
    <m/>
    <m/>
    <m/>
    <n v="30"/>
    <n v="32"/>
    <n v="5"/>
    <m/>
    <m/>
    <m/>
    <m/>
    <m/>
    <x v="0"/>
    <n v="282"/>
    <n v="1"/>
    <n v="1"/>
  </r>
  <r>
    <m/>
    <s v="Navy Ergonomics Program (Global Online)"/>
    <s v="A-493-0085"/>
    <n v="3555"/>
    <s v="Global Online"/>
    <d v="2024-10-07T00:00:00"/>
    <d v="2024-10-10T00:00:00"/>
    <m/>
    <d v="1899-12-30T12:00:00"/>
    <d v="1899-12-30T09:00:00"/>
    <d v="1899-12-30T19:00:00"/>
    <d v="1899-12-30T18:00:00"/>
    <d v="1899-12-30T06:00:00"/>
    <d v="1899-12-30T01:00:00"/>
    <m/>
    <m/>
    <n v="45"/>
    <n v="32"/>
    <n v="4"/>
    <m/>
    <m/>
    <m/>
    <m/>
    <m/>
    <x v="0"/>
    <n v="141"/>
    <n v="1"/>
    <n v="1"/>
  </r>
  <r>
    <s v="Need Location"/>
    <s v="Respiratory Protection Program Management"/>
    <s v="A-493-0072"/>
    <s v="713U"/>
    <m/>
    <d v="2025-06-02T00:00:00"/>
    <d v="2025-06-06T00:00:00"/>
    <d v="1899-12-30T08:00:00"/>
    <m/>
    <m/>
    <m/>
    <m/>
    <m/>
    <m/>
    <m/>
    <m/>
    <n v="30"/>
    <n v="32"/>
    <n v="5"/>
    <m/>
    <m/>
    <m/>
    <m/>
    <m/>
    <x v="0"/>
    <n v="380"/>
    <n v="1"/>
    <n v="1"/>
  </r>
  <r>
    <m/>
    <s v="Tank Managers "/>
    <s v="A-493-2017"/>
    <s v="12x3"/>
    <s v="Atsugi, Japan"/>
    <d v="2025-06-02T00:00:00"/>
    <d v="2025-06-06T00:00:00"/>
    <d v="1899-12-30T08:00:00"/>
    <m/>
    <m/>
    <m/>
    <m/>
    <m/>
    <m/>
    <s v="ENV Contractor"/>
    <m/>
    <n v="25"/>
    <n v="40"/>
    <n v="5"/>
    <m/>
    <m/>
    <m/>
    <m/>
    <m/>
    <x v="0"/>
    <n v="380"/>
    <n v="1"/>
    <n v="1"/>
  </r>
  <r>
    <m/>
    <s v="Tank Managers "/>
    <s v="A-493-2017"/>
    <s v="12x3"/>
    <s v="Baltimore, MD"/>
    <d v="2025-03-10T00:00:00"/>
    <d v="2025-03-14T00:00:00"/>
    <d v="1899-12-30T08:00:00"/>
    <m/>
    <m/>
    <m/>
    <m/>
    <m/>
    <m/>
    <s v="ENV Contractor"/>
    <m/>
    <n v="25"/>
    <n v="40"/>
    <n v="5"/>
    <m/>
    <m/>
    <m/>
    <m/>
    <m/>
    <x v="0"/>
    <n v="296"/>
    <n v="1"/>
    <n v="1"/>
  </r>
  <r>
    <m/>
    <s v="Navy Ergonomics Program (Global Online)"/>
    <s v="A-493-0085"/>
    <n v="3555"/>
    <s v="Global Online"/>
    <d v="2024-11-18T00:00:00"/>
    <d v="2024-11-21T00:00:00"/>
    <m/>
    <d v="1899-12-30T12:00:00"/>
    <s v="0900"/>
    <s v="1900"/>
    <s v="1700"/>
    <s v="0600"/>
    <s v="0100"/>
    <m/>
    <m/>
    <n v="45"/>
    <n v="32"/>
    <n v="4"/>
    <m/>
    <m/>
    <m/>
    <m/>
    <m/>
    <x v="0"/>
    <n v="183"/>
    <n v="1"/>
    <n v="1"/>
  </r>
  <r>
    <m/>
    <s v="Operational Risk Management Application &amp; Integration (Global Online)"/>
    <s v="A-570-0100"/>
    <s v="18B7"/>
    <s v="Global Online"/>
    <d v="2024-09-30T00:00:00"/>
    <d v="2024-10-03T00:00:00"/>
    <m/>
    <d v="1899-12-30T13:00:00"/>
    <m/>
    <m/>
    <m/>
    <m/>
    <m/>
    <s v="BMC Sosaya"/>
    <m/>
    <n v="45"/>
    <n v="16"/>
    <n v="4"/>
    <m/>
    <m/>
    <m/>
    <m/>
    <m/>
    <x v="7"/>
    <n v="1"/>
    <n v="1"/>
    <m/>
  </r>
  <r>
    <m/>
    <s v="Aviation Safety Specialist (Global Online) "/>
    <s v="A-493-0665"/>
    <s v="10KW"/>
    <s v="Global Online"/>
    <d v="2025-01-13T00:00:00"/>
    <d v="2025-01-17T00:00:00"/>
    <m/>
    <d v="1899-12-30T13:00:00"/>
    <m/>
    <m/>
    <m/>
    <m/>
    <m/>
    <s v="PG-LS1"/>
    <m/>
    <n v="45"/>
    <n v="24"/>
    <n v="5"/>
    <m/>
    <m/>
    <m/>
    <m/>
    <m/>
    <x v="8"/>
    <n v="1"/>
    <n v="1"/>
    <m/>
  </r>
  <r>
    <m/>
    <s v="Aviation Safety Specialist (Global Online) "/>
    <s v="A-493-0665"/>
    <s v="10KW"/>
    <s v="Global Online"/>
    <d v="2025-02-03T00:00:00"/>
    <d v="2025-02-07T00:00:00"/>
    <m/>
    <d v="1899-12-30T08:00:00"/>
    <m/>
    <m/>
    <m/>
    <m/>
    <m/>
    <s v="PG-LS1"/>
    <m/>
    <n v="45"/>
    <n v="24"/>
    <n v="5"/>
    <m/>
    <m/>
    <m/>
    <m/>
    <m/>
    <x v="9"/>
    <n v="1"/>
    <n v="1"/>
    <m/>
  </r>
  <r>
    <m/>
    <s v="Aviation Safety Specialist (Global Online) "/>
    <s v="A-493-0665"/>
    <s v="10KW"/>
    <s v="Global Online"/>
    <d v="2025-03-23T00:00:00"/>
    <d v="2025-03-27T00:00:00"/>
    <m/>
    <d v="1899-12-30T19:00:00"/>
    <m/>
    <m/>
    <m/>
    <m/>
    <m/>
    <s v="PG-LS1"/>
    <m/>
    <n v="45"/>
    <n v="24"/>
    <n v="5"/>
    <m/>
    <m/>
    <m/>
    <m/>
    <m/>
    <x v="10"/>
    <n v="1"/>
    <n v="1"/>
    <m/>
  </r>
  <r>
    <m/>
    <s v="Aviation Safety Specialist (Global Online) "/>
    <s v="A-493-0665"/>
    <s v="10KW"/>
    <s v="Global Online"/>
    <d v="2025-04-28T00:00:00"/>
    <d v="2025-05-02T00:00:00"/>
    <m/>
    <d v="1899-12-30T13:00:00"/>
    <m/>
    <m/>
    <m/>
    <m/>
    <m/>
    <s v="PG-LS1"/>
    <m/>
    <n v="45"/>
    <n v="24"/>
    <n v="5"/>
    <m/>
    <m/>
    <m/>
    <m/>
    <m/>
    <x v="11"/>
    <n v="1"/>
    <n v="1"/>
    <m/>
  </r>
  <r>
    <m/>
    <s v="Aviation Safety Specialist (Global Online) "/>
    <s v="A-493-0665"/>
    <s v="10KW"/>
    <s v="Global Online"/>
    <d v="2025-05-19T00:00:00"/>
    <d v="2025-05-23T00:00:00"/>
    <m/>
    <d v="1899-12-30T08:00:00"/>
    <m/>
    <m/>
    <m/>
    <m/>
    <m/>
    <s v="PG-LS1"/>
    <m/>
    <n v="45"/>
    <n v="24"/>
    <n v="5"/>
    <m/>
    <m/>
    <m/>
    <m/>
    <m/>
    <x v="12"/>
    <n v="1"/>
    <n v="1"/>
    <m/>
  </r>
  <r>
    <m/>
    <s v="Aviation Safety Specialist (Global Online) "/>
    <s v="A-493-0665"/>
    <s v="10KW"/>
    <s v="Global Online"/>
    <d v="2025-06-22T00:00:00"/>
    <d v="2025-06-26T00:00:00"/>
    <m/>
    <d v="1899-12-30T19:00:00"/>
    <m/>
    <m/>
    <m/>
    <m/>
    <m/>
    <s v="PG-LS1"/>
    <m/>
    <n v="45"/>
    <n v="24"/>
    <n v="5"/>
    <m/>
    <m/>
    <m/>
    <m/>
    <m/>
    <x v="13"/>
    <n v="1"/>
    <n v="1"/>
    <m/>
  </r>
  <r>
    <m/>
    <s v="Aviation Safety Specialist (Global Online) "/>
    <s v="A-493-0665"/>
    <s v="10KW"/>
    <s v="Global Online"/>
    <d v="2025-07-14T00:00:00"/>
    <d v="2025-07-18T00:00:00"/>
    <m/>
    <d v="1899-12-30T13:00:00"/>
    <m/>
    <m/>
    <m/>
    <m/>
    <m/>
    <s v="PG-LS1"/>
    <m/>
    <n v="45"/>
    <n v="24"/>
    <n v="5"/>
    <m/>
    <m/>
    <m/>
    <m/>
    <m/>
    <x v="14"/>
    <n v="1"/>
    <n v="1"/>
    <m/>
  </r>
  <r>
    <m/>
    <s v="Aviation Safety Specialist (Global Online) "/>
    <s v="A-493-0665"/>
    <s v="10KW"/>
    <s v="Global Online"/>
    <d v="2025-08-11T00:00:00"/>
    <d v="2025-08-15T00:00:00"/>
    <m/>
    <d v="1899-12-30T08:00:00"/>
    <m/>
    <m/>
    <m/>
    <m/>
    <m/>
    <s v="PG-LS1"/>
    <m/>
    <n v="45"/>
    <n v="24"/>
    <n v="5"/>
    <m/>
    <m/>
    <m/>
    <m/>
    <m/>
    <x v="15"/>
    <n v="1"/>
    <n v="1"/>
    <m/>
  </r>
  <r>
    <m/>
    <s v="Aviation Safety Specialist (Global Online) "/>
    <s v="A-493-0665"/>
    <s v="10KW"/>
    <s v="Global Online"/>
    <d v="2025-09-21T00:00:00"/>
    <d v="2025-09-25T00:00:00"/>
    <m/>
    <d v="1899-12-30T19:00:00"/>
    <m/>
    <m/>
    <m/>
    <m/>
    <m/>
    <s v="PG-LS1"/>
    <m/>
    <n v="45"/>
    <n v="24"/>
    <n v="5"/>
    <m/>
    <m/>
    <m/>
    <m/>
    <m/>
    <x v="16"/>
    <n v="1"/>
    <n v="1"/>
    <m/>
  </r>
  <r>
    <m/>
    <s v="Operational Risk Management Application &amp; Integration (Global Online)"/>
    <s v="A-570-0100"/>
    <s v="18B7"/>
    <s v="Global Online"/>
    <d v="2024-10-20T00:00:00"/>
    <d v="2024-10-24T00:00:00"/>
    <m/>
    <d v="1899-12-30T19:00:00"/>
    <m/>
    <m/>
    <m/>
    <m/>
    <m/>
    <s v="BMC Sosaya"/>
    <m/>
    <n v="45"/>
    <n v="16"/>
    <n v="4"/>
    <m/>
    <m/>
    <m/>
    <m/>
    <m/>
    <x v="17"/>
    <n v="1"/>
    <n v="1"/>
    <m/>
  </r>
  <r>
    <m/>
    <s v="Operational Risk Management Application &amp; Integration (Global Online)"/>
    <s v="A-570-0100"/>
    <s v="18B7"/>
    <s v="Global Online"/>
    <d v="2024-11-18T00:00:00"/>
    <d v="2024-11-21T00:00:00"/>
    <m/>
    <d v="1899-12-30T08:00:00"/>
    <m/>
    <m/>
    <m/>
    <m/>
    <m/>
    <s v="BMC Sosaya"/>
    <m/>
    <n v="45"/>
    <n v="16"/>
    <n v="4"/>
    <m/>
    <m/>
    <m/>
    <m/>
    <m/>
    <x v="1"/>
    <n v="1"/>
    <n v="1"/>
    <m/>
  </r>
  <r>
    <m/>
    <s v="Operational Risk Management Application &amp; Integration (Global Online)"/>
    <s v="A-570-0100"/>
    <s v="18B7"/>
    <s v="Global Online"/>
    <d v="2024-12-02T00:00:00"/>
    <d v="2024-12-05T00:00:00"/>
    <m/>
    <d v="1899-12-30T13:00:00"/>
    <m/>
    <m/>
    <m/>
    <m/>
    <m/>
    <s v="BMC Sosaya"/>
    <m/>
    <n v="45"/>
    <n v="16"/>
    <n v="4"/>
    <m/>
    <m/>
    <m/>
    <m/>
    <m/>
    <x v="18"/>
    <n v="1"/>
    <n v="1"/>
    <m/>
  </r>
  <r>
    <m/>
    <s v="Respiratory Protection Program Management"/>
    <s v="A-493-0072"/>
    <s v="713U"/>
    <s v="Norfolk, VA Classroom 1"/>
    <d v="2024-09-30T00:00:00"/>
    <d v="2024-10-04T00:00:00"/>
    <d v="1899-12-30T08:00:00"/>
    <m/>
    <m/>
    <m/>
    <m/>
    <m/>
    <m/>
    <m/>
    <m/>
    <n v="30"/>
    <n v="32"/>
    <n v="5"/>
    <m/>
    <m/>
    <m/>
    <m/>
    <m/>
    <x v="0"/>
    <n v="135"/>
    <n v="1"/>
    <n v="1"/>
  </r>
  <r>
    <m/>
    <s v="Hazardous Material Control and Management [HMC&amp;M] Technician (Global Online)"/>
    <s v="A-322-2604"/>
    <s v="10ZZ"/>
    <s v="Global Online"/>
    <d v="2025-01-06T00:00:00"/>
    <d v="2025-01-10T00:00:00"/>
    <m/>
    <d v="1899-12-30T13:00:00"/>
    <m/>
    <m/>
    <m/>
    <m/>
    <m/>
    <s v="PG-LCS"/>
    <m/>
    <n v="45"/>
    <n v="24"/>
    <n v="5"/>
    <m/>
    <m/>
    <m/>
    <m/>
    <m/>
    <x v="19"/>
    <n v="1"/>
    <n v="1"/>
    <m/>
  </r>
  <r>
    <m/>
    <s v="Hazardous Material Control and Management [HMC&amp;M] Technician (Global Online)"/>
    <s v="A-322-2604"/>
    <s v="10ZZ"/>
    <s v="Global Online"/>
    <d v="2025-01-27T00:00:00"/>
    <d v="2025-01-31T00:00:00"/>
    <m/>
    <d v="1899-12-30T13:00:00"/>
    <m/>
    <m/>
    <m/>
    <m/>
    <m/>
    <s v="PG-LCS"/>
    <m/>
    <n v="45"/>
    <n v="24"/>
    <n v="5"/>
    <m/>
    <m/>
    <m/>
    <m/>
    <m/>
    <x v="20"/>
    <n v="1"/>
    <n v="1"/>
    <m/>
  </r>
  <r>
    <m/>
    <s v="Hazardous Material Control and Management [HMC&amp;M] Technician (Global Online)"/>
    <s v="A-322-2604"/>
    <s v="10ZZ"/>
    <s v="Global Online"/>
    <d v="2025-02-10T00:00:00"/>
    <d v="2025-02-14T00:00:00"/>
    <m/>
    <d v="1899-12-30T08:00:00"/>
    <m/>
    <m/>
    <m/>
    <m/>
    <m/>
    <s v="PG-LCS"/>
    <m/>
    <n v="45"/>
    <n v="24"/>
    <n v="5"/>
    <m/>
    <m/>
    <m/>
    <m/>
    <m/>
    <x v="21"/>
    <n v="1"/>
    <n v="1"/>
    <m/>
  </r>
  <r>
    <m/>
    <s v="Hazardous Material Control and Management [HMC&amp;M] Technician (Global Online)"/>
    <s v="A-322-2604"/>
    <s v="10ZZ"/>
    <s v="Global Online"/>
    <d v="2025-02-23T00:00:00"/>
    <d v="2025-02-27T00:00:00"/>
    <m/>
    <d v="1899-12-30T19:00:00"/>
    <m/>
    <m/>
    <m/>
    <m/>
    <m/>
    <s v="PG-LCS"/>
    <m/>
    <n v="45"/>
    <n v="24"/>
    <n v="5"/>
    <m/>
    <m/>
    <m/>
    <m/>
    <m/>
    <x v="22"/>
    <n v="1"/>
    <n v="1"/>
    <m/>
  </r>
  <r>
    <m/>
    <s v="Hazardous Material Control and Management [HMC&amp;M] Technician (Global Online)"/>
    <s v="A-322-2604"/>
    <s v="10ZZ"/>
    <s v="Global Online"/>
    <d v="2025-03-10T00:00:00"/>
    <d v="2025-03-14T00:00:00"/>
    <m/>
    <d v="1899-12-30T13:00:00"/>
    <m/>
    <m/>
    <m/>
    <m/>
    <m/>
    <s v="PG-LCS"/>
    <m/>
    <n v="45"/>
    <n v="24"/>
    <n v="5"/>
    <m/>
    <m/>
    <m/>
    <m/>
    <m/>
    <x v="23"/>
    <n v="1"/>
    <n v="1"/>
    <m/>
  </r>
  <r>
    <m/>
    <s v="Hazardous Material Control and Management [HMC&amp;M] Technician (Global Online)"/>
    <s v="A-322-2604"/>
    <s v="10ZZ"/>
    <s v="Global Online"/>
    <d v="2025-04-07T00:00:00"/>
    <d v="2025-04-11T00:00:00"/>
    <m/>
    <d v="1899-12-30T13:00:00"/>
    <m/>
    <m/>
    <m/>
    <m/>
    <m/>
    <s v="PG-LCS"/>
    <m/>
    <n v="45"/>
    <n v="24"/>
    <n v="5"/>
    <m/>
    <m/>
    <m/>
    <m/>
    <m/>
    <x v="24"/>
    <n v="1"/>
    <n v="1"/>
    <m/>
  </r>
  <r>
    <m/>
    <s v="Hazardous Material Control and Management [HMC&amp;M] Technician (Global Online)"/>
    <s v="A-322-2604"/>
    <s v="10ZZ"/>
    <s v="Global Online"/>
    <d v="2025-05-05T00:00:00"/>
    <d v="2025-05-09T00:00:00"/>
    <m/>
    <d v="1899-12-30T08:00:00"/>
    <m/>
    <m/>
    <m/>
    <m/>
    <m/>
    <s v="PG-LCS"/>
    <m/>
    <n v="45"/>
    <n v="24"/>
    <n v="5"/>
    <m/>
    <m/>
    <m/>
    <m/>
    <m/>
    <x v="25"/>
    <n v="1"/>
    <n v="1"/>
    <m/>
  </r>
  <r>
    <m/>
    <s v="Hazardous Material Control and Management [HMC&amp;M] Technician (Global Online)"/>
    <s v="A-322-2604"/>
    <s v="10ZZ"/>
    <s v="Global Online"/>
    <d v="2025-05-18T00:00:00"/>
    <d v="2025-05-22T00:00:00"/>
    <m/>
    <d v="1899-12-30T19:00:00"/>
    <m/>
    <m/>
    <m/>
    <m/>
    <m/>
    <s v="PG-LCS"/>
    <m/>
    <n v="45"/>
    <n v="24"/>
    <n v="5"/>
    <m/>
    <m/>
    <m/>
    <m/>
    <m/>
    <x v="26"/>
    <n v="1"/>
    <n v="1"/>
    <m/>
  </r>
  <r>
    <m/>
    <s v="Hazardous Material Control and Management [HMC&amp;M] Technician (Global Online)"/>
    <s v="A-322-2604"/>
    <s v="10ZZ"/>
    <s v="Global Online"/>
    <d v="2025-06-23T00:00:00"/>
    <d v="2025-06-27T00:00:00"/>
    <m/>
    <d v="1899-12-30T13:00:00"/>
    <m/>
    <m/>
    <m/>
    <m/>
    <m/>
    <s v="PG-LCS"/>
    <m/>
    <n v="45"/>
    <n v="24"/>
    <n v="5"/>
    <m/>
    <m/>
    <m/>
    <m/>
    <m/>
    <x v="27"/>
    <n v="1"/>
    <n v="1"/>
    <m/>
  </r>
  <r>
    <m/>
    <s v="Hazardous Material Control and Management [HMC&amp;M] Technician (Global Online)"/>
    <s v="A-322-2604"/>
    <s v="10ZZ"/>
    <s v="Global Online"/>
    <d v="2025-07-07T00:00:00"/>
    <d v="2025-07-11T00:00:00"/>
    <m/>
    <d v="1899-12-30T13:00:00"/>
    <m/>
    <m/>
    <m/>
    <m/>
    <m/>
    <s v="PG-LCS"/>
    <m/>
    <n v="45"/>
    <n v="24"/>
    <n v="5"/>
    <m/>
    <m/>
    <m/>
    <m/>
    <m/>
    <x v="28"/>
    <n v="1"/>
    <n v="1"/>
    <m/>
  </r>
  <r>
    <m/>
    <s v="Hazardous Material Control and Management [HMC&amp;M] Technician (Global Online)"/>
    <s v="A-322-2604"/>
    <s v="10ZZ"/>
    <s v="Global Online"/>
    <d v="2025-07-28T00:00:00"/>
    <d v="2025-08-01T00:00:00"/>
    <m/>
    <d v="1899-12-30T13:00:00"/>
    <m/>
    <m/>
    <m/>
    <m/>
    <m/>
    <s v="PG-LCS"/>
    <m/>
    <n v="45"/>
    <n v="24"/>
    <n v="5"/>
    <m/>
    <m/>
    <m/>
    <m/>
    <m/>
    <x v="29"/>
    <n v="1"/>
    <n v="1"/>
    <m/>
  </r>
  <r>
    <m/>
    <s v="Hazardous Material Control and Management [HMC&amp;M] Technician (Global Online)"/>
    <s v="A-322-2604"/>
    <s v="10ZZ"/>
    <s v="Global Online"/>
    <d v="2025-08-17T00:00:00"/>
    <d v="2025-08-21T00:00:00"/>
    <m/>
    <d v="1899-12-30T19:00:00"/>
    <m/>
    <m/>
    <m/>
    <m/>
    <m/>
    <s v="PG-LCS"/>
    <m/>
    <n v="45"/>
    <n v="24"/>
    <n v="5"/>
    <m/>
    <m/>
    <m/>
    <m/>
    <m/>
    <x v="30"/>
    <n v="1"/>
    <n v="1"/>
    <m/>
  </r>
  <r>
    <m/>
    <s v="Hazardous Material Control and Management [HMC&amp;M] Technician (Global Online)"/>
    <s v="A-322-2604"/>
    <s v="10ZZ"/>
    <s v="Global Online"/>
    <d v="2025-09-15T00:00:00"/>
    <d v="2025-09-19T00:00:00"/>
    <m/>
    <d v="1899-12-30T08:00:00"/>
    <m/>
    <m/>
    <m/>
    <m/>
    <m/>
    <s v="PG-LCS"/>
    <m/>
    <n v="45"/>
    <n v="24"/>
    <n v="5"/>
    <m/>
    <m/>
    <m/>
    <m/>
    <m/>
    <x v="31"/>
    <n v="1"/>
    <n v="1"/>
    <m/>
  </r>
  <r>
    <s v="Classroom Needed"/>
    <s v="Respiratory Protection Program Management"/>
    <s v="A-493-0072"/>
    <s v="713U"/>
    <s v="Norfolk, VA"/>
    <d v="2024-10-28T00:00:00"/>
    <d v="2024-11-01T00:00:00"/>
    <d v="1899-12-30T08:00:00"/>
    <m/>
    <m/>
    <m/>
    <m/>
    <m/>
    <m/>
    <m/>
    <m/>
    <n v="30"/>
    <n v="32"/>
    <n v="5"/>
    <m/>
    <m/>
    <m/>
    <m/>
    <m/>
    <x v="0"/>
    <n v="163"/>
    <n v="1"/>
    <n v="1"/>
  </r>
  <r>
    <m/>
    <s v="Respiratory Protection Program Management"/>
    <s v="A-493-0072"/>
    <s v="713U"/>
    <s v="Norfolk, VA Classroom 1"/>
    <d v="2024-11-18T00:00:00"/>
    <d v="2024-11-22T00:00:00"/>
    <d v="1899-12-30T08:00:00"/>
    <m/>
    <m/>
    <m/>
    <m/>
    <m/>
    <m/>
    <m/>
    <m/>
    <n v="30"/>
    <n v="32"/>
    <n v="5"/>
    <m/>
    <m/>
    <m/>
    <m/>
    <m/>
    <x v="0"/>
    <n v="184"/>
    <n v="1"/>
    <n v="1"/>
  </r>
  <r>
    <m/>
    <s v="Respiratory Protection Program Management"/>
    <s v="A-493-0072"/>
    <s v="713U"/>
    <s v="Gulfport, MS"/>
    <d v="2024-12-02T00:00:00"/>
    <d v="2024-12-06T00:00:00"/>
    <d v="1899-12-30T08:00:00"/>
    <m/>
    <m/>
    <m/>
    <m/>
    <m/>
    <m/>
    <m/>
    <m/>
    <n v="30"/>
    <n v="32"/>
    <n v="5"/>
    <m/>
    <m/>
    <m/>
    <m/>
    <m/>
    <x v="0"/>
    <n v="198"/>
    <n v="1"/>
    <n v="1"/>
  </r>
  <r>
    <s v="Need Location"/>
    <s v="Respiratory Protection Program Management"/>
    <s v="A-493-0072"/>
    <s v="713U"/>
    <m/>
    <d v="2024-12-09T00:00:00"/>
    <d v="2024-12-13T00:00:00"/>
    <d v="1899-12-30T08:00:00"/>
    <m/>
    <m/>
    <m/>
    <m/>
    <m/>
    <m/>
    <m/>
    <m/>
    <n v="30"/>
    <n v="32"/>
    <n v="5"/>
    <m/>
    <m/>
    <m/>
    <m/>
    <m/>
    <x v="0"/>
    <n v="205"/>
    <n v="1"/>
    <n v="1"/>
  </r>
  <r>
    <m/>
    <s v="Operational Risk Management Application &amp; Integration (Global Online)"/>
    <s v="A-570-0100"/>
    <s v="18B7"/>
    <s v="Global Online"/>
    <d v="2025-01-06T00:00:00"/>
    <d v="2025-01-09T00:00:00"/>
    <m/>
    <d v="1899-12-30T13:00:00"/>
    <m/>
    <m/>
    <m/>
    <m/>
    <m/>
    <s v="BMC Sosaya"/>
    <m/>
    <n v="45"/>
    <n v="16"/>
    <n v="4"/>
    <m/>
    <m/>
    <m/>
    <m/>
    <m/>
    <x v="32"/>
    <n v="1"/>
    <n v="1"/>
    <m/>
  </r>
  <r>
    <m/>
    <s v="Operational Risk Management Application &amp; Integration (Global Online)"/>
    <s v="A-570-0100"/>
    <s v="18B7"/>
    <s v="Global Online"/>
    <d v="2025-01-27T00:00:00"/>
    <d v="2025-01-30T00:00:00"/>
    <m/>
    <d v="1899-12-30T13:00:00"/>
    <m/>
    <m/>
    <m/>
    <m/>
    <m/>
    <s v="BMC Sosaya"/>
    <m/>
    <n v="45"/>
    <n v="16"/>
    <n v="4"/>
    <m/>
    <m/>
    <m/>
    <m/>
    <m/>
    <x v="33"/>
    <n v="1"/>
    <n v="1"/>
    <m/>
  </r>
  <r>
    <m/>
    <s v="Operational Risk Management Application &amp; Integration (Global Online)"/>
    <s v="A-570-0100"/>
    <s v="18B7"/>
    <s v="Global Online"/>
    <d v="2025-02-02T00:00:00"/>
    <d v="2025-02-05T00:00:00"/>
    <m/>
    <d v="1899-12-30T19:00:00"/>
    <m/>
    <m/>
    <m/>
    <m/>
    <m/>
    <s v="BMC Sosaya"/>
    <m/>
    <n v="45"/>
    <n v="16"/>
    <n v="4"/>
    <m/>
    <m/>
    <m/>
    <m/>
    <m/>
    <x v="34"/>
    <n v="1"/>
    <n v="1"/>
    <m/>
  </r>
  <r>
    <m/>
    <s v="Operational Risk Management Application &amp; Integration (Global Online)"/>
    <s v="A-570-0100"/>
    <s v="18B7"/>
    <s v="Global Online"/>
    <d v="2025-02-24T00:00:00"/>
    <d v="2025-02-27T00:00:00"/>
    <m/>
    <d v="1899-12-30T08:00:00"/>
    <m/>
    <m/>
    <m/>
    <m/>
    <m/>
    <s v="BMC Sosaya"/>
    <m/>
    <n v="45"/>
    <n v="16"/>
    <n v="4"/>
    <m/>
    <m/>
    <m/>
    <m/>
    <m/>
    <x v="22"/>
    <n v="1"/>
    <n v="1"/>
    <m/>
  </r>
  <r>
    <m/>
    <s v="Operational Risk Management Application &amp; Integration (Global Online)"/>
    <s v="A-570-0100"/>
    <s v="18B7"/>
    <s v="Global Online"/>
    <d v="2025-03-03T00:00:00"/>
    <d v="2025-03-06T00:00:00"/>
    <m/>
    <d v="1899-12-30T13:00:00"/>
    <m/>
    <m/>
    <m/>
    <m/>
    <m/>
    <s v="BMC Sosaya"/>
    <m/>
    <n v="45"/>
    <n v="16"/>
    <n v="4"/>
    <m/>
    <m/>
    <m/>
    <m/>
    <m/>
    <x v="35"/>
    <n v="1"/>
    <n v="1"/>
    <m/>
  </r>
  <r>
    <m/>
    <s v="Operational Risk Management Application &amp; Integration (Global Online)"/>
    <s v="A-570-0100"/>
    <s v="18B7"/>
    <s v="Global Online"/>
    <d v="2025-03-17T00:00:00"/>
    <d v="2025-03-20T00:00:00"/>
    <m/>
    <d v="1899-12-30T13:00:00"/>
    <m/>
    <m/>
    <m/>
    <m/>
    <m/>
    <s v="BMC Sosaya"/>
    <m/>
    <n v="45"/>
    <n v="16"/>
    <n v="4"/>
    <m/>
    <m/>
    <m/>
    <m/>
    <m/>
    <x v="36"/>
    <n v="1"/>
    <n v="1"/>
    <m/>
  </r>
  <r>
    <m/>
    <s v="Operational Risk Management Application &amp; Integration (Global Online)"/>
    <s v="A-570-0100"/>
    <s v="18B7"/>
    <s v="Global Online"/>
    <d v="2025-03-31T00:00:00"/>
    <d v="2025-04-03T00:00:00"/>
    <m/>
    <d v="1899-12-30T13:00:00"/>
    <m/>
    <m/>
    <m/>
    <m/>
    <m/>
    <s v="BMC Sosaya"/>
    <m/>
    <n v="45"/>
    <n v="16"/>
    <n v="4"/>
    <m/>
    <m/>
    <m/>
    <m/>
    <m/>
    <x v="37"/>
    <n v="1"/>
    <n v="1"/>
    <m/>
  </r>
  <r>
    <m/>
    <s v="Operational Risk Management Application &amp; Integration (Global Online)"/>
    <s v="A-570-0100"/>
    <s v="18B7"/>
    <s v="Global Online"/>
    <d v="2025-05-04T00:00:00"/>
    <d v="2025-05-07T00:00:00"/>
    <m/>
    <d v="1899-12-30T19:00:00"/>
    <m/>
    <m/>
    <m/>
    <m/>
    <m/>
    <s v="BMC Sosaya"/>
    <m/>
    <n v="45"/>
    <n v="16"/>
    <n v="4"/>
    <m/>
    <m/>
    <m/>
    <m/>
    <m/>
    <x v="38"/>
    <n v="1"/>
    <n v="1"/>
    <m/>
  </r>
  <r>
    <m/>
    <s v="Operational Risk Management Application &amp; Integration (Global Online)"/>
    <s v="A-570-0100"/>
    <s v="18B7"/>
    <s v="Global Online"/>
    <d v="2025-05-19T00:00:00"/>
    <d v="2025-05-22T00:00:00"/>
    <m/>
    <d v="1899-12-30T08:00:00"/>
    <m/>
    <m/>
    <m/>
    <m/>
    <m/>
    <s v="BMC Sosaya"/>
    <m/>
    <n v="45"/>
    <n v="16"/>
    <n v="4"/>
    <m/>
    <m/>
    <m/>
    <m/>
    <m/>
    <x v="26"/>
    <n v="1"/>
    <n v="1"/>
    <m/>
  </r>
  <r>
    <m/>
    <s v="Operational Risk Management Application &amp; Integration (Global Online)"/>
    <s v="A-570-0100"/>
    <s v="18B7"/>
    <s v="Global Online"/>
    <d v="2025-06-09T00:00:00"/>
    <d v="2025-06-12T00:00:00"/>
    <m/>
    <d v="1899-12-30T13:00:00"/>
    <m/>
    <m/>
    <m/>
    <m/>
    <m/>
    <s v="BMC Sosaya"/>
    <m/>
    <n v="45"/>
    <n v="16"/>
    <n v="4"/>
    <m/>
    <m/>
    <m/>
    <m/>
    <m/>
    <x v="39"/>
    <n v="1"/>
    <n v="1"/>
    <m/>
  </r>
  <r>
    <m/>
    <s v="Operational Risk Management Application &amp; Integration (Global Online)"/>
    <s v="A-570-0100"/>
    <s v="18B7"/>
    <s v="Global Online"/>
    <d v="2025-07-07T00:00:00"/>
    <d v="2025-07-10T00:00:00"/>
    <m/>
    <d v="1899-12-30T13:00:00"/>
    <m/>
    <m/>
    <m/>
    <m/>
    <m/>
    <s v="BMC Sosaya"/>
    <m/>
    <n v="45"/>
    <n v="16"/>
    <n v="4"/>
    <m/>
    <m/>
    <m/>
    <m/>
    <m/>
    <x v="40"/>
    <n v="1"/>
    <n v="1"/>
    <m/>
  </r>
  <r>
    <m/>
    <s v="Operational Risk Management Application &amp; Integration (Global Online)"/>
    <s v="A-570-0100"/>
    <s v="18B7"/>
    <s v="Global Online"/>
    <d v="2025-07-27T00:00:00"/>
    <d v="2025-07-31T00:00:00"/>
    <m/>
    <d v="1899-12-30T19:00:00"/>
    <m/>
    <m/>
    <m/>
    <m/>
    <m/>
    <s v="BMC Sosaya"/>
    <m/>
    <n v="45"/>
    <n v="16"/>
    <n v="4"/>
    <m/>
    <m/>
    <m/>
    <m/>
    <m/>
    <x v="41"/>
    <n v="1"/>
    <n v="1"/>
    <m/>
  </r>
  <r>
    <m/>
    <s v="Operational Risk Management Application &amp; Integration (Global Online)"/>
    <s v="A-570-0100"/>
    <s v="18B7"/>
    <s v="Global Online"/>
    <d v="2025-08-11T00:00:00"/>
    <d v="2025-08-14T00:00:00"/>
    <m/>
    <d v="1899-12-30T13:00:00"/>
    <m/>
    <m/>
    <m/>
    <m/>
    <m/>
    <s v="BMC Sosaya"/>
    <m/>
    <n v="45"/>
    <n v="16"/>
    <n v="4"/>
    <m/>
    <m/>
    <m/>
    <m/>
    <m/>
    <x v="42"/>
    <n v="1"/>
    <n v="1"/>
    <m/>
  </r>
  <r>
    <m/>
    <s v="Operational Risk Management Application &amp; Integration (Global Online)"/>
    <s v="A-570-0100"/>
    <s v="18B7"/>
    <s v="Global Online"/>
    <d v="2025-09-08T00:00:00"/>
    <d v="2025-09-11T00:00:00"/>
    <m/>
    <d v="1899-12-30T13:00:00"/>
    <m/>
    <m/>
    <m/>
    <m/>
    <m/>
    <s v="BMC Sosaya"/>
    <m/>
    <n v="45"/>
    <n v="16"/>
    <n v="4"/>
    <m/>
    <m/>
    <m/>
    <m/>
    <m/>
    <x v="43"/>
    <n v="1"/>
    <n v="1"/>
    <m/>
  </r>
  <r>
    <m/>
    <s v="Safety Programs Afloat (Global Online) "/>
    <s v="A-493-2098"/>
    <s v="09WW"/>
    <s v="Global Online"/>
    <d v="2024-09-30T00:00:00"/>
    <d v="2024-10-04T00:00:00"/>
    <m/>
    <d v="1899-12-30T08:00:00"/>
    <m/>
    <m/>
    <m/>
    <m/>
    <m/>
    <s v="PG-LS1"/>
    <m/>
    <n v="100"/>
    <n v="16"/>
    <n v="5"/>
    <m/>
    <m/>
    <m/>
    <m/>
    <m/>
    <x v="3"/>
    <n v="1"/>
    <n v="1"/>
    <m/>
  </r>
  <r>
    <m/>
    <s v="Safety Programs Afloat (Global Online) "/>
    <s v="A-493-2098"/>
    <s v="09WW"/>
    <s v="Global Online"/>
    <d v="2024-10-27T00:00:00"/>
    <d v="2024-10-31T00:00:00"/>
    <m/>
    <d v="1899-12-30T19:00:00"/>
    <m/>
    <m/>
    <m/>
    <m/>
    <m/>
    <s v="PG-LS1"/>
    <m/>
    <n v="100"/>
    <n v="16"/>
    <n v="5"/>
    <m/>
    <m/>
    <m/>
    <m/>
    <m/>
    <x v="44"/>
    <n v="1"/>
    <n v="1"/>
    <m/>
  </r>
  <r>
    <m/>
    <s v="Safety Programs Afloat (Global Online) "/>
    <s v="A-493-2098"/>
    <s v="09WW"/>
    <s v="Global Online"/>
    <d v="2024-11-18T00:00:00"/>
    <d v="2024-11-22T00:00:00"/>
    <m/>
    <d v="1899-12-30T13:00:00"/>
    <m/>
    <m/>
    <m/>
    <m/>
    <m/>
    <s v="BMC Sosaya"/>
    <m/>
    <n v="100"/>
    <n v="16"/>
    <n v="5"/>
    <m/>
    <m/>
    <m/>
    <m/>
    <m/>
    <x v="45"/>
    <n v="1"/>
    <n v="1"/>
    <m/>
  </r>
  <r>
    <m/>
    <s v="Safety Programs Afloat (Global Online) "/>
    <s v="A-493-2098"/>
    <s v="09WW"/>
    <s v="Global Online"/>
    <d v="2024-12-09T00:00:00"/>
    <d v="2024-12-13T00:00:00"/>
    <m/>
    <d v="1899-12-30T13:00:00"/>
    <m/>
    <m/>
    <m/>
    <m/>
    <m/>
    <s v="PG-LS1"/>
    <m/>
    <n v="100"/>
    <n v="16"/>
    <n v="5"/>
    <m/>
    <m/>
    <m/>
    <m/>
    <m/>
    <x v="2"/>
    <n v="1"/>
    <n v="1"/>
    <m/>
  </r>
  <r>
    <m/>
    <s v="Safety Programs Afloat (Global Online) "/>
    <s v="A-493-2098"/>
    <s v="09WW"/>
    <s v="Global Online"/>
    <d v="2025-01-05T00:00:00"/>
    <d v="2025-01-09T00:00:00"/>
    <m/>
    <d v="1899-12-30T19:00:00"/>
    <m/>
    <m/>
    <m/>
    <m/>
    <m/>
    <s v="EMC Stroughn"/>
    <m/>
    <n v="100"/>
    <n v="16"/>
    <n v="5"/>
    <m/>
    <m/>
    <m/>
    <m/>
    <m/>
    <x v="32"/>
    <n v="1"/>
    <n v="1"/>
    <m/>
  </r>
  <r>
    <m/>
    <s v="Safety Programs Afloat (Global Online) "/>
    <s v="A-493-2098"/>
    <s v="09WW"/>
    <s v="Global Online"/>
    <d v="2025-01-27T00:00:00"/>
    <d v="2025-01-31T00:00:00"/>
    <m/>
    <d v="1899-12-30T08:00:00"/>
    <m/>
    <m/>
    <m/>
    <m/>
    <m/>
    <s v="EMC Stroughn"/>
    <m/>
    <n v="100"/>
    <n v="16"/>
    <n v="5"/>
    <m/>
    <m/>
    <m/>
    <m/>
    <m/>
    <x v="20"/>
    <n v="1"/>
    <n v="1"/>
    <m/>
  </r>
  <r>
    <m/>
    <s v="Safety Programs Afloat (Global Online) "/>
    <s v="A-493-2098"/>
    <s v="09WW"/>
    <s v="Global Online"/>
    <d v="2025-02-10T00:00:00"/>
    <d v="2025-02-14T00:00:00"/>
    <m/>
    <d v="1899-12-30T13:00:00"/>
    <m/>
    <m/>
    <m/>
    <m/>
    <m/>
    <s v="EMC Stroughn"/>
    <m/>
    <n v="100"/>
    <n v="16"/>
    <n v="5"/>
    <m/>
    <m/>
    <m/>
    <m/>
    <m/>
    <x v="21"/>
    <n v="1"/>
    <n v="1"/>
    <m/>
  </r>
  <r>
    <m/>
    <s v="Safety Programs Afloat (Global Online) "/>
    <s v="A-493-2098"/>
    <s v="09WW"/>
    <s v="Global Online"/>
    <d v="2025-03-03T00:00:00"/>
    <d v="2025-03-07T00:00:00"/>
    <m/>
    <d v="1899-12-30T13:00:00"/>
    <m/>
    <m/>
    <m/>
    <m/>
    <m/>
    <s v="EMC Stroughn"/>
    <m/>
    <n v="100"/>
    <n v="16"/>
    <n v="5"/>
    <m/>
    <m/>
    <m/>
    <m/>
    <m/>
    <x v="46"/>
    <n v="1"/>
    <n v="1"/>
    <m/>
  </r>
  <r>
    <m/>
    <s v="Safety Programs Afloat (Global Online) "/>
    <s v="A-493-2098"/>
    <s v="09WW"/>
    <s v="Global Online"/>
    <d v="2025-03-17T00:00:00"/>
    <d v="2025-03-21T00:00:00"/>
    <m/>
    <d v="1899-12-30T13:00:00"/>
    <m/>
    <m/>
    <m/>
    <m/>
    <m/>
    <s v="EMC Stroughn"/>
    <m/>
    <n v="100"/>
    <n v="16"/>
    <n v="5"/>
    <m/>
    <m/>
    <m/>
    <m/>
    <m/>
    <x v="47"/>
    <n v="1"/>
    <n v="1"/>
    <m/>
  </r>
  <r>
    <m/>
    <s v="Safety Programs Afloat (Global Online) "/>
    <s v="A-493-2098"/>
    <s v="09WW"/>
    <s v="Global Online"/>
    <d v="2025-04-07T00:00:00"/>
    <d v="2025-04-11T00:00:00"/>
    <m/>
    <d v="1899-12-30T08:00:00"/>
    <m/>
    <m/>
    <m/>
    <m/>
    <m/>
    <s v="EMC Stroughn"/>
    <m/>
    <n v="100"/>
    <n v="16"/>
    <n v="5"/>
    <m/>
    <m/>
    <m/>
    <m/>
    <m/>
    <x v="24"/>
    <n v="1"/>
    <n v="1"/>
    <m/>
  </r>
  <r>
    <m/>
    <s v="Safety Programs Afloat (Global Online) "/>
    <s v="A-493-2098"/>
    <s v="09WW"/>
    <s v="Global Online"/>
    <d v="2025-05-05T00:00:00"/>
    <d v="2025-05-09T00:00:00"/>
    <m/>
    <d v="1899-12-30T13:00:00"/>
    <m/>
    <m/>
    <m/>
    <m/>
    <m/>
    <s v="EMC Stroughn"/>
    <m/>
    <n v="100"/>
    <n v="16"/>
    <n v="5"/>
    <m/>
    <m/>
    <m/>
    <m/>
    <m/>
    <x v="25"/>
    <n v="1"/>
    <n v="1"/>
    <m/>
  </r>
  <r>
    <m/>
    <s v="Safety Programs Afloat (Global Online) "/>
    <s v="A-493-2098"/>
    <s v="09WW"/>
    <s v="Global Online"/>
    <d v="2025-06-09T00:00:00"/>
    <d v="2025-06-13T00:00:00"/>
    <m/>
    <d v="1899-12-30T13:00:00"/>
    <m/>
    <m/>
    <m/>
    <m/>
    <m/>
    <s v="EMC Stroughn"/>
    <m/>
    <n v="100"/>
    <n v="16"/>
    <n v="5"/>
    <m/>
    <m/>
    <m/>
    <m/>
    <m/>
    <x v="48"/>
    <n v="1"/>
    <n v="1"/>
    <m/>
  </r>
  <r>
    <m/>
    <s v="Safety Programs Afloat (Global Online) "/>
    <s v="A-493-2098"/>
    <s v="09WW"/>
    <s v="Global Online"/>
    <d v="2025-07-13T00:00:00"/>
    <d v="2025-07-17T00:00:00"/>
    <m/>
    <d v="1899-12-30T19:00:00"/>
    <m/>
    <m/>
    <m/>
    <m/>
    <m/>
    <s v="EMC Stroughn"/>
    <m/>
    <n v="100"/>
    <n v="16"/>
    <n v="5"/>
    <m/>
    <m/>
    <m/>
    <m/>
    <m/>
    <x v="49"/>
    <n v="1"/>
    <n v="1"/>
    <m/>
  </r>
  <r>
    <m/>
    <s v="Safety Programs Afloat (Global Online) "/>
    <s v="A-493-2098"/>
    <s v="09WW"/>
    <s v="Global Online"/>
    <d v="2025-08-04T00:00:00"/>
    <d v="2025-08-08T00:00:00"/>
    <m/>
    <d v="1899-12-30T08:00:00"/>
    <m/>
    <m/>
    <m/>
    <m/>
    <m/>
    <s v="EMC Stroughn"/>
    <m/>
    <n v="100"/>
    <n v="16"/>
    <n v="5"/>
    <m/>
    <m/>
    <m/>
    <m/>
    <m/>
    <x v="50"/>
    <n v="1"/>
    <n v="1"/>
    <m/>
  </r>
  <r>
    <m/>
    <s v="Safety Programs Afloat (Global Online) "/>
    <s v="A-493-2098"/>
    <s v="09WW"/>
    <s v="Global Online"/>
    <d v="2025-08-18T00:00:00"/>
    <d v="2025-08-22T00:00:00"/>
    <m/>
    <d v="1899-12-30T13:00:00"/>
    <m/>
    <m/>
    <m/>
    <m/>
    <m/>
    <s v="EMC Stroughn"/>
    <m/>
    <n v="100"/>
    <n v="16"/>
    <n v="5"/>
    <m/>
    <m/>
    <m/>
    <m/>
    <m/>
    <x v="51"/>
    <n v="1"/>
    <n v="1"/>
    <m/>
  </r>
  <r>
    <m/>
    <s v="Safety Programs Afloat (Global Online) "/>
    <s v="A-493-2098"/>
    <s v="09WW"/>
    <s v="Global Online"/>
    <d v="2025-09-15T00:00:00"/>
    <d v="2025-09-19T00:00:00"/>
    <m/>
    <d v="1899-12-30T13:00:00"/>
    <m/>
    <m/>
    <m/>
    <m/>
    <m/>
    <s v="EMC Stroughn"/>
    <m/>
    <n v="100"/>
    <n v="16"/>
    <n v="5"/>
    <m/>
    <m/>
    <m/>
    <m/>
    <m/>
    <x v="31"/>
    <n v="1"/>
    <n v="1"/>
    <m/>
  </r>
  <r>
    <m/>
    <s v="Submarine Safety Officer (Global Online) "/>
    <s v="F-4J-0023"/>
    <s v="11A2"/>
    <s v="Global Online"/>
    <d v="2024-11-18T00:00:00"/>
    <d v="2024-11-22T00:00:00"/>
    <m/>
    <d v="1899-12-30T13:00:00"/>
    <m/>
    <m/>
    <m/>
    <m/>
    <m/>
    <s v="LTJG Andrew"/>
    <m/>
    <n v="25"/>
    <n v="16"/>
    <n v="2"/>
    <m/>
    <m/>
    <m/>
    <m/>
    <m/>
    <x v="45"/>
    <n v="1"/>
    <n v="1"/>
    <m/>
  </r>
  <r>
    <m/>
    <s v="Submarine Safety Officer (Global Online) "/>
    <s v="F-4J-0023"/>
    <s v="11A2"/>
    <s v="Global Online"/>
    <d v="2025-02-03T00:00:00"/>
    <d v="2025-02-07T00:00:00"/>
    <m/>
    <d v="1899-12-30T13:00:00"/>
    <m/>
    <m/>
    <m/>
    <m/>
    <m/>
    <s v="LTJG Andrew"/>
    <m/>
    <n v="25"/>
    <n v="16"/>
    <n v="2"/>
    <m/>
    <m/>
    <m/>
    <m/>
    <m/>
    <x v="9"/>
    <n v="1"/>
    <n v="1"/>
    <m/>
  </r>
  <r>
    <m/>
    <s v="Submarine Safety Officer (Global Online) "/>
    <s v="F-4J-0023"/>
    <s v="11A2"/>
    <s v="Global Online"/>
    <d v="2025-05-12T00:00:00"/>
    <d v="2025-05-16T00:00:00"/>
    <m/>
    <d v="1899-12-30T13:00:00"/>
    <m/>
    <m/>
    <m/>
    <m/>
    <m/>
    <s v="LTJG Andrew"/>
    <m/>
    <n v="25"/>
    <n v="16"/>
    <n v="2"/>
    <m/>
    <m/>
    <m/>
    <m/>
    <m/>
    <x v="52"/>
    <n v="1"/>
    <n v="1"/>
    <m/>
  </r>
  <r>
    <m/>
    <s v="Submarine Safety Officer (Global Online) "/>
    <s v="F-4J-0023"/>
    <s v="11A2"/>
    <s v="Global Online"/>
    <d v="2025-08-11T00:00:00"/>
    <d v="2025-08-15T00:00:00"/>
    <m/>
    <d v="1899-12-30T13:00:00"/>
    <m/>
    <m/>
    <m/>
    <m/>
    <m/>
    <s v="LTJG Andrew"/>
    <m/>
    <n v="25"/>
    <n v="16"/>
    <n v="2"/>
    <m/>
    <m/>
    <m/>
    <m/>
    <m/>
    <x v="15"/>
    <n v="1"/>
    <n v="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x v="0"/>
    <x v="0"/>
    <m/>
    <m/>
    <m/>
    <m/>
    <m/>
    <m/>
  </r>
  <r>
    <x v="0"/>
    <x v="1"/>
    <n v="0"/>
    <n v="6"/>
    <n v="21"/>
    <n v="0"/>
    <n v="1"/>
    <n v="8"/>
  </r>
  <r>
    <x v="0"/>
    <x v="2"/>
    <n v="2"/>
    <n v="19"/>
    <n v="36"/>
    <n v="7"/>
    <n v="13"/>
    <n v="9"/>
  </r>
  <r>
    <x v="0"/>
    <x v="3"/>
    <n v="2"/>
    <n v="18"/>
    <n v="44"/>
    <n v="15"/>
    <n v="8"/>
    <n v="23"/>
  </r>
  <r>
    <x v="0"/>
    <x v="4"/>
    <n v="0"/>
    <n v="10"/>
    <n v="34"/>
    <n v="5"/>
    <n v="8"/>
    <n v="7"/>
  </r>
  <r>
    <x v="0"/>
    <x v="5"/>
    <n v="2"/>
    <n v="15"/>
    <n v="34"/>
    <n v="15"/>
    <n v="11"/>
    <n v="22"/>
  </r>
  <r>
    <x v="0"/>
    <x v="6"/>
    <n v="0"/>
    <n v="1"/>
    <n v="41"/>
    <n v="7"/>
    <n v="8"/>
    <n v="17"/>
  </r>
  <r>
    <x v="0"/>
    <x v="7"/>
    <n v="2"/>
    <n v="322"/>
    <n v="48"/>
    <n v="15"/>
    <n v="9"/>
    <n v="17"/>
  </r>
  <r>
    <x v="0"/>
    <x v="8"/>
    <n v="2"/>
    <n v="14"/>
    <n v="41"/>
    <n v="15"/>
    <n v="8"/>
    <n v="21"/>
  </r>
  <r>
    <x v="0"/>
    <x v="9"/>
    <n v="2"/>
    <n v="19"/>
    <n v="45"/>
    <n v="15"/>
    <n v="11"/>
    <n v="24"/>
  </r>
  <r>
    <x v="0"/>
    <x v="10"/>
    <n v="4"/>
    <n v="13"/>
    <n v="38"/>
    <n v="15"/>
    <n v="6"/>
    <n v="17"/>
  </r>
  <r>
    <x v="0"/>
    <x v="11"/>
    <n v="0"/>
    <n v="19"/>
    <n v="40"/>
    <n v="6"/>
    <n v="9"/>
    <n v="1"/>
  </r>
  <r>
    <x v="0"/>
    <x v="12"/>
    <n v="2"/>
    <n v="19"/>
    <n v="33"/>
    <n v="18"/>
    <n v="7"/>
    <n v="1"/>
  </r>
  <r>
    <x v="0"/>
    <x v="13"/>
    <n v="0"/>
    <n v="19"/>
    <n v="40"/>
    <n v="6"/>
    <n v="12"/>
    <n v="18"/>
  </r>
  <r>
    <x v="0"/>
    <x v="14"/>
    <m/>
    <m/>
    <m/>
    <m/>
    <m/>
    <m/>
  </r>
  <r>
    <x v="0"/>
    <x v="15"/>
    <m/>
    <m/>
    <m/>
    <m/>
    <m/>
    <m/>
  </r>
  <r>
    <x v="0"/>
    <x v="16"/>
    <n v="0"/>
    <n v="30"/>
    <n v="74"/>
    <n v="18"/>
    <n v="37"/>
    <n v="52"/>
  </r>
  <r>
    <x v="1"/>
    <x v="0"/>
    <n v="0"/>
    <n v="2"/>
    <n v="0"/>
    <n v="0"/>
    <n v="9"/>
    <n v="3"/>
  </r>
  <r>
    <x v="1"/>
    <x v="1"/>
    <n v="0"/>
    <n v="0"/>
    <n v="5"/>
    <n v="0"/>
    <n v="5"/>
    <n v="2"/>
  </r>
  <r>
    <x v="1"/>
    <x v="2"/>
    <n v="0"/>
    <n v="2"/>
    <n v="35"/>
    <n v="0"/>
    <n v="10"/>
    <n v="3"/>
  </r>
  <r>
    <x v="1"/>
    <x v="3"/>
    <n v="0"/>
    <n v="13"/>
    <n v="56"/>
    <n v="3"/>
    <n v="16"/>
    <n v="17"/>
  </r>
  <r>
    <x v="1"/>
    <x v="4"/>
    <n v="0"/>
    <n v="5"/>
    <n v="23"/>
    <n v="3"/>
    <n v="4"/>
    <n v="2"/>
  </r>
  <r>
    <x v="1"/>
    <x v="5"/>
    <n v="0"/>
    <n v="12"/>
    <n v="64"/>
    <n v="3"/>
    <n v="17"/>
    <n v="21"/>
  </r>
  <r>
    <x v="1"/>
    <x v="6"/>
    <n v="0"/>
    <n v="8"/>
    <n v="33"/>
    <n v="3"/>
    <n v="17"/>
    <n v="32"/>
  </r>
  <r>
    <x v="1"/>
    <x v="7"/>
    <n v="0"/>
    <n v="12"/>
    <n v="47"/>
    <n v="9"/>
    <n v="16"/>
    <n v="19"/>
  </r>
  <r>
    <x v="1"/>
    <x v="8"/>
    <n v="0"/>
    <n v="6"/>
    <n v="33"/>
    <n v="3"/>
    <n v="13"/>
    <n v="14"/>
  </r>
  <r>
    <x v="1"/>
    <x v="9"/>
    <n v="0"/>
    <n v="11"/>
    <n v="37"/>
    <n v="4"/>
    <n v="13"/>
    <n v="16"/>
  </r>
  <r>
    <x v="1"/>
    <x v="10"/>
    <n v="0"/>
    <n v="13"/>
    <n v="76"/>
    <n v="10"/>
    <n v="16"/>
    <n v="23"/>
  </r>
  <r>
    <x v="1"/>
    <x v="11"/>
    <n v="0"/>
    <n v="6"/>
    <n v="24"/>
    <n v="3"/>
    <n v="4"/>
    <n v="4"/>
  </r>
  <r>
    <x v="1"/>
    <x v="12"/>
    <n v="0"/>
    <n v="10"/>
    <n v="19"/>
    <n v="3"/>
    <n v="6"/>
    <n v="7"/>
  </r>
  <r>
    <x v="1"/>
    <x v="13"/>
    <n v="0"/>
    <n v="5"/>
    <n v="27"/>
    <n v="0"/>
    <n v="7"/>
    <n v="4"/>
  </r>
  <r>
    <x v="1"/>
    <x v="14"/>
    <n v="0"/>
    <n v="0"/>
    <n v="6"/>
    <n v="0"/>
    <n v="5"/>
    <n v="6"/>
  </r>
  <r>
    <x v="1"/>
    <x v="15"/>
    <n v="0"/>
    <n v="0"/>
    <n v="0"/>
    <n v="0"/>
    <n v="5"/>
    <n v="1"/>
  </r>
  <r>
    <x v="1"/>
    <x v="16"/>
    <n v="0"/>
    <n v="10"/>
    <n v="17"/>
    <n v="7"/>
    <n v="14"/>
    <n v="5"/>
  </r>
  <r>
    <x v="2"/>
    <x v="0"/>
    <m/>
    <m/>
    <m/>
    <m/>
    <m/>
    <m/>
  </r>
  <r>
    <x v="2"/>
    <x v="1"/>
    <m/>
    <m/>
    <m/>
    <m/>
    <m/>
    <m/>
  </r>
  <r>
    <x v="2"/>
    <x v="2"/>
    <m/>
    <m/>
    <n v="6"/>
    <n v="3"/>
    <m/>
    <n v="6"/>
  </r>
  <r>
    <x v="2"/>
    <x v="3"/>
    <m/>
    <m/>
    <n v="4"/>
    <n v="3"/>
    <m/>
    <n v="5"/>
  </r>
  <r>
    <x v="2"/>
    <x v="4"/>
    <m/>
    <m/>
    <n v="7"/>
    <n v="4"/>
    <m/>
    <n v="8"/>
  </r>
  <r>
    <x v="2"/>
    <x v="5"/>
    <m/>
    <m/>
    <n v="7"/>
    <n v="4"/>
    <m/>
    <n v="14"/>
  </r>
  <r>
    <x v="2"/>
    <x v="6"/>
    <m/>
    <n v="1"/>
    <n v="4"/>
    <n v="3"/>
    <m/>
    <n v="6"/>
  </r>
  <r>
    <x v="2"/>
    <x v="7"/>
    <m/>
    <n v="1"/>
    <n v="7"/>
    <n v="3"/>
    <m/>
    <n v="11"/>
  </r>
  <r>
    <x v="2"/>
    <x v="8"/>
    <m/>
    <n v="1"/>
    <n v="4"/>
    <n v="3"/>
    <m/>
    <n v="4"/>
  </r>
  <r>
    <x v="2"/>
    <x v="9"/>
    <m/>
    <n v="1"/>
    <n v="4"/>
    <n v="3"/>
    <m/>
    <n v="4"/>
  </r>
  <r>
    <x v="2"/>
    <x v="10"/>
    <m/>
    <n v="1"/>
    <n v="5"/>
    <n v="3"/>
    <m/>
    <n v="6"/>
  </r>
  <r>
    <x v="2"/>
    <x v="11"/>
    <m/>
    <n v="1"/>
    <n v="6"/>
    <n v="3"/>
    <m/>
    <n v="5"/>
  </r>
  <r>
    <x v="2"/>
    <x v="12"/>
    <m/>
    <n v="1"/>
    <n v="4"/>
    <n v="12"/>
    <m/>
    <n v="9"/>
  </r>
  <r>
    <x v="2"/>
    <x v="13"/>
    <m/>
    <n v="1"/>
    <n v="12"/>
    <m/>
    <m/>
    <n v="2"/>
  </r>
  <r>
    <x v="2"/>
    <x v="14"/>
    <m/>
    <m/>
    <m/>
    <m/>
    <m/>
    <m/>
  </r>
  <r>
    <x v="2"/>
    <x v="15"/>
    <m/>
    <m/>
    <m/>
    <m/>
    <m/>
    <m/>
  </r>
  <r>
    <x v="2"/>
    <x v="16"/>
    <m/>
    <n v="1"/>
    <n v="9"/>
    <m/>
    <m/>
    <n v="5"/>
  </r>
  <r>
    <x v="3"/>
    <x v="0"/>
    <m/>
    <m/>
    <n v="2"/>
    <n v="18"/>
    <n v="27"/>
    <n v="153"/>
  </r>
  <r>
    <x v="3"/>
    <x v="1"/>
    <m/>
    <m/>
    <n v="2"/>
    <n v="6"/>
    <n v="15"/>
    <n v="230"/>
  </r>
  <r>
    <x v="3"/>
    <x v="2"/>
    <m/>
    <m/>
    <n v="12"/>
    <n v="31"/>
    <n v="30"/>
    <n v="242"/>
  </r>
  <r>
    <x v="3"/>
    <x v="3"/>
    <m/>
    <n v="1"/>
    <n v="4"/>
    <n v="3"/>
    <n v="5"/>
    <n v="34"/>
  </r>
  <r>
    <x v="3"/>
    <x v="4"/>
    <m/>
    <n v="1"/>
    <n v="4"/>
    <n v="9"/>
    <n v="19"/>
    <n v="149"/>
  </r>
  <r>
    <x v="3"/>
    <x v="5"/>
    <m/>
    <m/>
    <n v="24"/>
    <n v="22"/>
    <n v="5"/>
    <n v="95"/>
  </r>
  <r>
    <x v="3"/>
    <x v="6"/>
    <m/>
    <m/>
    <n v="2"/>
    <n v="1"/>
    <n v="3"/>
    <n v="24"/>
  </r>
  <r>
    <x v="3"/>
    <x v="7"/>
    <m/>
    <n v="15"/>
    <n v="3"/>
    <n v="33"/>
    <n v="59"/>
    <n v="282"/>
  </r>
  <r>
    <x v="3"/>
    <x v="8"/>
    <m/>
    <n v="1"/>
    <n v="4"/>
    <n v="2"/>
    <n v="5"/>
    <n v="41"/>
  </r>
  <r>
    <x v="3"/>
    <x v="9"/>
    <m/>
    <n v="5"/>
    <n v="32"/>
    <n v="27"/>
    <n v="52"/>
    <n v="205"/>
  </r>
  <r>
    <x v="3"/>
    <x v="10"/>
    <m/>
    <m/>
    <n v="12"/>
    <n v="11"/>
    <m/>
    <n v="32"/>
  </r>
  <r>
    <x v="3"/>
    <x v="11"/>
    <m/>
    <m/>
    <n v="1"/>
    <n v="4"/>
    <m/>
    <n v="12"/>
  </r>
  <r>
    <x v="3"/>
    <x v="12"/>
    <m/>
    <m/>
    <n v="20"/>
    <n v="31"/>
    <n v="20"/>
    <n v="123"/>
  </r>
  <r>
    <x v="3"/>
    <x v="13"/>
    <m/>
    <m/>
    <n v="1"/>
    <n v="5"/>
    <n v="2"/>
    <n v="16"/>
  </r>
  <r>
    <x v="3"/>
    <x v="14"/>
    <m/>
    <n v="8"/>
    <n v="62"/>
    <n v="70"/>
    <n v="85"/>
    <n v="694"/>
  </r>
  <r>
    <x v="3"/>
    <x v="15"/>
    <m/>
    <m/>
    <m/>
    <n v="8"/>
    <n v="3"/>
    <n v="20"/>
  </r>
  <r>
    <x v="3"/>
    <x v="16"/>
    <m/>
    <m/>
    <n v="1"/>
    <n v="4"/>
    <m/>
    <n v="12"/>
  </r>
  <r>
    <x v="4"/>
    <x v="0"/>
    <m/>
    <m/>
    <n v="2"/>
    <n v="1"/>
    <m/>
    <n v="1"/>
  </r>
  <r>
    <x v="4"/>
    <x v="1"/>
    <n v="1"/>
    <n v="5"/>
    <n v="4"/>
    <n v="2"/>
    <n v="8"/>
    <m/>
  </r>
  <r>
    <x v="4"/>
    <x v="2"/>
    <n v="2"/>
    <n v="5"/>
    <n v="21"/>
    <n v="10"/>
    <n v="15"/>
    <n v="11"/>
  </r>
  <r>
    <x v="4"/>
    <x v="3"/>
    <n v="2"/>
    <n v="5"/>
    <n v="9"/>
    <n v="8"/>
    <n v="8"/>
    <n v="5"/>
  </r>
  <r>
    <x v="4"/>
    <x v="4"/>
    <m/>
    <n v="5"/>
    <n v="7"/>
    <n v="1"/>
    <n v="1"/>
    <n v="6"/>
  </r>
  <r>
    <x v="4"/>
    <x v="5"/>
    <n v="2"/>
    <n v="5"/>
    <n v="10"/>
    <n v="7"/>
    <n v="8"/>
    <n v="17"/>
  </r>
  <r>
    <x v="4"/>
    <x v="6"/>
    <n v="2"/>
    <n v="5"/>
    <n v="14"/>
    <n v="8"/>
    <n v="8"/>
    <n v="10"/>
  </r>
  <r>
    <x v="4"/>
    <x v="7"/>
    <n v="2"/>
    <n v="5"/>
    <n v="13"/>
    <n v="7"/>
    <n v="8"/>
    <n v="9"/>
  </r>
  <r>
    <x v="4"/>
    <x v="8"/>
    <n v="2"/>
    <n v="5"/>
    <n v="19"/>
    <n v="8"/>
    <n v="8"/>
    <n v="10"/>
  </r>
  <r>
    <x v="4"/>
    <x v="9"/>
    <n v="2"/>
    <n v="5"/>
    <n v="21"/>
    <n v="7"/>
    <n v="8"/>
    <n v="8"/>
  </r>
  <r>
    <x v="4"/>
    <x v="10"/>
    <n v="2"/>
    <n v="5"/>
    <n v="17"/>
    <n v="7"/>
    <n v="8"/>
    <n v="9"/>
  </r>
  <r>
    <x v="4"/>
    <x v="11"/>
    <n v="3"/>
    <n v="12"/>
    <n v="50"/>
    <n v="11"/>
    <n v="17"/>
    <n v="32"/>
  </r>
  <r>
    <x v="4"/>
    <x v="12"/>
    <m/>
    <n v="7"/>
    <n v="16"/>
    <n v="1"/>
    <n v="1"/>
    <n v="2"/>
  </r>
  <r>
    <x v="4"/>
    <x v="13"/>
    <n v="3"/>
    <n v="12"/>
    <n v="50"/>
    <n v="11"/>
    <n v="17"/>
    <n v="32"/>
  </r>
  <r>
    <x v="4"/>
    <x v="14"/>
    <m/>
    <m/>
    <n v="5"/>
    <m/>
    <n v="1"/>
    <n v="4"/>
  </r>
  <r>
    <x v="4"/>
    <x v="15"/>
    <m/>
    <m/>
    <n v="5"/>
    <m/>
    <m/>
    <m/>
  </r>
  <r>
    <x v="4"/>
    <x v="16"/>
    <n v="5"/>
    <n v="15"/>
    <n v="123"/>
    <n v="21"/>
    <n v="99"/>
    <n v="66"/>
  </r>
  <r>
    <x v="5"/>
    <x v="0"/>
    <m/>
    <m/>
    <n v="1"/>
    <m/>
    <m/>
    <n v="0"/>
  </r>
  <r>
    <x v="5"/>
    <x v="1"/>
    <m/>
    <m/>
    <n v="9"/>
    <m/>
    <m/>
    <n v="0"/>
  </r>
  <r>
    <x v="5"/>
    <x v="2"/>
    <m/>
    <m/>
    <n v="16"/>
    <m/>
    <n v="2"/>
    <n v="5"/>
  </r>
  <r>
    <x v="5"/>
    <x v="3"/>
    <m/>
    <m/>
    <n v="14"/>
    <m/>
    <m/>
    <n v="10"/>
  </r>
  <r>
    <x v="5"/>
    <x v="4"/>
    <m/>
    <m/>
    <n v="9"/>
    <m/>
    <m/>
    <n v="10"/>
  </r>
  <r>
    <x v="5"/>
    <x v="5"/>
    <m/>
    <m/>
    <n v="14"/>
    <m/>
    <n v="1"/>
    <n v="10"/>
  </r>
  <r>
    <x v="5"/>
    <x v="6"/>
    <m/>
    <m/>
    <n v="13"/>
    <m/>
    <m/>
    <n v="11"/>
  </r>
  <r>
    <x v="5"/>
    <x v="7"/>
    <m/>
    <m/>
    <n v="16"/>
    <m/>
    <n v="1"/>
    <n v="10"/>
  </r>
  <r>
    <x v="5"/>
    <x v="8"/>
    <m/>
    <m/>
    <n v="11"/>
    <m/>
    <m/>
    <n v="7"/>
  </r>
  <r>
    <x v="5"/>
    <x v="9"/>
    <m/>
    <m/>
    <n v="13"/>
    <m/>
    <m/>
    <n v="12"/>
  </r>
  <r>
    <x v="5"/>
    <x v="10"/>
    <m/>
    <m/>
    <n v="15"/>
    <m/>
    <m/>
    <n v="12"/>
  </r>
  <r>
    <x v="5"/>
    <x v="11"/>
    <m/>
    <m/>
    <n v="19"/>
    <m/>
    <m/>
    <n v="2"/>
  </r>
  <r>
    <x v="5"/>
    <x v="12"/>
    <m/>
    <m/>
    <n v="18"/>
    <m/>
    <m/>
    <n v="5"/>
  </r>
  <r>
    <x v="5"/>
    <x v="13"/>
    <m/>
    <m/>
    <n v="18"/>
    <m/>
    <m/>
    <n v="4"/>
  </r>
  <r>
    <x v="5"/>
    <x v="14"/>
    <m/>
    <m/>
    <m/>
    <m/>
    <m/>
    <n v="0"/>
  </r>
  <r>
    <x v="5"/>
    <x v="15"/>
    <m/>
    <m/>
    <m/>
    <m/>
    <m/>
    <n v="0"/>
  </r>
  <r>
    <x v="5"/>
    <x v="16"/>
    <m/>
    <m/>
    <n v="37"/>
    <m/>
    <m/>
    <n v="0"/>
  </r>
  <r>
    <x v="6"/>
    <x v="0"/>
    <m/>
    <m/>
    <n v="6"/>
    <n v="0"/>
    <m/>
    <n v="11"/>
  </r>
  <r>
    <x v="6"/>
    <x v="1"/>
    <m/>
    <m/>
    <m/>
    <m/>
    <m/>
    <m/>
  </r>
  <r>
    <x v="6"/>
    <x v="2"/>
    <m/>
    <n v="2"/>
    <n v="15"/>
    <n v="1"/>
    <m/>
    <n v="7"/>
  </r>
  <r>
    <x v="6"/>
    <x v="3"/>
    <m/>
    <n v="1"/>
    <n v="47"/>
    <n v="2"/>
    <n v="27"/>
    <n v="24"/>
  </r>
  <r>
    <x v="6"/>
    <x v="4"/>
    <m/>
    <m/>
    <n v="16"/>
    <m/>
    <n v="23"/>
    <n v="7"/>
  </r>
  <r>
    <x v="6"/>
    <x v="5"/>
    <m/>
    <n v="2"/>
    <n v="30"/>
    <n v="4"/>
    <n v="3"/>
    <n v="40"/>
  </r>
  <r>
    <x v="6"/>
    <x v="6"/>
    <m/>
    <n v="1"/>
    <n v="29"/>
    <n v="2"/>
    <n v="24"/>
    <n v="24"/>
  </r>
  <r>
    <x v="6"/>
    <x v="7"/>
    <m/>
    <n v="4"/>
    <n v="59"/>
    <n v="2"/>
    <m/>
    <n v="18"/>
  </r>
  <r>
    <x v="6"/>
    <x v="8"/>
    <m/>
    <n v="1"/>
    <n v="35"/>
    <n v="2"/>
    <n v="20"/>
    <n v="29"/>
  </r>
  <r>
    <x v="6"/>
    <x v="9"/>
    <m/>
    <n v="1"/>
    <n v="53"/>
    <n v="2"/>
    <n v="26"/>
    <n v="16"/>
  </r>
  <r>
    <x v="6"/>
    <x v="10"/>
    <m/>
    <m/>
    <n v="24"/>
    <n v="2"/>
    <m/>
    <n v="25"/>
  </r>
  <r>
    <x v="6"/>
    <x v="11"/>
    <m/>
    <n v="3"/>
    <n v="21"/>
    <n v="30"/>
    <m/>
    <n v="24"/>
  </r>
  <r>
    <x v="6"/>
    <x v="12"/>
    <m/>
    <m/>
    <n v="13"/>
    <m/>
    <m/>
    <n v="54"/>
  </r>
  <r>
    <x v="6"/>
    <x v="13"/>
    <m/>
    <n v="3"/>
    <n v="27"/>
    <n v="21"/>
    <m/>
    <n v="20"/>
  </r>
  <r>
    <x v="6"/>
    <x v="14"/>
    <m/>
    <m/>
    <m/>
    <m/>
    <m/>
    <n v="2"/>
  </r>
  <r>
    <x v="6"/>
    <x v="15"/>
    <m/>
    <m/>
    <m/>
    <m/>
    <n v="2"/>
    <m/>
  </r>
  <r>
    <x v="6"/>
    <x v="16"/>
    <m/>
    <n v="7"/>
    <n v="77"/>
    <n v="30"/>
    <m/>
    <n v="50"/>
  </r>
  <r>
    <x v="7"/>
    <x v="0"/>
    <m/>
    <m/>
    <m/>
    <m/>
    <m/>
    <m/>
  </r>
  <r>
    <x v="7"/>
    <x v="1"/>
    <m/>
    <m/>
    <m/>
    <m/>
    <m/>
    <m/>
  </r>
  <r>
    <x v="7"/>
    <x v="2"/>
    <m/>
    <n v="2"/>
    <n v="20"/>
    <n v="1"/>
    <m/>
    <n v="2"/>
  </r>
  <r>
    <x v="7"/>
    <x v="3"/>
    <n v="2"/>
    <n v="15"/>
    <n v="12"/>
    <n v="6"/>
    <n v="5"/>
    <n v="10"/>
  </r>
  <r>
    <x v="7"/>
    <x v="4"/>
    <n v="7"/>
    <n v="6"/>
    <n v="49"/>
    <n v="1"/>
    <n v="10"/>
    <n v="10"/>
  </r>
  <r>
    <x v="7"/>
    <x v="5"/>
    <n v="18"/>
    <n v="15"/>
    <n v="66"/>
    <n v="6"/>
    <n v="26"/>
    <n v="27"/>
  </r>
  <r>
    <x v="7"/>
    <x v="6"/>
    <n v="2"/>
    <n v="11"/>
    <n v="5"/>
    <n v="5"/>
    <n v="4"/>
    <n v="5"/>
  </r>
  <r>
    <x v="7"/>
    <x v="7"/>
    <n v="3"/>
    <n v="15"/>
    <n v="75"/>
    <n v="5"/>
    <n v="25"/>
    <n v="22"/>
  </r>
  <r>
    <x v="7"/>
    <x v="8"/>
    <n v="2"/>
    <n v="14"/>
    <n v="4"/>
    <n v="3"/>
    <n v="2"/>
    <n v="2"/>
  </r>
  <r>
    <x v="7"/>
    <x v="9"/>
    <n v="3"/>
    <n v="11"/>
    <n v="19"/>
    <n v="5"/>
    <n v="27"/>
    <n v="19"/>
  </r>
  <r>
    <x v="7"/>
    <x v="10"/>
    <n v="2"/>
    <n v="14"/>
    <n v="10"/>
    <n v="3"/>
    <n v="2"/>
    <n v="3"/>
  </r>
  <r>
    <x v="7"/>
    <x v="11"/>
    <m/>
    <n v="2"/>
    <n v="11"/>
    <n v="1"/>
    <m/>
    <m/>
  </r>
  <r>
    <x v="7"/>
    <x v="12"/>
    <m/>
    <m/>
    <n v="9"/>
    <n v="1"/>
    <m/>
    <n v="2"/>
  </r>
  <r>
    <x v="7"/>
    <x v="13"/>
    <m/>
    <n v="2"/>
    <n v="14"/>
    <n v="1"/>
    <m/>
    <m/>
  </r>
  <r>
    <x v="7"/>
    <x v="14"/>
    <m/>
    <m/>
    <m/>
    <m/>
    <m/>
    <n v="1"/>
  </r>
  <r>
    <x v="7"/>
    <x v="15"/>
    <m/>
    <m/>
    <m/>
    <m/>
    <m/>
    <m/>
  </r>
  <r>
    <x v="7"/>
    <x v="16"/>
    <m/>
    <n v="4"/>
    <n v="6"/>
    <m/>
    <m/>
    <m/>
  </r>
  <r>
    <x v="8"/>
    <x v="0"/>
    <m/>
    <m/>
    <m/>
    <m/>
    <m/>
    <m/>
  </r>
  <r>
    <x v="8"/>
    <x v="1"/>
    <m/>
    <m/>
    <m/>
    <m/>
    <m/>
    <m/>
  </r>
  <r>
    <x v="8"/>
    <x v="2"/>
    <m/>
    <m/>
    <n v="23"/>
    <n v="3"/>
    <n v="2"/>
    <n v="17"/>
  </r>
  <r>
    <x v="8"/>
    <x v="3"/>
    <m/>
    <n v="2"/>
    <n v="20"/>
    <n v="4"/>
    <n v="4"/>
    <n v="15"/>
  </r>
  <r>
    <x v="8"/>
    <x v="4"/>
    <m/>
    <m/>
    <n v="2"/>
    <m/>
    <m/>
    <m/>
  </r>
  <r>
    <x v="8"/>
    <x v="5"/>
    <m/>
    <n v="2"/>
    <n v="30"/>
    <n v="4"/>
    <n v="4"/>
    <n v="22"/>
  </r>
  <r>
    <x v="8"/>
    <x v="6"/>
    <m/>
    <n v="2"/>
    <n v="2"/>
    <m/>
    <m/>
    <n v="1"/>
  </r>
  <r>
    <x v="8"/>
    <x v="7"/>
    <m/>
    <n v="2"/>
    <n v="44"/>
    <n v="9"/>
    <n v="9"/>
    <n v="28"/>
  </r>
  <r>
    <x v="8"/>
    <x v="8"/>
    <m/>
    <n v="2"/>
    <n v="5"/>
    <m/>
    <m/>
    <n v="3"/>
  </r>
  <r>
    <x v="8"/>
    <x v="9"/>
    <m/>
    <n v="2"/>
    <n v="32"/>
    <n v="5"/>
    <n v="5"/>
    <n v="23"/>
  </r>
  <r>
    <x v="8"/>
    <x v="10"/>
    <m/>
    <n v="2"/>
    <n v="15"/>
    <n v="4"/>
    <n v="4"/>
    <n v="14"/>
  </r>
  <r>
    <x v="8"/>
    <x v="11"/>
    <m/>
    <m/>
    <n v="4"/>
    <m/>
    <m/>
    <n v="3"/>
  </r>
  <r>
    <x v="8"/>
    <x v="12"/>
    <m/>
    <m/>
    <n v="21"/>
    <n v="2"/>
    <n v="2"/>
    <n v="12"/>
  </r>
  <r>
    <x v="8"/>
    <x v="13"/>
    <m/>
    <n v="4"/>
    <n v="3"/>
    <m/>
    <m/>
    <n v="2"/>
  </r>
  <r>
    <x v="8"/>
    <x v="14"/>
    <m/>
    <m/>
    <m/>
    <m/>
    <m/>
    <m/>
  </r>
  <r>
    <x v="8"/>
    <x v="15"/>
    <m/>
    <m/>
    <n v="10"/>
    <n v="2"/>
    <n v="2"/>
    <n v="6"/>
  </r>
  <r>
    <x v="8"/>
    <x v="16"/>
    <m/>
    <n v="1"/>
    <n v="9"/>
    <n v="2"/>
    <n v="2"/>
    <n v="7"/>
  </r>
  <r>
    <x v="9"/>
    <x v="0"/>
    <m/>
    <m/>
    <m/>
    <m/>
    <m/>
    <m/>
  </r>
  <r>
    <x v="9"/>
    <x v="1"/>
    <m/>
    <m/>
    <n v="1"/>
    <m/>
    <m/>
    <m/>
  </r>
  <r>
    <x v="9"/>
    <x v="2"/>
    <m/>
    <m/>
    <n v="1"/>
    <m/>
    <m/>
    <m/>
  </r>
  <r>
    <x v="9"/>
    <x v="3"/>
    <m/>
    <m/>
    <n v="1"/>
    <m/>
    <m/>
    <m/>
  </r>
  <r>
    <x v="9"/>
    <x v="4"/>
    <m/>
    <m/>
    <n v="2"/>
    <m/>
    <m/>
    <m/>
  </r>
  <r>
    <x v="9"/>
    <x v="5"/>
    <m/>
    <m/>
    <n v="1"/>
    <m/>
    <m/>
    <m/>
  </r>
  <r>
    <x v="9"/>
    <x v="6"/>
    <m/>
    <m/>
    <n v="1"/>
    <m/>
    <m/>
    <m/>
  </r>
  <r>
    <x v="9"/>
    <x v="7"/>
    <m/>
    <m/>
    <n v="1"/>
    <m/>
    <m/>
    <m/>
  </r>
  <r>
    <x v="9"/>
    <x v="8"/>
    <m/>
    <m/>
    <n v="1"/>
    <m/>
    <m/>
    <m/>
  </r>
  <r>
    <x v="9"/>
    <x v="9"/>
    <m/>
    <m/>
    <n v="1"/>
    <m/>
    <m/>
    <m/>
  </r>
  <r>
    <x v="9"/>
    <x v="10"/>
    <m/>
    <m/>
    <n v="6"/>
    <m/>
    <m/>
    <m/>
  </r>
  <r>
    <x v="9"/>
    <x v="11"/>
    <m/>
    <m/>
    <n v="1"/>
    <m/>
    <m/>
    <m/>
  </r>
  <r>
    <x v="9"/>
    <x v="12"/>
    <m/>
    <m/>
    <n v="1"/>
    <m/>
    <m/>
    <m/>
  </r>
  <r>
    <x v="9"/>
    <x v="13"/>
    <m/>
    <m/>
    <n v="1"/>
    <m/>
    <m/>
    <m/>
  </r>
  <r>
    <x v="9"/>
    <x v="14"/>
    <m/>
    <m/>
    <n v="0"/>
    <m/>
    <m/>
    <m/>
  </r>
  <r>
    <x v="9"/>
    <x v="15"/>
    <m/>
    <m/>
    <n v="1"/>
    <m/>
    <m/>
    <m/>
  </r>
  <r>
    <x v="9"/>
    <x v="16"/>
    <m/>
    <m/>
    <n v="2"/>
    <m/>
    <m/>
    <m/>
  </r>
  <r>
    <x v="10"/>
    <x v="0"/>
    <n v="0"/>
    <n v="0"/>
    <n v="69"/>
    <n v="0"/>
    <n v="0"/>
    <n v="0"/>
  </r>
  <r>
    <x v="10"/>
    <x v="1"/>
    <n v="4"/>
    <n v="4"/>
    <n v="68"/>
    <n v="0"/>
    <n v="2"/>
    <n v="3"/>
  </r>
  <r>
    <x v="10"/>
    <x v="2"/>
    <n v="4"/>
    <n v="4"/>
    <n v="106"/>
    <n v="0"/>
    <n v="2"/>
    <n v="4"/>
  </r>
  <r>
    <x v="10"/>
    <x v="3"/>
    <n v="4"/>
    <n v="4"/>
    <n v="40"/>
    <n v="0"/>
    <n v="0"/>
    <n v="2"/>
  </r>
  <r>
    <x v="10"/>
    <x v="4"/>
    <n v="4"/>
    <n v="4"/>
    <n v="127"/>
    <n v="0"/>
    <n v="2"/>
    <n v="2"/>
  </r>
  <r>
    <x v="10"/>
    <x v="5"/>
    <n v="4"/>
    <n v="4"/>
    <n v="69"/>
    <n v="0"/>
    <n v="2"/>
    <n v="4"/>
  </r>
  <r>
    <x v="10"/>
    <x v="6"/>
    <n v="4"/>
    <n v="4"/>
    <n v="47"/>
    <n v="0"/>
    <n v="0"/>
    <n v="1"/>
  </r>
  <r>
    <x v="10"/>
    <x v="7"/>
    <n v="4"/>
    <n v="4"/>
    <n v="111"/>
    <n v="0"/>
    <n v="5"/>
    <n v="16"/>
  </r>
  <r>
    <x v="10"/>
    <x v="8"/>
    <n v="1"/>
    <n v="1"/>
    <n v="41"/>
    <n v="0"/>
    <n v="0"/>
    <n v="1"/>
  </r>
  <r>
    <x v="10"/>
    <x v="9"/>
    <n v="4"/>
    <n v="4"/>
    <n v="120"/>
    <n v="0"/>
    <n v="2"/>
    <n v="18"/>
  </r>
  <r>
    <x v="10"/>
    <x v="10"/>
    <n v="3"/>
    <n v="3"/>
    <n v="61"/>
    <n v="0"/>
    <n v="0"/>
    <n v="1"/>
  </r>
  <r>
    <x v="10"/>
    <x v="11"/>
    <n v="10"/>
    <n v="10"/>
    <n v="71"/>
    <n v="0"/>
    <n v="0"/>
    <n v="0"/>
  </r>
  <r>
    <x v="10"/>
    <x v="12"/>
    <n v="8"/>
    <n v="8"/>
    <n v="142"/>
    <n v="0"/>
    <n v="0"/>
    <n v="3"/>
  </r>
  <r>
    <x v="10"/>
    <x v="13"/>
    <n v="10"/>
    <n v="12"/>
    <n v="88"/>
    <n v="0"/>
    <n v="1"/>
    <n v="4"/>
  </r>
  <r>
    <x v="10"/>
    <x v="14"/>
    <n v="0"/>
    <n v="0"/>
    <n v="641"/>
    <n v="0"/>
    <n v="0"/>
    <n v="2"/>
  </r>
  <r>
    <x v="10"/>
    <x v="15"/>
    <n v="0"/>
    <n v="0"/>
    <n v="26"/>
    <n v="0"/>
    <n v="0"/>
    <n v="0"/>
  </r>
  <r>
    <x v="10"/>
    <x v="16"/>
    <n v="15"/>
    <n v="15"/>
    <n v="61"/>
    <n v="0"/>
    <n v="0"/>
    <n v="0"/>
  </r>
  <r>
    <x v="11"/>
    <x v="0"/>
    <m/>
    <m/>
    <n v="3"/>
    <m/>
    <m/>
    <n v="7"/>
  </r>
  <r>
    <x v="11"/>
    <x v="1"/>
    <m/>
    <m/>
    <n v="47"/>
    <m/>
    <m/>
    <n v="5"/>
  </r>
  <r>
    <x v="11"/>
    <x v="2"/>
    <m/>
    <m/>
    <n v="37"/>
    <n v="10"/>
    <n v="15"/>
    <n v="73"/>
  </r>
  <r>
    <x v="11"/>
    <x v="3"/>
    <m/>
    <m/>
    <n v="49"/>
    <m/>
    <n v="2"/>
    <n v="68"/>
  </r>
  <r>
    <x v="11"/>
    <x v="4"/>
    <m/>
    <m/>
    <n v="22"/>
    <m/>
    <n v="2"/>
    <n v="52"/>
  </r>
  <r>
    <x v="11"/>
    <x v="5"/>
    <m/>
    <m/>
    <n v="44"/>
    <m/>
    <n v="19"/>
    <n v="67"/>
  </r>
  <r>
    <x v="11"/>
    <x v="6"/>
    <m/>
    <m/>
    <n v="23"/>
    <m/>
    <n v="14"/>
    <n v="49"/>
  </r>
  <r>
    <x v="11"/>
    <x v="7"/>
    <m/>
    <m/>
    <n v="31"/>
    <m/>
    <n v="51"/>
    <n v="50"/>
  </r>
  <r>
    <x v="11"/>
    <x v="8"/>
    <m/>
    <m/>
    <n v="31"/>
    <m/>
    <n v="17"/>
    <n v="62"/>
  </r>
  <r>
    <x v="11"/>
    <x v="9"/>
    <m/>
    <n v="3"/>
    <n v="59"/>
    <n v="5"/>
    <n v="12"/>
    <n v="47"/>
  </r>
  <r>
    <x v="11"/>
    <x v="10"/>
    <m/>
    <m/>
    <n v="24"/>
    <m/>
    <n v="9"/>
    <n v="35"/>
  </r>
  <r>
    <x v="11"/>
    <x v="11"/>
    <m/>
    <m/>
    <n v="28"/>
    <n v="5"/>
    <n v="17"/>
    <n v="33"/>
  </r>
  <r>
    <x v="11"/>
    <x v="12"/>
    <m/>
    <m/>
    <n v="59"/>
    <n v="10"/>
    <n v="8"/>
    <n v="44"/>
  </r>
  <r>
    <x v="11"/>
    <x v="13"/>
    <m/>
    <n v="2"/>
    <n v="60"/>
    <n v="5"/>
    <n v="20"/>
    <n v="73"/>
  </r>
  <r>
    <x v="11"/>
    <x v="14"/>
    <m/>
    <m/>
    <m/>
    <m/>
    <m/>
    <n v="9"/>
  </r>
  <r>
    <x v="11"/>
    <x v="15"/>
    <m/>
    <m/>
    <m/>
    <m/>
    <m/>
    <n v="1"/>
  </r>
  <r>
    <x v="11"/>
    <x v="16"/>
    <m/>
    <n v="2"/>
    <n v="99"/>
    <n v="10"/>
    <n v="13"/>
    <n v="63"/>
  </r>
  <r>
    <x v="12"/>
    <x v="0"/>
    <m/>
    <m/>
    <m/>
    <m/>
    <n v="3"/>
    <n v="19"/>
  </r>
  <r>
    <x v="12"/>
    <x v="1"/>
    <m/>
    <m/>
    <m/>
    <m/>
    <m/>
    <m/>
  </r>
  <r>
    <x v="12"/>
    <x v="2"/>
    <m/>
    <m/>
    <n v="6"/>
    <m/>
    <m/>
    <n v="5"/>
  </r>
  <r>
    <x v="12"/>
    <x v="3"/>
    <m/>
    <m/>
    <n v="10"/>
    <m/>
    <m/>
    <n v="10"/>
  </r>
  <r>
    <x v="12"/>
    <x v="4"/>
    <m/>
    <n v="10"/>
    <n v="14"/>
    <n v="10"/>
    <n v="3"/>
    <n v="65"/>
  </r>
  <r>
    <x v="12"/>
    <x v="5"/>
    <m/>
    <n v="20"/>
    <n v="30"/>
    <n v="3"/>
    <n v="5"/>
    <n v="43"/>
  </r>
  <r>
    <x v="12"/>
    <x v="6"/>
    <m/>
    <m/>
    <n v="6"/>
    <n v="5"/>
    <m/>
    <m/>
  </r>
  <r>
    <x v="12"/>
    <x v="7"/>
    <m/>
    <m/>
    <n v="10"/>
    <m/>
    <m/>
    <n v="2"/>
  </r>
  <r>
    <x v="12"/>
    <x v="8"/>
    <m/>
    <m/>
    <n v="10"/>
    <n v="20"/>
    <m/>
    <m/>
  </r>
  <r>
    <x v="12"/>
    <x v="9"/>
    <m/>
    <m/>
    <n v="10"/>
    <n v="20"/>
    <m/>
    <n v="2"/>
  </r>
  <r>
    <x v="12"/>
    <x v="10"/>
    <m/>
    <m/>
    <n v="6"/>
    <n v="20"/>
    <m/>
    <n v="17"/>
  </r>
  <r>
    <x v="12"/>
    <x v="11"/>
    <m/>
    <m/>
    <n v="10"/>
    <m/>
    <m/>
    <m/>
  </r>
  <r>
    <x v="12"/>
    <x v="12"/>
    <m/>
    <m/>
    <n v="4"/>
    <n v="10"/>
    <m/>
    <m/>
  </r>
  <r>
    <x v="12"/>
    <x v="13"/>
    <m/>
    <m/>
    <n v="10"/>
    <m/>
    <m/>
    <n v="4"/>
  </r>
  <r>
    <x v="12"/>
    <x v="14"/>
    <m/>
    <m/>
    <m/>
    <m/>
    <m/>
    <m/>
  </r>
  <r>
    <x v="12"/>
    <x v="15"/>
    <m/>
    <m/>
    <m/>
    <m/>
    <m/>
    <m/>
  </r>
  <r>
    <x v="12"/>
    <x v="16"/>
    <m/>
    <m/>
    <n v="16"/>
    <m/>
    <m/>
    <n v="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1">
  <r>
    <x v="0"/>
    <x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2"/>
    <n v="0"/>
    <n v="5"/>
  </r>
  <r>
    <x v="0"/>
    <x v="1"/>
    <n v="1"/>
    <n v="0"/>
    <n v="1"/>
    <n v="0"/>
    <n v="1"/>
    <n v="0"/>
    <n v="2"/>
    <n v="2"/>
    <n v="0"/>
    <n v="0"/>
    <n v="0"/>
    <n v="0"/>
    <n v="0"/>
    <n v="2"/>
    <m/>
    <n v="3"/>
    <n v="3"/>
    <n v="3"/>
    <n v="2"/>
    <n v="2"/>
    <n v="2"/>
    <n v="0"/>
    <n v="24"/>
  </r>
  <r>
    <x v="0"/>
    <x v="2"/>
    <n v="0"/>
    <n v="0"/>
    <n v="0"/>
    <n v="0"/>
    <n v="0"/>
    <n v="0"/>
    <n v="2"/>
    <n v="2"/>
    <n v="1"/>
    <n v="0"/>
    <n v="0"/>
    <n v="0"/>
    <n v="9"/>
    <n v="0"/>
    <n v="0"/>
    <n v="0"/>
    <n v="0"/>
    <n v="0"/>
    <n v="0"/>
    <n v="0"/>
    <n v="1"/>
    <n v="0"/>
    <n v="15"/>
  </r>
  <r>
    <x v="0"/>
    <x v="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6"/>
    <n v="0"/>
    <n v="3"/>
    <n v="2"/>
    <n v="16"/>
  </r>
  <r>
    <x v="0"/>
    <x v="4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66"/>
  </r>
  <r>
    <x v="0"/>
    <x v="5"/>
    <m/>
    <m/>
    <m/>
    <m/>
    <m/>
    <m/>
    <m/>
    <m/>
    <m/>
    <m/>
    <m/>
    <m/>
    <m/>
    <m/>
    <m/>
    <m/>
    <m/>
    <m/>
    <m/>
    <m/>
    <m/>
    <m/>
    <n v="0"/>
  </r>
  <r>
    <x v="0"/>
    <x v="6"/>
    <n v="0"/>
    <n v="0"/>
    <n v="0"/>
    <n v="0"/>
    <n v="0"/>
    <n v="0"/>
    <n v="1"/>
    <n v="0"/>
    <n v="0"/>
    <n v="0"/>
    <n v="0"/>
    <n v="0"/>
    <n v="1"/>
    <n v="1"/>
    <n v="1"/>
    <n v="1"/>
    <n v="1"/>
    <n v="0"/>
    <n v="1"/>
    <n v="1"/>
    <n v="0"/>
    <n v="0"/>
    <n v="8"/>
  </r>
  <r>
    <x v="0"/>
    <x v="7"/>
    <n v="0"/>
    <n v="0"/>
    <n v="0"/>
    <n v="0"/>
    <n v="0"/>
    <n v="0"/>
    <n v="1"/>
    <n v="1"/>
    <n v="1"/>
    <n v="0"/>
    <n v="0"/>
    <n v="0"/>
    <n v="5"/>
    <n v="0"/>
    <n v="0"/>
    <n v="0"/>
    <n v="0"/>
    <n v="0"/>
    <n v="0"/>
    <n v="0"/>
    <n v="0"/>
    <n v="0"/>
    <n v="8"/>
  </r>
  <r>
    <x v="0"/>
    <x v="8"/>
    <n v="1"/>
    <n v="0"/>
    <n v="1"/>
    <n v="1"/>
    <n v="1"/>
    <n v="0"/>
    <n v="0"/>
    <n v="2"/>
    <n v="2"/>
    <n v="0"/>
    <n v="0"/>
    <n v="2"/>
    <n v="2"/>
    <n v="0"/>
    <n v="0"/>
    <n v="0"/>
    <n v="0"/>
    <n v="0"/>
    <n v="2"/>
    <n v="0"/>
    <n v="2"/>
    <n v="0"/>
    <n v="16"/>
  </r>
  <r>
    <x v="0"/>
    <x v="9"/>
    <n v="0"/>
    <n v="0"/>
    <n v="0"/>
    <n v="0"/>
    <n v="0"/>
    <n v="0"/>
    <n v="4"/>
    <n v="5"/>
    <n v="0"/>
    <n v="0"/>
    <n v="2"/>
    <n v="2"/>
    <n v="4"/>
    <n v="0"/>
    <n v="0"/>
    <n v="2"/>
    <n v="1"/>
    <n v="2"/>
    <n v="2"/>
    <n v="2"/>
    <n v="2"/>
    <n v="5"/>
    <n v="33"/>
  </r>
  <r>
    <x v="0"/>
    <x v="10"/>
    <n v="0"/>
    <n v="0"/>
    <n v="0"/>
    <n v="0"/>
    <n v="0"/>
    <n v="0"/>
    <n v="2"/>
    <n v="2"/>
    <n v="2"/>
    <n v="0"/>
    <n v="0"/>
    <n v="2"/>
    <n v="2"/>
    <n v="2"/>
    <n v="0"/>
    <n v="0"/>
    <n v="0"/>
    <n v="0"/>
    <n v="0"/>
    <n v="0"/>
    <n v="2"/>
    <n v="2"/>
    <n v="16"/>
  </r>
  <r>
    <x v="0"/>
    <x v="11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1"/>
    <n v="0"/>
    <n v="1"/>
    <n v="2"/>
    <n v="8"/>
  </r>
  <r>
    <x v="0"/>
    <x v="12"/>
    <m/>
    <m/>
    <m/>
    <m/>
    <m/>
    <m/>
    <m/>
    <m/>
    <m/>
    <m/>
    <m/>
    <m/>
    <m/>
    <m/>
    <m/>
    <m/>
    <m/>
    <m/>
    <m/>
    <m/>
    <m/>
    <m/>
    <n v="0"/>
  </r>
  <r>
    <x v="0"/>
    <x v="13"/>
    <m/>
    <m/>
    <m/>
    <m/>
    <m/>
    <m/>
    <m/>
    <m/>
    <m/>
    <m/>
    <m/>
    <m/>
    <m/>
    <m/>
    <m/>
    <m/>
    <m/>
    <m/>
    <m/>
    <m/>
    <m/>
    <m/>
    <n v="0"/>
  </r>
  <r>
    <x v="0"/>
    <x v="14"/>
    <n v="0"/>
    <n v="0"/>
    <n v="0"/>
    <n v="0"/>
    <n v="0"/>
    <n v="0"/>
    <n v="3"/>
    <n v="3"/>
    <n v="3"/>
    <n v="0"/>
    <n v="0"/>
    <n v="3"/>
    <n v="3"/>
    <n v="0"/>
    <n v="0"/>
    <n v="2"/>
    <n v="0"/>
    <n v="0"/>
    <n v="3"/>
    <n v="0"/>
    <n v="3"/>
    <n v="4"/>
    <n v="27"/>
  </r>
  <r>
    <x v="0"/>
    <x v="15"/>
    <n v="1"/>
    <n v="0"/>
    <n v="0"/>
    <n v="0"/>
    <n v="0"/>
    <n v="0"/>
    <n v="1"/>
    <n v="1"/>
    <n v="1"/>
    <n v="0"/>
    <n v="0"/>
    <n v="0"/>
    <n v="1"/>
    <n v="1"/>
    <n v="0"/>
    <n v="1"/>
    <n v="0"/>
    <n v="1"/>
    <n v="1"/>
    <n v="0"/>
    <n v="1"/>
    <n v="0"/>
    <n v="10"/>
  </r>
  <r>
    <x v="0"/>
    <x v="16"/>
    <m/>
    <m/>
    <m/>
    <m/>
    <m/>
    <m/>
    <m/>
    <m/>
    <m/>
    <m/>
    <m/>
    <m/>
    <m/>
    <m/>
    <m/>
    <m/>
    <m/>
    <m/>
    <m/>
    <m/>
    <m/>
    <m/>
    <n v="0"/>
  </r>
  <r>
    <x v="0"/>
    <x v="17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8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9"/>
    <n v="0"/>
    <n v="0"/>
    <n v="0"/>
    <n v="0"/>
    <n v="0"/>
    <n v="0"/>
    <n v="2"/>
    <n v="2"/>
    <n v="1"/>
    <n v="0"/>
    <n v="0"/>
    <n v="0"/>
    <n v="6"/>
    <n v="3"/>
    <n v="2"/>
    <n v="0"/>
    <n v="0"/>
    <n v="0"/>
    <n v="0"/>
    <n v="0"/>
    <n v="1"/>
    <n v="0"/>
    <n v="17"/>
  </r>
  <r>
    <x v="0"/>
    <x v="20"/>
    <n v="3"/>
    <n v="2"/>
    <n v="0"/>
    <n v="0"/>
    <n v="0"/>
    <n v="0"/>
    <n v="2"/>
    <n v="3"/>
    <n v="0"/>
    <n v="0"/>
    <n v="0"/>
    <n v="0"/>
    <n v="2"/>
    <n v="0"/>
    <n v="0"/>
    <n v="0"/>
    <n v="0"/>
    <n v="0"/>
    <n v="4"/>
    <n v="2"/>
    <n v="2"/>
    <n v="0"/>
    <n v="20"/>
  </r>
  <r>
    <x v="0"/>
    <x v="21"/>
    <n v="0"/>
    <n v="0"/>
    <n v="0"/>
    <n v="0"/>
    <n v="0"/>
    <n v="0"/>
    <n v="2"/>
    <n v="2"/>
    <n v="2"/>
    <n v="0"/>
    <n v="0"/>
    <n v="0"/>
    <n v="2"/>
    <n v="0"/>
    <n v="0"/>
    <n v="0"/>
    <n v="0"/>
    <n v="0"/>
    <n v="1"/>
    <n v="0"/>
    <n v="1"/>
    <n v="3"/>
    <n v="13"/>
  </r>
  <r>
    <x v="0"/>
    <x v="22"/>
    <n v="0"/>
    <n v="0"/>
    <n v="0"/>
    <n v="0"/>
    <n v="0"/>
    <n v="0"/>
    <n v="1"/>
    <n v="1"/>
    <n v="1"/>
    <n v="0"/>
    <n v="1"/>
    <n v="1"/>
    <n v="1"/>
    <n v="0"/>
    <n v="0"/>
    <n v="1"/>
    <n v="0"/>
    <n v="1"/>
    <n v="1"/>
    <n v="1"/>
    <n v="1"/>
    <n v="2"/>
    <n v="13"/>
  </r>
  <r>
    <x v="0"/>
    <x v="23"/>
    <m/>
    <m/>
    <m/>
    <m/>
    <m/>
    <m/>
    <m/>
    <m/>
    <m/>
    <m/>
    <m/>
    <m/>
    <m/>
    <m/>
    <m/>
    <m/>
    <m/>
    <m/>
    <m/>
    <m/>
    <m/>
    <m/>
    <n v="0"/>
  </r>
  <r>
    <x v="0"/>
    <x v="24"/>
    <n v="2"/>
    <n v="4"/>
    <n v="2"/>
    <n v="2"/>
    <n v="2"/>
    <n v="2"/>
    <n v="7"/>
    <n v="5"/>
    <n v="3"/>
    <n v="0"/>
    <n v="0"/>
    <n v="0"/>
    <n v="7"/>
    <n v="0"/>
    <n v="0"/>
    <n v="0"/>
    <n v="0"/>
    <n v="0"/>
    <n v="3"/>
    <n v="0"/>
    <n v="7"/>
    <n v="0"/>
    <n v="46"/>
  </r>
  <r>
    <x v="0"/>
    <x v="25"/>
    <n v="1"/>
    <n v="0"/>
    <n v="1"/>
    <n v="1"/>
    <n v="1"/>
    <n v="0"/>
    <n v="0"/>
    <n v="1"/>
    <n v="2"/>
    <n v="0"/>
    <n v="0"/>
    <n v="0"/>
    <n v="0"/>
    <n v="0"/>
    <n v="0"/>
    <n v="0"/>
    <n v="0"/>
    <n v="0"/>
    <n v="0"/>
    <n v="0"/>
    <n v="2"/>
    <n v="0"/>
    <n v="9"/>
  </r>
  <r>
    <x v="0"/>
    <x v="26"/>
    <n v="1"/>
    <n v="0"/>
    <n v="1"/>
    <n v="0"/>
    <n v="0"/>
    <n v="0"/>
    <n v="2"/>
    <n v="2"/>
    <n v="2"/>
    <n v="0"/>
    <n v="0"/>
    <n v="0"/>
    <n v="2"/>
    <n v="2"/>
    <n v="2"/>
    <n v="2"/>
    <n v="2"/>
    <n v="2"/>
    <n v="1"/>
    <n v="0"/>
    <n v="1"/>
    <n v="0"/>
    <n v="22"/>
  </r>
  <r>
    <x v="0"/>
    <x v="27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1"/>
    <n v="0"/>
    <n v="3"/>
    <n v="0"/>
    <n v="7"/>
  </r>
  <r>
    <x v="0"/>
    <x v="28"/>
    <m/>
    <n v="0"/>
    <n v="0"/>
    <n v="0"/>
    <n v="0"/>
    <n v="0"/>
    <n v="1"/>
    <n v="1"/>
    <n v="1"/>
    <n v="0"/>
    <n v="0"/>
    <n v="1"/>
    <n v="1"/>
    <n v="0"/>
    <n v="0"/>
    <m/>
    <m/>
    <m/>
    <m/>
    <m/>
    <m/>
    <m/>
    <n v="5"/>
  </r>
  <r>
    <x v="0"/>
    <x v="29"/>
    <m/>
    <m/>
    <m/>
    <m/>
    <m/>
    <m/>
    <m/>
    <m/>
    <m/>
    <m/>
    <m/>
    <m/>
    <m/>
    <m/>
    <m/>
    <m/>
    <m/>
    <m/>
    <m/>
    <m/>
    <m/>
    <m/>
    <n v="0"/>
  </r>
  <r>
    <x v="0"/>
    <x v="30"/>
    <n v="12"/>
    <n v="4"/>
    <n v="0"/>
    <n v="0"/>
    <n v="0"/>
    <n v="0"/>
    <n v="7"/>
    <n v="9"/>
    <n v="9"/>
    <n v="0"/>
    <n v="0"/>
    <n v="0"/>
    <n v="6"/>
    <n v="6"/>
    <n v="11"/>
    <n v="3"/>
    <n v="2"/>
    <n v="3"/>
    <n v="9"/>
    <n v="9"/>
    <n v="6"/>
    <n v="7"/>
    <n v="103"/>
  </r>
  <r>
    <x v="0"/>
    <x v="31"/>
    <m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32"/>
    <n v="0"/>
    <n v="0"/>
    <n v="0"/>
    <n v="0"/>
    <n v="0"/>
    <n v="0"/>
    <n v="0"/>
    <n v="0"/>
    <n v="1"/>
    <n v="0"/>
    <n v="0"/>
    <n v="0"/>
    <n v="4"/>
    <n v="0"/>
    <n v="0"/>
    <n v="0"/>
    <n v="0"/>
    <n v="0"/>
    <n v="0"/>
    <n v="0"/>
    <n v="1"/>
    <n v="0"/>
    <n v="6"/>
  </r>
  <r>
    <x v="0"/>
    <x v="33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4"/>
  </r>
  <r>
    <x v="0"/>
    <x v="34"/>
    <n v="1"/>
    <n v="0"/>
    <n v="1"/>
    <n v="0"/>
    <n v="1"/>
    <n v="0"/>
    <n v="1"/>
    <n v="1"/>
    <n v="0"/>
    <n v="0"/>
    <n v="0"/>
    <n v="0"/>
    <n v="1"/>
    <n v="0"/>
    <n v="0"/>
    <n v="0"/>
    <n v="0"/>
    <n v="0"/>
    <n v="1"/>
    <n v="0"/>
    <n v="1"/>
    <m/>
    <n v="8"/>
  </r>
  <r>
    <x v="0"/>
    <x v="35"/>
    <n v="0"/>
    <n v="0"/>
    <n v="0"/>
    <n v="0"/>
    <n v="0"/>
    <n v="0"/>
    <n v="3"/>
    <n v="5"/>
    <n v="0"/>
    <n v="0"/>
    <m/>
    <n v="0"/>
    <n v="0"/>
    <n v="0"/>
    <n v="0"/>
    <n v="0"/>
    <n v="0"/>
    <n v="0"/>
    <n v="0"/>
    <n v="0"/>
    <n v="1"/>
    <n v="0"/>
    <n v="9"/>
  </r>
  <r>
    <x v="0"/>
    <x v="36"/>
    <n v="0"/>
    <n v="0"/>
    <n v="0"/>
    <n v="0"/>
    <n v="0"/>
    <n v="0"/>
    <n v="1"/>
    <n v="3"/>
    <n v="1"/>
    <n v="0"/>
    <n v="0"/>
    <n v="0"/>
    <n v="12"/>
    <n v="0"/>
    <n v="0"/>
    <n v="0"/>
    <n v="0"/>
    <n v="0"/>
    <n v="0"/>
    <n v="0"/>
    <n v="2"/>
    <n v="0"/>
    <n v="19"/>
  </r>
  <r>
    <x v="0"/>
    <x v="37"/>
    <n v="3"/>
    <n v="0"/>
    <n v="3"/>
    <n v="0"/>
    <n v="2"/>
    <n v="0"/>
    <n v="1"/>
    <n v="0"/>
    <n v="5"/>
    <n v="0"/>
    <n v="1"/>
    <n v="0"/>
    <n v="9"/>
    <n v="4"/>
    <n v="0"/>
    <n v="1"/>
    <n v="0"/>
    <n v="2"/>
    <n v="4"/>
    <n v="1"/>
    <n v="4"/>
    <n v="2"/>
    <n v="42"/>
  </r>
  <r>
    <x v="0"/>
    <x v="38"/>
    <n v="0"/>
    <n v="0"/>
    <n v="0"/>
    <n v="0"/>
    <n v="0"/>
    <n v="0"/>
    <n v="2"/>
    <n v="1"/>
    <n v="1"/>
    <n v="0"/>
    <n v="0"/>
    <n v="0"/>
    <n v="4"/>
    <n v="0"/>
    <n v="0"/>
    <n v="0"/>
    <n v="0"/>
    <n v="0"/>
    <n v="0"/>
    <n v="0"/>
    <n v="2"/>
    <n v="0"/>
    <n v="10"/>
  </r>
  <r>
    <x v="0"/>
    <x v="3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2"/>
  </r>
  <r>
    <x v="0"/>
    <x v="4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1"/>
    <n v="0"/>
    <n v="0"/>
    <n v="0"/>
    <n v="3"/>
  </r>
  <r>
    <x v="0"/>
    <x v="41"/>
    <m/>
    <m/>
    <m/>
    <m/>
    <m/>
    <m/>
    <m/>
    <m/>
    <m/>
    <m/>
    <m/>
    <m/>
    <m/>
    <m/>
    <m/>
    <m/>
    <m/>
    <m/>
    <m/>
    <m/>
    <m/>
    <m/>
    <n v="0"/>
  </r>
  <r>
    <x v="0"/>
    <x v="42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8"/>
  </r>
  <r>
    <x v="0"/>
    <x v="43"/>
    <m/>
    <m/>
    <m/>
    <m/>
    <m/>
    <m/>
    <m/>
    <m/>
    <m/>
    <m/>
    <m/>
    <m/>
    <m/>
    <m/>
    <m/>
    <m/>
    <m/>
    <m/>
    <m/>
    <m/>
    <m/>
    <m/>
    <n v="0"/>
  </r>
  <r>
    <x v="0"/>
    <x v="4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2"/>
    <n v="0"/>
    <n v="3"/>
    <n v="0"/>
    <n v="8"/>
  </r>
  <r>
    <x v="0"/>
    <x v="4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1"/>
    <n v="0"/>
    <n v="5"/>
  </r>
  <r>
    <x v="0"/>
    <x v="46"/>
    <n v="3"/>
    <n v="4"/>
    <n v="0"/>
    <n v="0"/>
    <n v="0"/>
    <n v="0"/>
    <n v="6"/>
    <n v="6"/>
    <n v="3"/>
    <n v="0"/>
    <n v="0"/>
    <n v="0"/>
    <n v="6"/>
    <n v="0"/>
    <n v="0"/>
    <n v="3"/>
    <n v="0"/>
    <n v="3"/>
    <n v="6"/>
    <n v="0"/>
    <n v="3"/>
    <n v="0"/>
    <n v="43"/>
  </r>
  <r>
    <x v="0"/>
    <x v="47"/>
    <n v="2"/>
    <n v="2"/>
    <n v="2"/>
    <n v="2"/>
    <n v="0"/>
    <n v="0"/>
    <n v="1"/>
    <n v="1"/>
    <n v="0"/>
    <n v="0"/>
    <n v="0"/>
    <n v="0"/>
    <n v="0"/>
    <n v="0"/>
    <n v="0"/>
    <n v="0"/>
    <n v="0"/>
    <n v="0"/>
    <n v="1"/>
    <n v="0"/>
    <n v="2"/>
    <n v="0"/>
    <n v="13"/>
  </r>
  <r>
    <x v="0"/>
    <x v="48"/>
    <n v="1"/>
    <n v="0"/>
    <n v="1"/>
    <n v="0"/>
    <n v="1"/>
    <m/>
    <n v="1"/>
    <n v="1"/>
    <n v="1"/>
    <n v="0"/>
    <n v="0"/>
    <n v="0"/>
    <n v="1"/>
    <n v="1"/>
    <n v="0"/>
    <n v="0"/>
    <n v="0"/>
    <n v="0"/>
    <n v="1"/>
    <n v="0"/>
    <n v="1"/>
    <n v="0"/>
    <n v="10"/>
  </r>
  <r>
    <x v="0"/>
    <x v="49"/>
    <n v="2"/>
    <n v="0"/>
    <n v="2"/>
    <n v="0"/>
    <n v="0"/>
    <n v="0"/>
    <n v="2"/>
    <n v="2"/>
    <n v="3"/>
    <n v="0"/>
    <n v="0"/>
    <n v="0"/>
    <n v="2"/>
    <n v="0"/>
    <n v="0"/>
    <n v="0"/>
    <n v="0"/>
    <n v="0"/>
    <n v="3"/>
    <n v="0"/>
    <n v="2"/>
    <n v="0"/>
    <n v="18"/>
  </r>
  <r>
    <x v="0"/>
    <x v="50"/>
    <n v="1"/>
    <n v="0"/>
    <n v="1"/>
    <n v="0"/>
    <n v="0"/>
    <n v="0"/>
    <n v="1"/>
    <n v="1"/>
    <n v="1"/>
    <n v="0"/>
    <n v="0"/>
    <n v="0"/>
    <n v="2"/>
    <n v="0"/>
    <n v="0"/>
    <n v="1"/>
    <n v="0"/>
    <n v="1"/>
    <n v="2"/>
    <n v="0"/>
    <n v="1"/>
    <n v="0"/>
    <n v="12"/>
  </r>
  <r>
    <x v="0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2"/>
  </r>
  <r>
    <x v="0"/>
    <x v="5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4"/>
    <n v="0"/>
    <n v="0"/>
    <n v="0"/>
    <n v="0"/>
    <n v="0"/>
    <n v="0"/>
    <n v="1"/>
    <n v="2"/>
    <n v="1"/>
    <n v="0"/>
    <n v="0"/>
    <n v="1"/>
    <n v="1"/>
    <n v="0"/>
    <n v="0"/>
    <n v="0"/>
    <n v="0"/>
    <n v="0"/>
    <n v="1"/>
    <n v="0"/>
    <n v="1"/>
    <n v="2"/>
    <n v="10"/>
  </r>
  <r>
    <x v="0"/>
    <x v="55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6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7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0"/>
    <n v="0"/>
    <n v="1"/>
    <n v="2"/>
    <n v="7"/>
  </r>
  <r>
    <x v="1"/>
    <x v="58"/>
    <m/>
    <m/>
    <m/>
    <m/>
    <m/>
    <m/>
    <m/>
    <m/>
    <m/>
    <m/>
    <m/>
    <m/>
    <m/>
    <m/>
    <m/>
    <m/>
    <m/>
    <m/>
    <m/>
    <m/>
    <m/>
    <m/>
    <n v="0"/>
  </r>
  <r>
    <x v="1"/>
    <x v="59"/>
    <m/>
    <m/>
    <m/>
    <m/>
    <m/>
    <m/>
    <m/>
    <m/>
    <m/>
    <m/>
    <m/>
    <m/>
    <m/>
    <m/>
    <m/>
    <m/>
    <m/>
    <m/>
    <m/>
    <m/>
    <m/>
    <m/>
    <n v="0"/>
  </r>
  <r>
    <x v="1"/>
    <x v="60"/>
    <m/>
    <m/>
    <m/>
    <m/>
    <m/>
    <m/>
    <m/>
    <m/>
    <m/>
    <m/>
    <m/>
    <m/>
    <m/>
    <m/>
    <m/>
    <m/>
    <m/>
    <m/>
    <m/>
    <m/>
    <m/>
    <m/>
    <n v="0"/>
  </r>
  <r>
    <x v="1"/>
    <x v="61"/>
    <n v="2"/>
    <m/>
    <m/>
    <m/>
    <m/>
    <m/>
    <m/>
    <m/>
    <m/>
    <m/>
    <m/>
    <m/>
    <m/>
    <m/>
    <m/>
    <m/>
    <m/>
    <m/>
    <m/>
    <m/>
    <n v="5"/>
    <m/>
    <n v="7"/>
  </r>
  <r>
    <x v="1"/>
    <x v="62"/>
    <m/>
    <m/>
    <m/>
    <m/>
    <m/>
    <m/>
    <m/>
    <n v="5"/>
    <m/>
    <m/>
    <m/>
    <m/>
    <m/>
    <m/>
    <m/>
    <m/>
    <m/>
    <m/>
    <n v="6"/>
    <m/>
    <n v="2"/>
    <m/>
    <n v="13"/>
  </r>
  <r>
    <x v="1"/>
    <x v="63"/>
    <m/>
    <m/>
    <m/>
    <m/>
    <m/>
    <m/>
    <m/>
    <m/>
    <m/>
    <m/>
    <m/>
    <m/>
    <m/>
    <m/>
    <m/>
    <m/>
    <m/>
    <m/>
    <m/>
    <m/>
    <m/>
    <m/>
    <n v="0"/>
  </r>
  <r>
    <x v="1"/>
    <x v="1"/>
    <m/>
    <m/>
    <m/>
    <m/>
    <m/>
    <m/>
    <m/>
    <m/>
    <m/>
    <m/>
    <m/>
    <m/>
    <m/>
    <m/>
    <m/>
    <m/>
    <m/>
    <m/>
    <m/>
    <m/>
    <m/>
    <m/>
    <n v="0"/>
  </r>
  <r>
    <x v="1"/>
    <x v="2"/>
    <m/>
    <m/>
    <m/>
    <m/>
    <m/>
    <m/>
    <m/>
    <m/>
    <m/>
    <m/>
    <m/>
    <m/>
    <m/>
    <m/>
    <m/>
    <m/>
    <m/>
    <m/>
    <m/>
    <m/>
    <m/>
    <m/>
    <n v="0"/>
  </r>
  <r>
    <x v="1"/>
    <x v="3"/>
    <n v="1"/>
    <n v="1"/>
    <n v="1"/>
    <n v="1"/>
    <n v="1"/>
    <n v="1"/>
    <n v="1"/>
    <n v="1"/>
    <n v="1"/>
    <n v="1"/>
    <n v="1"/>
    <n v="1"/>
    <n v="1"/>
    <n v="0"/>
    <n v="2"/>
    <n v="1"/>
    <n v="1"/>
    <n v="1"/>
    <n v="1"/>
    <n v="1"/>
    <n v="1"/>
    <n v="1"/>
    <n v="22"/>
  </r>
  <r>
    <x v="1"/>
    <x v="4"/>
    <m/>
    <m/>
    <m/>
    <m/>
    <m/>
    <m/>
    <m/>
    <m/>
    <m/>
    <m/>
    <m/>
    <m/>
    <m/>
    <m/>
    <m/>
    <m/>
    <m/>
    <m/>
    <m/>
    <m/>
    <m/>
    <m/>
    <n v="0"/>
  </r>
  <r>
    <x v="1"/>
    <x v="5"/>
    <m/>
    <m/>
    <m/>
    <m/>
    <m/>
    <m/>
    <m/>
    <m/>
    <m/>
    <m/>
    <m/>
    <m/>
    <m/>
    <m/>
    <m/>
    <m/>
    <m/>
    <m/>
    <m/>
    <m/>
    <m/>
    <m/>
    <n v="0"/>
  </r>
  <r>
    <x v="1"/>
    <x v="6"/>
    <n v="1"/>
    <n v="1"/>
    <m/>
    <m/>
    <m/>
    <m/>
    <m/>
    <m/>
    <m/>
    <m/>
    <m/>
    <m/>
    <m/>
    <m/>
    <m/>
    <m/>
    <m/>
    <m/>
    <m/>
    <m/>
    <n v="1"/>
    <m/>
    <n v="3"/>
  </r>
  <r>
    <x v="1"/>
    <x v="8"/>
    <m/>
    <m/>
    <m/>
    <m/>
    <m/>
    <m/>
    <m/>
    <m/>
    <m/>
    <m/>
    <m/>
    <m/>
    <m/>
    <m/>
    <m/>
    <m/>
    <m/>
    <m/>
    <m/>
    <m/>
    <m/>
    <m/>
    <n v="0"/>
  </r>
  <r>
    <x v="1"/>
    <x v="64"/>
    <m/>
    <m/>
    <m/>
    <m/>
    <m/>
    <m/>
    <n v="2"/>
    <m/>
    <m/>
    <m/>
    <m/>
    <m/>
    <m/>
    <m/>
    <m/>
    <m/>
    <m/>
    <m/>
    <m/>
    <m/>
    <m/>
    <m/>
    <n v="2"/>
  </r>
  <r>
    <x v="1"/>
    <x v="9"/>
    <n v="5"/>
    <n v="2"/>
    <n v="5"/>
    <n v="2"/>
    <n v="5"/>
    <n v="2"/>
    <n v="5"/>
    <n v="5"/>
    <m/>
    <m/>
    <m/>
    <m/>
    <m/>
    <n v="5"/>
    <n v="2"/>
    <m/>
    <m/>
    <m/>
    <n v="6"/>
    <m/>
    <n v="6"/>
    <m/>
    <n v="50"/>
  </r>
  <r>
    <x v="1"/>
    <x v="10"/>
    <m/>
    <m/>
    <m/>
    <m/>
    <m/>
    <m/>
    <m/>
    <m/>
    <m/>
    <m/>
    <m/>
    <m/>
    <m/>
    <m/>
    <m/>
    <m/>
    <m/>
    <m/>
    <m/>
    <m/>
    <m/>
    <m/>
    <n v="0"/>
  </r>
  <r>
    <x v="1"/>
    <x v="11"/>
    <m/>
    <m/>
    <m/>
    <m/>
    <m/>
    <m/>
    <m/>
    <m/>
    <m/>
    <m/>
    <m/>
    <m/>
    <m/>
    <m/>
    <m/>
    <m/>
    <m/>
    <m/>
    <m/>
    <m/>
    <m/>
    <m/>
    <n v="0"/>
  </r>
  <r>
    <x v="1"/>
    <x v="12"/>
    <m/>
    <m/>
    <m/>
    <m/>
    <m/>
    <m/>
    <m/>
    <m/>
    <m/>
    <m/>
    <m/>
    <m/>
    <m/>
    <m/>
    <m/>
    <m/>
    <m/>
    <m/>
    <m/>
    <m/>
    <m/>
    <m/>
    <n v="0"/>
  </r>
  <r>
    <x v="1"/>
    <x v="13"/>
    <m/>
    <m/>
    <m/>
    <m/>
    <m/>
    <m/>
    <m/>
    <m/>
    <m/>
    <m/>
    <m/>
    <m/>
    <m/>
    <m/>
    <m/>
    <m/>
    <m/>
    <m/>
    <m/>
    <m/>
    <m/>
    <m/>
    <n v="0"/>
  </r>
  <r>
    <x v="1"/>
    <x v="14"/>
    <m/>
    <n v="2"/>
    <m/>
    <m/>
    <n v="1"/>
    <n v="1"/>
    <m/>
    <n v="7"/>
    <m/>
    <m/>
    <m/>
    <m/>
    <n v="7"/>
    <m/>
    <m/>
    <m/>
    <m/>
    <m/>
    <n v="8"/>
    <m/>
    <n v="3"/>
    <m/>
    <n v="29"/>
  </r>
  <r>
    <x v="1"/>
    <x v="15"/>
    <m/>
    <m/>
    <m/>
    <m/>
    <m/>
    <m/>
    <m/>
    <m/>
    <m/>
    <m/>
    <m/>
    <m/>
    <m/>
    <m/>
    <m/>
    <m/>
    <m/>
    <m/>
    <m/>
    <m/>
    <m/>
    <m/>
    <n v="0"/>
  </r>
  <r>
    <x v="1"/>
    <x v="16"/>
    <m/>
    <m/>
    <m/>
    <m/>
    <m/>
    <m/>
    <m/>
    <m/>
    <m/>
    <m/>
    <m/>
    <m/>
    <m/>
    <m/>
    <m/>
    <m/>
    <m/>
    <m/>
    <m/>
    <m/>
    <m/>
    <m/>
    <n v="0"/>
  </r>
  <r>
    <x v="1"/>
    <x v="17"/>
    <m/>
    <m/>
    <m/>
    <m/>
    <m/>
    <m/>
    <m/>
    <n v="2"/>
    <m/>
    <m/>
    <m/>
    <m/>
    <m/>
    <m/>
    <m/>
    <m/>
    <m/>
    <m/>
    <n v="2"/>
    <m/>
    <n v="2"/>
    <m/>
    <n v="6"/>
  </r>
  <r>
    <x v="1"/>
    <x v="18"/>
    <m/>
    <m/>
    <m/>
    <m/>
    <m/>
    <m/>
    <m/>
    <m/>
    <m/>
    <m/>
    <m/>
    <m/>
    <m/>
    <n v="2"/>
    <n v="2"/>
    <m/>
    <m/>
    <m/>
    <m/>
    <m/>
    <m/>
    <m/>
    <n v="4"/>
  </r>
  <r>
    <x v="1"/>
    <x v="19"/>
    <m/>
    <m/>
    <m/>
    <m/>
    <m/>
    <m/>
    <m/>
    <m/>
    <m/>
    <m/>
    <m/>
    <m/>
    <m/>
    <m/>
    <n v="1"/>
    <m/>
    <m/>
    <m/>
    <n v="1"/>
    <m/>
    <n v="1"/>
    <m/>
    <n v="3"/>
  </r>
  <r>
    <x v="1"/>
    <x v="21"/>
    <m/>
    <m/>
    <m/>
    <m/>
    <m/>
    <m/>
    <n v="1"/>
    <n v="2"/>
    <m/>
    <m/>
    <m/>
    <m/>
    <n v="1"/>
    <n v="1"/>
    <m/>
    <m/>
    <m/>
    <m/>
    <n v="2"/>
    <m/>
    <n v="6"/>
    <m/>
    <n v="13"/>
  </r>
  <r>
    <x v="1"/>
    <x v="22"/>
    <m/>
    <m/>
    <m/>
    <m/>
    <m/>
    <m/>
    <m/>
    <m/>
    <m/>
    <m/>
    <m/>
    <m/>
    <m/>
    <m/>
    <m/>
    <m/>
    <m/>
    <m/>
    <m/>
    <m/>
    <m/>
    <m/>
    <n v="0"/>
  </r>
  <r>
    <x v="1"/>
    <x v="23"/>
    <n v="0"/>
    <n v="0"/>
    <n v="0"/>
    <n v="0"/>
    <n v="0"/>
    <n v="1"/>
    <n v="1"/>
    <n v="0"/>
    <n v="0"/>
    <n v="0"/>
    <n v="0"/>
    <n v="2"/>
    <n v="1"/>
    <n v="1"/>
    <n v="0"/>
    <n v="0"/>
    <n v="0"/>
    <n v="1"/>
    <n v="0"/>
    <n v="1"/>
    <n v="0"/>
    <n v="0"/>
    <n v="8"/>
  </r>
  <r>
    <x v="1"/>
    <x v="25"/>
    <m/>
    <m/>
    <m/>
    <m/>
    <m/>
    <m/>
    <n v="3"/>
    <n v="1"/>
    <m/>
    <m/>
    <m/>
    <m/>
    <n v="2"/>
    <n v="2"/>
    <m/>
    <n v="4"/>
    <m/>
    <n v="4"/>
    <n v="8"/>
    <m/>
    <n v="2"/>
    <m/>
    <n v="26"/>
  </r>
  <r>
    <x v="1"/>
    <x v="26"/>
    <m/>
    <m/>
    <m/>
    <m/>
    <m/>
    <m/>
    <n v="4"/>
    <n v="1"/>
    <m/>
    <m/>
    <m/>
    <m/>
    <n v="4"/>
    <n v="2"/>
    <m/>
    <n v="3"/>
    <m/>
    <n v="3"/>
    <n v="6"/>
    <m/>
    <n v="3"/>
    <m/>
    <n v="26"/>
  </r>
  <r>
    <x v="1"/>
    <x v="65"/>
    <n v="41"/>
    <n v="1"/>
    <m/>
    <m/>
    <m/>
    <m/>
    <m/>
    <n v="15"/>
    <m/>
    <m/>
    <m/>
    <m/>
    <n v="5"/>
    <m/>
    <m/>
    <n v="8"/>
    <m/>
    <m/>
    <n v="17"/>
    <m/>
    <n v="12"/>
    <m/>
    <n v="99"/>
  </r>
  <r>
    <x v="1"/>
    <x v="27"/>
    <n v="1"/>
    <n v="1"/>
    <m/>
    <m/>
    <n v="1"/>
    <n v="1"/>
    <m/>
    <m/>
    <m/>
    <m/>
    <m/>
    <m/>
    <m/>
    <m/>
    <m/>
    <m/>
    <m/>
    <m/>
    <n v="3"/>
    <m/>
    <n v="4"/>
    <m/>
    <n v="11"/>
  </r>
  <r>
    <x v="1"/>
    <x v="28"/>
    <m/>
    <m/>
    <m/>
    <m/>
    <m/>
    <m/>
    <m/>
    <m/>
    <m/>
    <m/>
    <m/>
    <m/>
    <m/>
    <m/>
    <m/>
    <m/>
    <m/>
    <m/>
    <m/>
    <m/>
    <m/>
    <m/>
    <n v="0"/>
  </r>
  <r>
    <x v="1"/>
    <x v="29"/>
    <n v="1"/>
    <m/>
    <n v="1"/>
    <m/>
    <n v="1"/>
    <m/>
    <n v="1"/>
    <n v="1"/>
    <n v="1"/>
    <m/>
    <m/>
    <m/>
    <n v="1"/>
    <n v="1"/>
    <m/>
    <m/>
    <m/>
    <m/>
    <n v="1"/>
    <m/>
    <m/>
    <m/>
    <n v="9"/>
  </r>
  <r>
    <x v="1"/>
    <x v="30"/>
    <n v="6"/>
    <n v="14"/>
    <n v="1"/>
    <n v="12"/>
    <n v="1"/>
    <n v="2"/>
    <n v="0"/>
    <n v="0"/>
    <n v="3"/>
    <n v="0"/>
    <n v="0"/>
    <n v="0"/>
    <n v="3"/>
    <n v="3"/>
    <n v="3"/>
    <n v="0"/>
    <n v="0"/>
    <n v="0"/>
    <n v="6"/>
    <n v="0"/>
    <n v="1"/>
    <n v="0"/>
    <n v="55"/>
  </r>
  <r>
    <x v="1"/>
    <x v="31"/>
    <m/>
    <m/>
    <m/>
    <m/>
    <m/>
    <m/>
    <m/>
    <n v="2"/>
    <m/>
    <m/>
    <m/>
    <m/>
    <n v="4"/>
    <m/>
    <m/>
    <m/>
    <m/>
    <m/>
    <n v="8"/>
    <m/>
    <n v="9"/>
    <m/>
    <n v="23"/>
  </r>
  <r>
    <x v="1"/>
    <x v="32"/>
    <m/>
    <m/>
    <m/>
    <m/>
    <m/>
    <m/>
    <m/>
    <m/>
    <m/>
    <m/>
    <m/>
    <m/>
    <m/>
    <m/>
    <m/>
    <m/>
    <m/>
    <m/>
    <m/>
    <m/>
    <m/>
    <m/>
    <n v="0"/>
  </r>
  <r>
    <x v="1"/>
    <x v="33"/>
    <m/>
    <m/>
    <m/>
    <m/>
    <m/>
    <m/>
    <m/>
    <m/>
    <m/>
    <m/>
    <m/>
    <m/>
    <m/>
    <m/>
    <m/>
    <m/>
    <m/>
    <m/>
    <n v="5"/>
    <m/>
    <n v="5"/>
    <m/>
    <n v="10"/>
  </r>
  <r>
    <x v="1"/>
    <x v="34"/>
    <m/>
    <m/>
    <m/>
    <m/>
    <m/>
    <m/>
    <n v="2"/>
    <n v="1"/>
    <m/>
    <m/>
    <m/>
    <m/>
    <n v="2"/>
    <n v="2"/>
    <m/>
    <n v="2"/>
    <m/>
    <n v="2"/>
    <n v="7"/>
    <m/>
    <n v="2"/>
    <m/>
    <n v="20"/>
  </r>
  <r>
    <x v="1"/>
    <x v="66"/>
    <m/>
    <m/>
    <m/>
    <m/>
    <m/>
    <m/>
    <m/>
    <m/>
    <m/>
    <m/>
    <m/>
    <m/>
    <m/>
    <m/>
    <m/>
    <m/>
    <m/>
    <m/>
    <m/>
    <m/>
    <m/>
    <m/>
    <n v="0"/>
  </r>
  <r>
    <x v="1"/>
    <x v="36"/>
    <n v="0"/>
    <n v="0"/>
    <n v="0"/>
    <n v="0"/>
    <n v="0"/>
    <n v="0"/>
    <n v="1"/>
    <n v="8"/>
    <n v="0"/>
    <n v="0"/>
    <n v="0"/>
    <n v="0"/>
    <n v="0"/>
    <n v="0"/>
    <n v="0"/>
    <n v="0"/>
    <n v="0"/>
    <n v="0"/>
    <n v="10"/>
    <n v="3"/>
    <n v="26"/>
    <n v="0"/>
    <n v="48"/>
  </r>
  <r>
    <x v="1"/>
    <x v="37"/>
    <m/>
    <m/>
    <m/>
    <m/>
    <m/>
    <m/>
    <m/>
    <m/>
    <m/>
    <m/>
    <m/>
    <m/>
    <m/>
    <m/>
    <m/>
    <m/>
    <m/>
    <m/>
    <m/>
    <m/>
    <m/>
    <m/>
    <n v="0"/>
  </r>
  <r>
    <x v="1"/>
    <x v="38"/>
    <m/>
    <m/>
    <m/>
    <m/>
    <m/>
    <m/>
    <m/>
    <m/>
    <m/>
    <m/>
    <m/>
    <m/>
    <m/>
    <m/>
    <m/>
    <m/>
    <m/>
    <m/>
    <m/>
    <m/>
    <m/>
    <m/>
    <n v="0"/>
  </r>
  <r>
    <x v="1"/>
    <x v="39"/>
    <m/>
    <m/>
    <m/>
    <m/>
    <m/>
    <m/>
    <m/>
    <m/>
    <m/>
    <m/>
    <m/>
    <m/>
    <m/>
    <m/>
    <m/>
    <m/>
    <m/>
    <m/>
    <m/>
    <m/>
    <m/>
    <m/>
    <n v="0"/>
  </r>
  <r>
    <x v="1"/>
    <x v="40"/>
    <m/>
    <m/>
    <m/>
    <m/>
    <m/>
    <m/>
    <m/>
    <m/>
    <m/>
    <m/>
    <m/>
    <m/>
    <m/>
    <m/>
    <m/>
    <m/>
    <m/>
    <m/>
    <m/>
    <m/>
    <m/>
    <m/>
    <n v="0"/>
  </r>
  <r>
    <x v="1"/>
    <x v="41"/>
    <m/>
    <m/>
    <m/>
    <m/>
    <m/>
    <m/>
    <m/>
    <m/>
    <m/>
    <m/>
    <m/>
    <m/>
    <m/>
    <m/>
    <m/>
    <m/>
    <m/>
    <m/>
    <m/>
    <m/>
    <m/>
    <m/>
    <n v="0"/>
  </r>
  <r>
    <x v="1"/>
    <x v="43"/>
    <n v="1"/>
    <m/>
    <n v="1"/>
    <m/>
    <m/>
    <m/>
    <m/>
    <m/>
    <n v="1"/>
    <m/>
    <m/>
    <m/>
    <m/>
    <m/>
    <m/>
    <m/>
    <m/>
    <m/>
    <n v="1"/>
    <m/>
    <m/>
    <m/>
    <n v="4"/>
  </r>
  <r>
    <x v="1"/>
    <x v="44"/>
    <m/>
    <m/>
    <n v="6"/>
    <n v="6"/>
    <n v="1"/>
    <n v="1"/>
    <m/>
    <m/>
    <m/>
    <m/>
    <m/>
    <m/>
    <m/>
    <m/>
    <m/>
    <m/>
    <m/>
    <m/>
    <n v="4"/>
    <m/>
    <n v="4"/>
    <m/>
    <n v="22"/>
  </r>
  <r>
    <x v="1"/>
    <x v="45"/>
    <m/>
    <m/>
    <m/>
    <m/>
    <m/>
    <m/>
    <m/>
    <m/>
    <m/>
    <m/>
    <m/>
    <m/>
    <m/>
    <m/>
    <m/>
    <m/>
    <m/>
    <m/>
    <m/>
    <m/>
    <m/>
    <m/>
    <n v="0"/>
  </r>
  <r>
    <x v="1"/>
    <x v="46"/>
    <n v="6"/>
    <n v="5"/>
    <n v="5"/>
    <n v="5"/>
    <n v="5"/>
    <n v="5"/>
    <n v="4"/>
    <n v="4"/>
    <n v="4"/>
    <m/>
    <m/>
    <m/>
    <n v="4"/>
    <n v="4"/>
    <n v="4"/>
    <m/>
    <m/>
    <m/>
    <n v="5"/>
    <n v="1"/>
    <n v="6"/>
    <m/>
    <n v="67"/>
  </r>
  <r>
    <x v="1"/>
    <x v="67"/>
    <m/>
    <m/>
    <m/>
    <m/>
    <m/>
    <m/>
    <n v="3"/>
    <m/>
    <m/>
    <m/>
    <m/>
    <m/>
    <m/>
    <n v="5"/>
    <m/>
    <m/>
    <m/>
    <m/>
    <n v="7"/>
    <m/>
    <n v="6"/>
    <m/>
    <n v="21"/>
  </r>
  <r>
    <x v="2"/>
    <x v="58"/>
    <m/>
    <m/>
    <m/>
    <m/>
    <m/>
    <m/>
    <m/>
    <m/>
    <m/>
    <m/>
    <m/>
    <m/>
    <m/>
    <m/>
    <m/>
    <m/>
    <m/>
    <m/>
    <m/>
    <m/>
    <m/>
    <m/>
    <n v="0"/>
  </r>
  <r>
    <x v="2"/>
    <x v="59"/>
    <m/>
    <m/>
    <m/>
    <m/>
    <m/>
    <m/>
    <m/>
    <m/>
    <m/>
    <m/>
    <m/>
    <m/>
    <m/>
    <m/>
    <m/>
    <m/>
    <m/>
    <m/>
    <m/>
    <m/>
    <m/>
    <m/>
    <n v="0"/>
  </r>
  <r>
    <x v="2"/>
    <x v="60"/>
    <m/>
    <m/>
    <m/>
    <m/>
    <m/>
    <m/>
    <m/>
    <m/>
    <m/>
    <m/>
    <m/>
    <m/>
    <m/>
    <m/>
    <m/>
    <m/>
    <m/>
    <m/>
    <m/>
    <m/>
    <m/>
    <m/>
    <n v="0"/>
  </r>
  <r>
    <x v="2"/>
    <x v="61"/>
    <m/>
    <m/>
    <m/>
    <m/>
    <m/>
    <m/>
    <m/>
    <m/>
    <m/>
    <m/>
    <m/>
    <m/>
    <m/>
    <m/>
    <m/>
    <m/>
    <m/>
    <m/>
    <m/>
    <m/>
    <m/>
    <m/>
    <n v="0"/>
  </r>
  <r>
    <x v="2"/>
    <x v="62"/>
    <m/>
    <m/>
    <m/>
    <m/>
    <m/>
    <m/>
    <m/>
    <m/>
    <m/>
    <m/>
    <m/>
    <m/>
    <m/>
    <m/>
    <m/>
    <m/>
    <m/>
    <m/>
    <m/>
    <m/>
    <m/>
    <m/>
    <n v="0"/>
  </r>
  <r>
    <x v="2"/>
    <x v="63"/>
    <m/>
    <m/>
    <m/>
    <m/>
    <m/>
    <m/>
    <m/>
    <m/>
    <m/>
    <m/>
    <m/>
    <m/>
    <m/>
    <m/>
    <m/>
    <m/>
    <m/>
    <m/>
    <m/>
    <m/>
    <m/>
    <m/>
    <n v="0"/>
  </r>
  <r>
    <x v="2"/>
    <x v="1"/>
    <m/>
    <m/>
    <m/>
    <m/>
    <m/>
    <m/>
    <m/>
    <m/>
    <m/>
    <m/>
    <m/>
    <m/>
    <m/>
    <m/>
    <m/>
    <m/>
    <m/>
    <m/>
    <m/>
    <m/>
    <m/>
    <m/>
    <n v="0"/>
  </r>
  <r>
    <x v="2"/>
    <x v="2"/>
    <m/>
    <m/>
    <m/>
    <m/>
    <m/>
    <m/>
    <n v="1"/>
    <n v="1"/>
    <m/>
    <m/>
    <m/>
    <m/>
    <n v="1"/>
    <m/>
    <m/>
    <m/>
    <m/>
    <m/>
    <m/>
    <m/>
    <m/>
    <m/>
    <n v="3"/>
  </r>
  <r>
    <x v="2"/>
    <x v="3"/>
    <m/>
    <m/>
    <m/>
    <m/>
    <m/>
    <m/>
    <m/>
    <m/>
    <m/>
    <m/>
    <m/>
    <m/>
    <m/>
    <m/>
    <m/>
    <m/>
    <m/>
    <m/>
    <m/>
    <m/>
    <m/>
    <m/>
    <n v="0"/>
  </r>
  <r>
    <x v="2"/>
    <x v="4"/>
    <m/>
    <m/>
    <m/>
    <m/>
    <m/>
    <m/>
    <m/>
    <m/>
    <m/>
    <m/>
    <m/>
    <m/>
    <m/>
    <m/>
    <m/>
    <m/>
    <m/>
    <m/>
    <m/>
    <m/>
    <m/>
    <m/>
    <n v="0"/>
  </r>
  <r>
    <x v="2"/>
    <x v="5"/>
    <m/>
    <m/>
    <m/>
    <m/>
    <m/>
    <m/>
    <m/>
    <m/>
    <m/>
    <m/>
    <m/>
    <m/>
    <m/>
    <m/>
    <m/>
    <m/>
    <m/>
    <m/>
    <m/>
    <m/>
    <m/>
    <m/>
    <n v="0"/>
  </r>
  <r>
    <x v="2"/>
    <x v="6"/>
    <m/>
    <m/>
    <m/>
    <m/>
    <m/>
    <m/>
    <m/>
    <m/>
    <m/>
    <m/>
    <m/>
    <m/>
    <m/>
    <m/>
    <m/>
    <m/>
    <m/>
    <m/>
    <m/>
    <m/>
    <m/>
    <m/>
    <n v="0"/>
  </r>
  <r>
    <x v="2"/>
    <x v="8"/>
    <m/>
    <m/>
    <m/>
    <m/>
    <m/>
    <m/>
    <m/>
    <m/>
    <m/>
    <m/>
    <m/>
    <m/>
    <m/>
    <m/>
    <m/>
    <m/>
    <m/>
    <m/>
    <m/>
    <m/>
    <m/>
    <m/>
    <n v="0"/>
  </r>
  <r>
    <x v="2"/>
    <x v="64"/>
    <m/>
    <m/>
    <m/>
    <m/>
    <m/>
    <m/>
    <m/>
    <m/>
    <m/>
    <m/>
    <m/>
    <m/>
    <m/>
    <m/>
    <m/>
    <m/>
    <m/>
    <m/>
    <m/>
    <m/>
    <m/>
    <m/>
    <n v="0"/>
  </r>
  <r>
    <x v="2"/>
    <x v="9"/>
    <m/>
    <m/>
    <m/>
    <m/>
    <m/>
    <m/>
    <m/>
    <m/>
    <m/>
    <m/>
    <m/>
    <m/>
    <m/>
    <m/>
    <m/>
    <m/>
    <m/>
    <m/>
    <m/>
    <m/>
    <m/>
    <m/>
    <n v="0"/>
  </r>
  <r>
    <x v="2"/>
    <x v="10"/>
    <m/>
    <m/>
    <m/>
    <m/>
    <m/>
    <m/>
    <m/>
    <m/>
    <m/>
    <m/>
    <m/>
    <m/>
    <m/>
    <m/>
    <m/>
    <m/>
    <m/>
    <m/>
    <m/>
    <m/>
    <m/>
    <m/>
    <n v="0"/>
  </r>
  <r>
    <x v="2"/>
    <x v="11"/>
    <m/>
    <m/>
    <m/>
    <m/>
    <m/>
    <m/>
    <m/>
    <m/>
    <m/>
    <m/>
    <m/>
    <m/>
    <m/>
    <m/>
    <m/>
    <m/>
    <m/>
    <m/>
    <m/>
    <m/>
    <m/>
    <m/>
    <n v="0"/>
  </r>
  <r>
    <x v="2"/>
    <x v="12"/>
    <m/>
    <m/>
    <m/>
    <m/>
    <m/>
    <m/>
    <m/>
    <m/>
    <m/>
    <m/>
    <m/>
    <m/>
    <m/>
    <m/>
    <m/>
    <m/>
    <m/>
    <m/>
    <m/>
    <m/>
    <m/>
    <m/>
    <n v="0"/>
  </r>
  <r>
    <x v="2"/>
    <x v="13"/>
    <m/>
    <m/>
    <m/>
    <m/>
    <m/>
    <m/>
    <m/>
    <m/>
    <m/>
    <m/>
    <m/>
    <m/>
    <m/>
    <m/>
    <m/>
    <m/>
    <m/>
    <m/>
    <m/>
    <m/>
    <m/>
    <m/>
    <n v="0"/>
  </r>
  <r>
    <x v="2"/>
    <x v="14"/>
    <m/>
    <m/>
    <m/>
    <m/>
    <m/>
    <m/>
    <m/>
    <m/>
    <m/>
    <m/>
    <m/>
    <m/>
    <m/>
    <m/>
    <m/>
    <m/>
    <m/>
    <m/>
    <m/>
    <m/>
    <m/>
    <m/>
    <n v="0"/>
  </r>
  <r>
    <x v="2"/>
    <x v="15"/>
    <m/>
    <m/>
    <m/>
    <m/>
    <m/>
    <m/>
    <m/>
    <m/>
    <m/>
    <m/>
    <m/>
    <m/>
    <m/>
    <m/>
    <m/>
    <m/>
    <m/>
    <m/>
    <m/>
    <m/>
    <m/>
    <m/>
    <n v="0"/>
  </r>
  <r>
    <x v="2"/>
    <x v="16"/>
    <m/>
    <m/>
    <m/>
    <m/>
    <m/>
    <m/>
    <m/>
    <m/>
    <m/>
    <m/>
    <m/>
    <m/>
    <m/>
    <m/>
    <m/>
    <m/>
    <m/>
    <m/>
    <m/>
    <m/>
    <m/>
    <m/>
    <n v="0"/>
  </r>
  <r>
    <x v="2"/>
    <x v="17"/>
    <m/>
    <m/>
    <m/>
    <m/>
    <m/>
    <m/>
    <m/>
    <m/>
    <m/>
    <m/>
    <m/>
    <m/>
    <m/>
    <m/>
    <m/>
    <m/>
    <m/>
    <m/>
    <m/>
    <m/>
    <m/>
    <m/>
    <n v="0"/>
  </r>
  <r>
    <x v="2"/>
    <x v="18"/>
    <m/>
    <m/>
    <m/>
    <m/>
    <m/>
    <m/>
    <m/>
    <m/>
    <m/>
    <m/>
    <m/>
    <m/>
    <m/>
    <m/>
    <m/>
    <m/>
    <m/>
    <m/>
    <m/>
    <m/>
    <m/>
    <m/>
    <n v="0"/>
  </r>
  <r>
    <x v="2"/>
    <x v="19"/>
    <m/>
    <m/>
    <m/>
    <m/>
    <m/>
    <m/>
    <m/>
    <m/>
    <m/>
    <m/>
    <m/>
    <m/>
    <m/>
    <m/>
    <m/>
    <m/>
    <m/>
    <m/>
    <m/>
    <m/>
    <m/>
    <m/>
    <n v="0"/>
  </r>
  <r>
    <x v="2"/>
    <x v="21"/>
    <m/>
    <m/>
    <m/>
    <m/>
    <m/>
    <m/>
    <m/>
    <m/>
    <m/>
    <m/>
    <m/>
    <m/>
    <m/>
    <m/>
    <m/>
    <m/>
    <m/>
    <m/>
    <m/>
    <m/>
    <m/>
    <m/>
    <n v="0"/>
  </r>
  <r>
    <x v="2"/>
    <x v="22"/>
    <m/>
    <m/>
    <m/>
    <m/>
    <m/>
    <m/>
    <m/>
    <m/>
    <m/>
    <m/>
    <m/>
    <m/>
    <m/>
    <m/>
    <m/>
    <m/>
    <m/>
    <m/>
    <m/>
    <m/>
    <m/>
    <m/>
    <n v="0"/>
  </r>
  <r>
    <x v="2"/>
    <x v="23"/>
    <m/>
    <m/>
    <m/>
    <m/>
    <m/>
    <m/>
    <m/>
    <m/>
    <m/>
    <m/>
    <m/>
    <m/>
    <m/>
    <m/>
    <m/>
    <m/>
    <m/>
    <m/>
    <m/>
    <m/>
    <m/>
    <m/>
    <n v="0"/>
  </r>
  <r>
    <x v="2"/>
    <x v="25"/>
    <m/>
    <m/>
    <m/>
    <m/>
    <m/>
    <m/>
    <m/>
    <m/>
    <m/>
    <m/>
    <m/>
    <m/>
    <m/>
    <m/>
    <m/>
    <m/>
    <m/>
    <m/>
    <m/>
    <m/>
    <m/>
    <m/>
    <n v="0"/>
  </r>
  <r>
    <x v="2"/>
    <x v="26"/>
    <m/>
    <m/>
    <m/>
    <m/>
    <m/>
    <m/>
    <m/>
    <m/>
    <m/>
    <m/>
    <m/>
    <m/>
    <m/>
    <m/>
    <m/>
    <m/>
    <m/>
    <m/>
    <m/>
    <m/>
    <m/>
    <m/>
    <n v="0"/>
  </r>
  <r>
    <x v="2"/>
    <x v="65"/>
    <n v="2"/>
    <m/>
    <m/>
    <m/>
    <m/>
    <m/>
    <n v="5"/>
    <n v="5"/>
    <n v="4"/>
    <n v="1"/>
    <m/>
    <m/>
    <n v="4"/>
    <n v="7"/>
    <n v="5"/>
    <m/>
    <m/>
    <m/>
    <n v="2"/>
    <m/>
    <n v="2"/>
    <n v="2"/>
    <n v="39"/>
  </r>
  <r>
    <x v="2"/>
    <x v="27"/>
    <m/>
    <m/>
    <m/>
    <m/>
    <m/>
    <m/>
    <m/>
    <m/>
    <m/>
    <m/>
    <m/>
    <m/>
    <m/>
    <m/>
    <m/>
    <m/>
    <m/>
    <m/>
    <m/>
    <m/>
    <m/>
    <m/>
    <n v="0"/>
  </r>
  <r>
    <x v="2"/>
    <x v="28"/>
    <m/>
    <m/>
    <m/>
    <m/>
    <m/>
    <m/>
    <m/>
    <m/>
    <m/>
    <m/>
    <m/>
    <m/>
    <m/>
    <m/>
    <m/>
    <m/>
    <m/>
    <m/>
    <m/>
    <m/>
    <m/>
    <m/>
    <n v="0"/>
  </r>
  <r>
    <x v="2"/>
    <x v="29"/>
    <m/>
    <m/>
    <m/>
    <m/>
    <m/>
    <m/>
    <m/>
    <m/>
    <m/>
    <m/>
    <m/>
    <m/>
    <m/>
    <m/>
    <m/>
    <m/>
    <m/>
    <m/>
    <m/>
    <m/>
    <m/>
    <m/>
    <n v="0"/>
  </r>
  <r>
    <x v="2"/>
    <x v="30"/>
    <m/>
    <m/>
    <m/>
    <m/>
    <m/>
    <m/>
    <n v="3"/>
    <n v="3"/>
    <n v="3"/>
    <m/>
    <n v="3"/>
    <m/>
    <n v="3"/>
    <n v="4"/>
    <n v="4"/>
    <m/>
    <m/>
    <m/>
    <n v="2"/>
    <m/>
    <n v="3"/>
    <n v="2"/>
    <n v="30"/>
  </r>
  <r>
    <x v="2"/>
    <x v="31"/>
    <m/>
    <m/>
    <m/>
    <m/>
    <m/>
    <m/>
    <m/>
    <m/>
    <m/>
    <m/>
    <m/>
    <m/>
    <m/>
    <m/>
    <m/>
    <m/>
    <m/>
    <m/>
    <m/>
    <m/>
    <m/>
    <m/>
    <n v="0"/>
  </r>
  <r>
    <x v="2"/>
    <x v="32"/>
    <m/>
    <m/>
    <m/>
    <m/>
    <m/>
    <m/>
    <m/>
    <m/>
    <m/>
    <m/>
    <m/>
    <m/>
    <m/>
    <m/>
    <m/>
    <m/>
    <m/>
    <m/>
    <m/>
    <m/>
    <m/>
    <m/>
    <n v="0"/>
  </r>
  <r>
    <x v="2"/>
    <x v="33"/>
    <m/>
    <m/>
    <m/>
    <m/>
    <m/>
    <m/>
    <m/>
    <m/>
    <m/>
    <m/>
    <m/>
    <m/>
    <m/>
    <m/>
    <m/>
    <m/>
    <m/>
    <m/>
    <m/>
    <m/>
    <m/>
    <m/>
    <n v="0"/>
  </r>
  <r>
    <x v="2"/>
    <x v="34"/>
    <m/>
    <m/>
    <m/>
    <m/>
    <m/>
    <m/>
    <m/>
    <m/>
    <m/>
    <m/>
    <m/>
    <m/>
    <m/>
    <m/>
    <m/>
    <m/>
    <m/>
    <m/>
    <m/>
    <m/>
    <m/>
    <m/>
    <n v="0"/>
  </r>
  <r>
    <x v="2"/>
    <x v="66"/>
    <m/>
    <m/>
    <m/>
    <m/>
    <m/>
    <m/>
    <m/>
    <m/>
    <m/>
    <m/>
    <m/>
    <m/>
    <m/>
    <m/>
    <m/>
    <m/>
    <m/>
    <m/>
    <m/>
    <m/>
    <m/>
    <m/>
    <n v="0"/>
  </r>
  <r>
    <x v="2"/>
    <x v="36"/>
    <m/>
    <m/>
    <m/>
    <m/>
    <m/>
    <m/>
    <n v="3"/>
    <n v="3"/>
    <n v="3"/>
    <m/>
    <n v="3"/>
    <m/>
    <n v="5"/>
    <n v="5"/>
    <n v="5"/>
    <m/>
    <m/>
    <m/>
    <n v="2"/>
    <m/>
    <n v="2"/>
    <m/>
    <n v="31"/>
  </r>
  <r>
    <x v="2"/>
    <x v="37"/>
    <m/>
    <m/>
    <m/>
    <m/>
    <m/>
    <m/>
    <m/>
    <m/>
    <m/>
    <m/>
    <m/>
    <m/>
    <m/>
    <m/>
    <m/>
    <m/>
    <m/>
    <m/>
    <m/>
    <m/>
    <m/>
    <m/>
    <n v="0"/>
  </r>
  <r>
    <x v="2"/>
    <x v="38"/>
    <m/>
    <m/>
    <m/>
    <m/>
    <m/>
    <m/>
    <m/>
    <m/>
    <m/>
    <m/>
    <m/>
    <m/>
    <m/>
    <m/>
    <m/>
    <m/>
    <m/>
    <m/>
    <m/>
    <m/>
    <m/>
    <m/>
    <n v="0"/>
  </r>
  <r>
    <x v="2"/>
    <x v="39"/>
    <m/>
    <m/>
    <m/>
    <m/>
    <m/>
    <m/>
    <m/>
    <m/>
    <m/>
    <m/>
    <m/>
    <m/>
    <m/>
    <m/>
    <m/>
    <m/>
    <m/>
    <m/>
    <m/>
    <m/>
    <m/>
    <m/>
    <n v="0"/>
  </r>
  <r>
    <x v="2"/>
    <x v="40"/>
    <m/>
    <m/>
    <m/>
    <m/>
    <m/>
    <m/>
    <m/>
    <m/>
    <m/>
    <m/>
    <m/>
    <m/>
    <m/>
    <m/>
    <m/>
    <m/>
    <m/>
    <m/>
    <m/>
    <m/>
    <m/>
    <m/>
    <n v="0"/>
  </r>
  <r>
    <x v="2"/>
    <x v="41"/>
    <m/>
    <m/>
    <m/>
    <m/>
    <m/>
    <m/>
    <m/>
    <m/>
    <m/>
    <m/>
    <m/>
    <m/>
    <m/>
    <m/>
    <m/>
    <m/>
    <m/>
    <m/>
    <m/>
    <m/>
    <m/>
    <m/>
    <n v="0"/>
  </r>
  <r>
    <x v="2"/>
    <x v="43"/>
    <m/>
    <m/>
    <m/>
    <m/>
    <m/>
    <m/>
    <m/>
    <m/>
    <m/>
    <m/>
    <m/>
    <m/>
    <m/>
    <m/>
    <m/>
    <m/>
    <m/>
    <m/>
    <m/>
    <n v="2"/>
    <m/>
    <m/>
    <n v="2"/>
  </r>
  <r>
    <x v="2"/>
    <x v="44"/>
    <m/>
    <m/>
    <m/>
    <m/>
    <m/>
    <m/>
    <m/>
    <m/>
    <m/>
    <m/>
    <m/>
    <m/>
    <m/>
    <m/>
    <m/>
    <m/>
    <m/>
    <m/>
    <m/>
    <m/>
    <m/>
    <m/>
    <n v="0"/>
  </r>
  <r>
    <x v="2"/>
    <x v="45"/>
    <m/>
    <m/>
    <m/>
    <m/>
    <m/>
    <m/>
    <m/>
    <m/>
    <m/>
    <m/>
    <m/>
    <m/>
    <m/>
    <m/>
    <m/>
    <m/>
    <m/>
    <m/>
    <m/>
    <m/>
    <m/>
    <m/>
    <n v="0"/>
  </r>
  <r>
    <x v="2"/>
    <x v="46"/>
    <m/>
    <m/>
    <m/>
    <m/>
    <m/>
    <m/>
    <m/>
    <m/>
    <m/>
    <m/>
    <m/>
    <m/>
    <m/>
    <m/>
    <m/>
    <m/>
    <m/>
    <m/>
    <m/>
    <m/>
    <m/>
    <m/>
    <n v="0"/>
  </r>
  <r>
    <x v="3"/>
    <x v="58"/>
    <m/>
    <m/>
    <m/>
    <m/>
    <m/>
    <m/>
    <m/>
    <m/>
    <m/>
    <m/>
    <m/>
    <m/>
    <m/>
    <m/>
    <m/>
    <m/>
    <m/>
    <m/>
    <m/>
    <m/>
    <m/>
    <m/>
    <n v="0"/>
  </r>
  <r>
    <x v="3"/>
    <x v="59"/>
    <m/>
    <m/>
    <m/>
    <m/>
    <m/>
    <m/>
    <n v="5"/>
    <m/>
    <m/>
    <m/>
    <m/>
    <m/>
    <m/>
    <m/>
    <m/>
    <m/>
    <m/>
    <m/>
    <m/>
    <m/>
    <n v="20"/>
    <m/>
    <n v="25"/>
  </r>
  <r>
    <x v="3"/>
    <x v="60"/>
    <m/>
    <m/>
    <m/>
    <m/>
    <m/>
    <m/>
    <m/>
    <m/>
    <m/>
    <m/>
    <m/>
    <m/>
    <m/>
    <m/>
    <m/>
    <m/>
    <m/>
    <m/>
    <m/>
    <m/>
    <m/>
    <m/>
    <n v="0"/>
  </r>
  <r>
    <x v="3"/>
    <x v="61"/>
    <m/>
    <m/>
    <n v="1"/>
    <m/>
    <m/>
    <m/>
    <n v="6"/>
    <m/>
    <m/>
    <m/>
    <m/>
    <m/>
    <m/>
    <m/>
    <m/>
    <m/>
    <m/>
    <m/>
    <m/>
    <m/>
    <n v="6"/>
    <m/>
    <n v="13"/>
  </r>
  <r>
    <x v="3"/>
    <x v="62"/>
    <m/>
    <m/>
    <m/>
    <m/>
    <m/>
    <m/>
    <m/>
    <m/>
    <m/>
    <m/>
    <m/>
    <m/>
    <m/>
    <m/>
    <m/>
    <m/>
    <m/>
    <m/>
    <m/>
    <m/>
    <n v="3"/>
    <m/>
    <n v="3"/>
  </r>
  <r>
    <x v="3"/>
    <x v="63"/>
    <m/>
    <m/>
    <m/>
    <m/>
    <m/>
    <m/>
    <m/>
    <m/>
    <m/>
    <m/>
    <m/>
    <m/>
    <m/>
    <m/>
    <m/>
    <m/>
    <m/>
    <m/>
    <m/>
    <m/>
    <m/>
    <m/>
    <n v="0"/>
  </r>
  <r>
    <x v="3"/>
    <x v="1"/>
    <m/>
    <m/>
    <m/>
    <m/>
    <m/>
    <m/>
    <m/>
    <m/>
    <m/>
    <m/>
    <m/>
    <m/>
    <m/>
    <m/>
    <m/>
    <m/>
    <m/>
    <m/>
    <m/>
    <m/>
    <m/>
    <m/>
    <n v="0"/>
  </r>
  <r>
    <x v="3"/>
    <x v="2"/>
    <m/>
    <m/>
    <n v="2"/>
    <m/>
    <m/>
    <m/>
    <n v="55"/>
    <n v="2"/>
    <m/>
    <n v="3"/>
    <m/>
    <m/>
    <m/>
    <m/>
    <m/>
    <m/>
    <m/>
    <m/>
    <n v="20"/>
    <n v="5"/>
    <n v="55"/>
    <m/>
    <n v="142"/>
  </r>
  <r>
    <x v="3"/>
    <x v="3"/>
    <m/>
    <m/>
    <m/>
    <m/>
    <m/>
    <m/>
    <m/>
    <m/>
    <m/>
    <m/>
    <m/>
    <m/>
    <m/>
    <m/>
    <m/>
    <m/>
    <m/>
    <m/>
    <m/>
    <m/>
    <m/>
    <m/>
    <n v="0"/>
  </r>
  <r>
    <x v="3"/>
    <x v="4"/>
    <m/>
    <m/>
    <m/>
    <m/>
    <m/>
    <m/>
    <m/>
    <m/>
    <m/>
    <m/>
    <m/>
    <m/>
    <m/>
    <m/>
    <m/>
    <m/>
    <m/>
    <m/>
    <m/>
    <m/>
    <m/>
    <m/>
    <n v="0"/>
  </r>
  <r>
    <x v="3"/>
    <x v="5"/>
    <m/>
    <m/>
    <m/>
    <m/>
    <m/>
    <m/>
    <m/>
    <m/>
    <m/>
    <m/>
    <m/>
    <m/>
    <m/>
    <m/>
    <m/>
    <m/>
    <m/>
    <m/>
    <m/>
    <m/>
    <m/>
    <m/>
    <n v="0"/>
  </r>
  <r>
    <x v="3"/>
    <x v="6"/>
    <m/>
    <m/>
    <m/>
    <m/>
    <m/>
    <m/>
    <n v="20"/>
    <n v="10"/>
    <m/>
    <m/>
    <m/>
    <m/>
    <m/>
    <m/>
    <m/>
    <m/>
    <m/>
    <m/>
    <n v="10"/>
    <m/>
    <n v="20"/>
    <m/>
    <n v="60"/>
  </r>
  <r>
    <x v="3"/>
    <x v="8"/>
    <m/>
    <m/>
    <m/>
    <m/>
    <m/>
    <m/>
    <m/>
    <m/>
    <m/>
    <m/>
    <m/>
    <m/>
    <m/>
    <m/>
    <m/>
    <m/>
    <m/>
    <m/>
    <m/>
    <m/>
    <m/>
    <m/>
    <n v="0"/>
  </r>
  <r>
    <x v="3"/>
    <x v="64"/>
    <m/>
    <m/>
    <m/>
    <m/>
    <m/>
    <m/>
    <m/>
    <m/>
    <m/>
    <m/>
    <m/>
    <m/>
    <m/>
    <m/>
    <m/>
    <m/>
    <m/>
    <m/>
    <m/>
    <m/>
    <m/>
    <m/>
    <n v="0"/>
  </r>
  <r>
    <x v="3"/>
    <x v="9"/>
    <m/>
    <m/>
    <m/>
    <m/>
    <m/>
    <m/>
    <n v="3"/>
    <m/>
    <n v="2"/>
    <m/>
    <m/>
    <m/>
    <m/>
    <m/>
    <m/>
    <m/>
    <m/>
    <m/>
    <m/>
    <m/>
    <n v="6"/>
    <m/>
    <n v="11"/>
  </r>
  <r>
    <x v="3"/>
    <x v="10"/>
    <m/>
    <m/>
    <m/>
    <m/>
    <m/>
    <m/>
    <m/>
    <m/>
    <m/>
    <m/>
    <m/>
    <m/>
    <m/>
    <m/>
    <m/>
    <m/>
    <m/>
    <m/>
    <m/>
    <m/>
    <m/>
    <m/>
    <n v="0"/>
  </r>
  <r>
    <x v="3"/>
    <x v="11"/>
    <m/>
    <m/>
    <m/>
    <m/>
    <m/>
    <m/>
    <m/>
    <m/>
    <n v="8"/>
    <m/>
    <m/>
    <m/>
    <m/>
    <m/>
    <m/>
    <m/>
    <m/>
    <m/>
    <m/>
    <m/>
    <n v="30"/>
    <m/>
    <n v="38"/>
  </r>
  <r>
    <x v="3"/>
    <x v="12"/>
    <m/>
    <m/>
    <m/>
    <m/>
    <m/>
    <m/>
    <m/>
    <m/>
    <m/>
    <m/>
    <m/>
    <m/>
    <m/>
    <m/>
    <m/>
    <m/>
    <m/>
    <m/>
    <m/>
    <m/>
    <m/>
    <m/>
    <n v="0"/>
  </r>
  <r>
    <x v="3"/>
    <x v="13"/>
    <m/>
    <m/>
    <m/>
    <m/>
    <m/>
    <m/>
    <m/>
    <m/>
    <m/>
    <m/>
    <m/>
    <m/>
    <m/>
    <m/>
    <m/>
    <m/>
    <m/>
    <m/>
    <m/>
    <m/>
    <m/>
    <m/>
    <n v="0"/>
  </r>
  <r>
    <x v="3"/>
    <x v="14"/>
    <m/>
    <m/>
    <m/>
    <m/>
    <m/>
    <m/>
    <m/>
    <m/>
    <m/>
    <m/>
    <m/>
    <m/>
    <m/>
    <m/>
    <m/>
    <m/>
    <m/>
    <m/>
    <m/>
    <m/>
    <n v="3"/>
    <m/>
    <n v="3"/>
  </r>
  <r>
    <x v="3"/>
    <x v="15"/>
    <m/>
    <m/>
    <m/>
    <m/>
    <m/>
    <m/>
    <m/>
    <m/>
    <m/>
    <m/>
    <m/>
    <m/>
    <m/>
    <m/>
    <m/>
    <m/>
    <m/>
    <m/>
    <m/>
    <m/>
    <m/>
    <m/>
    <n v="0"/>
  </r>
  <r>
    <x v="3"/>
    <x v="16"/>
    <m/>
    <m/>
    <m/>
    <m/>
    <m/>
    <m/>
    <m/>
    <m/>
    <m/>
    <m/>
    <m/>
    <m/>
    <m/>
    <m/>
    <m/>
    <m/>
    <m/>
    <m/>
    <m/>
    <m/>
    <m/>
    <m/>
    <n v="0"/>
  </r>
  <r>
    <x v="3"/>
    <x v="17"/>
    <m/>
    <m/>
    <m/>
    <m/>
    <m/>
    <m/>
    <m/>
    <m/>
    <m/>
    <m/>
    <m/>
    <m/>
    <m/>
    <m/>
    <m/>
    <m/>
    <m/>
    <m/>
    <m/>
    <m/>
    <m/>
    <m/>
    <n v="0"/>
  </r>
  <r>
    <x v="3"/>
    <x v="18"/>
    <m/>
    <m/>
    <m/>
    <m/>
    <m/>
    <m/>
    <m/>
    <m/>
    <m/>
    <m/>
    <m/>
    <m/>
    <m/>
    <m/>
    <m/>
    <m/>
    <m/>
    <m/>
    <m/>
    <m/>
    <m/>
    <m/>
    <n v="0"/>
  </r>
  <r>
    <x v="3"/>
    <x v="19"/>
    <m/>
    <m/>
    <m/>
    <m/>
    <m/>
    <m/>
    <n v="50"/>
    <m/>
    <m/>
    <m/>
    <m/>
    <m/>
    <m/>
    <m/>
    <m/>
    <m/>
    <m/>
    <m/>
    <n v="10"/>
    <m/>
    <n v="30"/>
    <m/>
    <n v="90"/>
  </r>
  <r>
    <x v="3"/>
    <x v="21"/>
    <m/>
    <m/>
    <m/>
    <m/>
    <m/>
    <m/>
    <m/>
    <m/>
    <m/>
    <m/>
    <m/>
    <m/>
    <m/>
    <m/>
    <m/>
    <m/>
    <m/>
    <m/>
    <m/>
    <m/>
    <m/>
    <m/>
    <n v="0"/>
  </r>
  <r>
    <x v="3"/>
    <x v="22"/>
    <m/>
    <m/>
    <m/>
    <m/>
    <m/>
    <m/>
    <m/>
    <m/>
    <m/>
    <m/>
    <m/>
    <m/>
    <m/>
    <m/>
    <m/>
    <m/>
    <m/>
    <m/>
    <m/>
    <m/>
    <m/>
    <m/>
    <n v="0"/>
  </r>
  <r>
    <x v="3"/>
    <x v="23"/>
    <m/>
    <m/>
    <m/>
    <m/>
    <m/>
    <m/>
    <m/>
    <m/>
    <m/>
    <m/>
    <m/>
    <m/>
    <m/>
    <m/>
    <m/>
    <m/>
    <m/>
    <m/>
    <m/>
    <m/>
    <m/>
    <m/>
    <n v="0"/>
  </r>
  <r>
    <x v="3"/>
    <x v="25"/>
    <m/>
    <m/>
    <m/>
    <m/>
    <m/>
    <m/>
    <m/>
    <m/>
    <m/>
    <m/>
    <m/>
    <m/>
    <m/>
    <m/>
    <m/>
    <m/>
    <m/>
    <m/>
    <m/>
    <m/>
    <m/>
    <m/>
    <n v="0"/>
  </r>
  <r>
    <x v="3"/>
    <x v="26"/>
    <m/>
    <m/>
    <m/>
    <m/>
    <m/>
    <m/>
    <m/>
    <m/>
    <m/>
    <m/>
    <m/>
    <m/>
    <m/>
    <m/>
    <m/>
    <m/>
    <m/>
    <m/>
    <m/>
    <m/>
    <n v="2"/>
    <m/>
    <n v="2"/>
  </r>
  <r>
    <x v="3"/>
    <x v="65"/>
    <m/>
    <m/>
    <m/>
    <m/>
    <m/>
    <m/>
    <n v="10"/>
    <m/>
    <n v="2"/>
    <m/>
    <m/>
    <m/>
    <n v="1"/>
    <m/>
    <m/>
    <m/>
    <m/>
    <m/>
    <n v="1"/>
    <m/>
    <n v="10"/>
    <m/>
    <n v="24"/>
  </r>
  <r>
    <x v="3"/>
    <x v="27"/>
    <m/>
    <m/>
    <m/>
    <m/>
    <m/>
    <m/>
    <m/>
    <m/>
    <m/>
    <m/>
    <m/>
    <m/>
    <m/>
    <m/>
    <m/>
    <m/>
    <m/>
    <m/>
    <m/>
    <m/>
    <n v="3"/>
    <m/>
    <n v="3"/>
  </r>
  <r>
    <x v="3"/>
    <x v="28"/>
    <m/>
    <m/>
    <m/>
    <m/>
    <m/>
    <m/>
    <m/>
    <m/>
    <m/>
    <m/>
    <m/>
    <m/>
    <m/>
    <m/>
    <m/>
    <m/>
    <m/>
    <m/>
    <m/>
    <m/>
    <m/>
    <m/>
    <n v="0"/>
  </r>
  <r>
    <x v="3"/>
    <x v="29"/>
    <m/>
    <m/>
    <m/>
    <m/>
    <m/>
    <m/>
    <m/>
    <m/>
    <m/>
    <m/>
    <m/>
    <m/>
    <m/>
    <m/>
    <m/>
    <m/>
    <m/>
    <m/>
    <m/>
    <m/>
    <m/>
    <m/>
    <n v="0"/>
  </r>
  <r>
    <x v="3"/>
    <x v="30"/>
    <m/>
    <m/>
    <m/>
    <m/>
    <m/>
    <m/>
    <n v="72"/>
    <n v="11"/>
    <n v="2"/>
    <m/>
    <m/>
    <m/>
    <n v="1"/>
    <n v="1"/>
    <m/>
    <m/>
    <m/>
    <m/>
    <n v="11"/>
    <n v="1"/>
    <n v="30"/>
    <m/>
    <n v="129"/>
  </r>
  <r>
    <x v="3"/>
    <x v="31"/>
    <m/>
    <m/>
    <m/>
    <m/>
    <m/>
    <m/>
    <m/>
    <m/>
    <m/>
    <m/>
    <m/>
    <m/>
    <m/>
    <m/>
    <m/>
    <m/>
    <m/>
    <m/>
    <m/>
    <m/>
    <m/>
    <m/>
    <n v="0"/>
  </r>
  <r>
    <x v="3"/>
    <x v="32"/>
    <m/>
    <m/>
    <m/>
    <m/>
    <m/>
    <m/>
    <m/>
    <m/>
    <m/>
    <m/>
    <m/>
    <n v="2"/>
    <n v="2"/>
    <m/>
    <m/>
    <n v="2"/>
    <m/>
    <m/>
    <m/>
    <m/>
    <m/>
    <m/>
    <n v="6"/>
  </r>
  <r>
    <x v="3"/>
    <x v="33"/>
    <m/>
    <m/>
    <m/>
    <m/>
    <m/>
    <m/>
    <n v="5"/>
    <m/>
    <n v="8"/>
    <m/>
    <m/>
    <m/>
    <n v="2"/>
    <m/>
    <m/>
    <m/>
    <m/>
    <m/>
    <m/>
    <m/>
    <m/>
    <m/>
    <n v="15"/>
  </r>
  <r>
    <x v="3"/>
    <x v="34"/>
    <m/>
    <m/>
    <m/>
    <m/>
    <m/>
    <m/>
    <m/>
    <m/>
    <m/>
    <m/>
    <m/>
    <m/>
    <m/>
    <m/>
    <m/>
    <m/>
    <m/>
    <m/>
    <m/>
    <m/>
    <n v="8"/>
    <m/>
    <n v="8"/>
  </r>
  <r>
    <x v="3"/>
    <x v="66"/>
    <m/>
    <m/>
    <m/>
    <m/>
    <m/>
    <m/>
    <m/>
    <m/>
    <m/>
    <m/>
    <m/>
    <m/>
    <m/>
    <m/>
    <m/>
    <m/>
    <m/>
    <m/>
    <m/>
    <m/>
    <m/>
    <m/>
    <n v="0"/>
  </r>
  <r>
    <x v="3"/>
    <x v="36"/>
    <n v="35"/>
    <n v="30"/>
    <n v="15"/>
    <n v="15"/>
    <n v="15"/>
    <n v="15"/>
    <n v="134"/>
    <n v="20"/>
    <n v="0"/>
    <n v="20"/>
    <n v="0"/>
    <n v="0"/>
    <n v="30"/>
    <n v="30"/>
    <n v="30"/>
    <n v="10"/>
    <n v="10"/>
    <n v="10"/>
    <n v="30"/>
    <n v="20"/>
    <n v="108"/>
    <n v="0"/>
    <n v="577"/>
  </r>
  <r>
    <x v="3"/>
    <x v="37"/>
    <m/>
    <m/>
    <m/>
    <m/>
    <m/>
    <m/>
    <n v="20"/>
    <n v="10"/>
    <m/>
    <m/>
    <m/>
    <m/>
    <m/>
    <m/>
    <m/>
    <m/>
    <m/>
    <n v="10"/>
    <m/>
    <m/>
    <n v="10"/>
    <m/>
    <n v="50"/>
  </r>
  <r>
    <x v="3"/>
    <x v="38"/>
    <m/>
    <m/>
    <m/>
    <m/>
    <m/>
    <m/>
    <m/>
    <m/>
    <m/>
    <m/>
    <m/>
    <m/>
    <m/>
    <m/>
    <m/>
    <m/>
    <m/>
    <m/>
    <m/>
    <m/>
    <n v="2"/>
    <m/>
    <n v="2"/>
  </r>
  <r>
    <x v="3"/>
    <x v="39"/>
    <m/>
    <m/>
    <m/>
    <m/>
    <m/>
    <m/>
    <m/>
    <m/>
    <m/>
    <m/>
    <m/>
    <m/>
    <m/>
    <m/>
    <m/>
    <m/>
    <m/>
    <m/>
    <m/>
    <m/>
    <m/>
    <m/>
    <n v="0"/>
  </r>
  <r>
    <x v="3"/>
    <x v="40"/>
    <m/>
    <m/>
    <m/>
    <m/>
    <m/>
    <m/>
    <m/>
    <m/>
    <m/>
    <m/>
    <m/>
    <m/>
    <m/>
    <m/>
    <m/>
    <m/>
    <m/>
    <m/>
    <m/>
    <m/>
    <m/>
    <m/>
    <n v="0"/>
  </r>
  <r>
    <x v="3"/>
    <x v="41"/>
    <m/>
    <m/>
    <m/>
    <m/>
    <m/>
    <m/>
    <m/>
    <m/>
    <m/>
    <m/>
    <m/>
    <m/>
    <m/>
    <m/>
    <m/>
    <m/>
    <m/>
    <m/>
    <m/>
    <m/>
    <m/>
    <m/>
    <n v="0"/>
  </r>
  <r>
    <x v="3"/>
    <x v="43"/>
    <m/>
    <m/>
    <m/>
    <m/>
    <m/>
    <m/>
    <m/>
    <m/>
    <m/>
    <m/>
    <m/>
    <m/>
    <m/>
    <m/>
    <m/>
    <m/>
    <m/>
    <m/>
    <m/>
    <m/>
    <m/>
    <m/>
    <n v="0"/>
  </r>
  <r>
    <x v="3"/>
    <x v="44"/>
    <m/>
    <m/>
    <m/>
    <m/>
    <m/>
    <m/>
    <m/>
    <m/>
    <m/>
    <m/>
    <m/>
    <m/>
    <m/>
    <m/>
    <m/>
    <m/>
    <m/>
    <m/>
    <m/>
    <m/>
    <m/>
    <m/>
    <n v="0"/>
  </r>
  <r>
    <x v="3"/>
    <x v="45"/>
    <m/>
    <m/>
    <m/>
    <m/>
    <m/>
    <m/>
    <n v="40"/>
    <m/>
    <m/>
    <m/>
    <m/>
    <m/>
    <m/>
    <m/>
    <m/>
    <m/>
    <m/>
    <m/>
    <n v="10"/>
    <m/>
    <n v="20"/>
    <m/>
    <n v="70"/>
  </r>
  <r>
    <x v="3"/>
    <x v="46"/>
    <m/>
    <m/>
    <m/>
    <m/>
    <m/>
    <m/>
    <n v="35"/>
    <n v="10"/>
    <m/>
    <m/>
    <m/>
    <m/>
    <m/>
    <m/>
    <m/>
    <m/>
    <m/>
    <m/>
    <m/>
    <m/>
    <n v="13"/>
    <m/>
    <n v="58"/>
  </r>
  <r>
    <x v="3"/>
    <x v="68"/>
    <m/>
    <m/>
    <m/>
    <m/>
    <m/>
    <m/>
    <n v="50"/>
    <m/>
    <m/>
    <m/>
    <m/>
    <m/>
    <m/>
    <m/>
    <m/>
    <m/>
    <m/>
    <m/>
    <m/>
    <m/>
    <n v="5"/>
    <m/>
    <n v="55"/>
  </r>
  <r>
    <x v="4"/>
    <x v="58"/>
    <n v="2"/>
    <n v="2"/>
    <n v="2"/>
    <n v="2"/>
    <n v="2"/>
    <n v="2"/>
    <n v="4"/>
    <m/>
    <n v="10"/>
    <m/>
    <m/>
    <m/>
    <m/>
    <n v="1"/>
    <n v="1"/>
    <n v="2"/>
    <n v="3"/>
    <m/>
    <m/>
    <n v="1"/>
    <m/>
    <m/>
    <n v="34"/>
  </r>
  <r>
    <x v="4"/>
    <x v="59"/>
    <n v="2"/>
    <n v="5"/>
    <n v="1"/>
    <n v="3"/>
    <n v="2"/>
    <n v="4"/>
    <n v="11"/>
    <m/>
    <n v="2"/>
    <m/>
    <m/>
    <m/>
    <n v="1"/>
    <n v="1"/>
    <n v="1"/>
    <n v="7"/>
    <n v="8"/>
    <m/>
    <m/>
    <n v="3"/>
    <m/>
    <m/>
    <n v="51"/>
  </r>
  <r>
    <x v="4"/>
    <x v="69"/>
    <m/>
    <m/>
    <m/>
    <m/>
    <m/>
    <m/>
    <n v="2"/>
    <m/>
    <n v="2"/>
    <m/>
    <m/>
    <m/>
    <n v="1"/>
    <m/>
    <m/>
    <m/>
    <m/>
    <m/>
    <m/>
    <m/>
    <m/>
    <m/>
    <n v="5"/>
  </r>
  <r>
    <x v="4"/>
    <x v="60"/>
    <m/>
    <m/>
    <m/>
    <m/>
    <m/>
    <m/>
    <n v="5"/>
    <n v="6"/>
    <m/>
    <m/>
    <m/>
    <m/>
    <n v="1"/>
    <n v="5"/>
    <n v="14"/>
    <n v="9"/>
    <n v="10"/>
    <n v="7"/>
    <n v="1"/>
    <n v="2"/>
    <n v="1"/>
    <m/>
    <n v="61"/>
  </r>
  <r>
    <x v="4"/>
    <x v="61"/>
    <n v="4"/>
    <n v="9"/>
    <m/>
    <m/>
    <n v="2"/>
    <n v="9"/>
    <n v="10"/>
    <n v="15"/>
    <m/>
    <m/>
    <m/>
    <m/>
    <n v="2"/>
    <n v="2"/>
    <n v="5"/>
    <m/>
    <m/>
    <m/>
    <n v="2"/>
    <m/>
    <n v="4"/>
    <m/>
    <n v="64"/>
  </r>
  <r>
    <x v="4"/>
    <x v="62"/>
    <m/>
    <m/>
    <m/>
    <m/>
    <m/>
    <m/>
    <n v="1"/>
    <m/>
    <n v="23"/>
    <m/>
    <m/>
    <m/>
    <n v="1"/>
    <m/>
    <m/>
    <n v="1"/>
    <n v="2"/>
    <n v="1"/>
    <m/>
    <n v="1"/>
    <m/>
    <m/>
    <n v="30"/>
  </r>
  <r>
    <x v="4"/>
    <x v="63"/>
    <m/>
    <m/>
    <m/>
    <m/>
    <m/>
    <m/>
    <n v="2"/>
    <m/>
    <m/>
    <m/>
    <m/>
    <m/>
    <n v="1"/>
    <n v="3"/>
    <n v="2"/>
    <m/>
    <m/>
    <m/>
    <m/>
    <m/>
    <m/>
    <m/>
    <n v="8"/>
  </r>
  <r>
    <x v="4"/>
    <x v="70"/>
    <n v="1"/>
    <n v="3"/>
    <n v="1"/>
    <n v="2"/>
    <n v="1"/>
    <n v="2"/>
    <n v="5"/>
    <m/>
    <n v="3"/>
    <m/>
    <m/>
    <m/>
    <n v="1"/>
    <n v="2"/>
    <n v="6"/>
    <m/>
    <m/>
    <m/>
    <m/>
    <m/>
    <m/>
    <m/>
    <n v="27"/>
  </r>
  <r>
    <x v="4"/>
    <x v="1"/>
    <n v="2"/>
    <n v="4"/>
    <m/>
    <m/>
    <m/>
    <m/>
    <n v="2"/>
    <n v="4"/>
    <m/>
    <m/>
    <m/>
    <m/>
    <n v="1"/>
    <n v="3"/>
    <n v="7"/>
    <n v="2"/>
    <n v="5"/>
    <m/>
    <m/>
    <n v="4"/>
    <n v="1"/>
    <m/>
    <n v="35"/>
  </r>
  <r>
    <x v="4"/>
    <x v="2"/>
    <n v="12"/>
    <n v="25"/>
    <n v="7"/>
    <n v="15"/>
    <n v="5"/>
    <n v="19"/>
    <n v="47"/>
    <m/>
    <n v="2"/>
    <n v="3"/>
    <m/>
    <m/>
    <n v="2"/>
    <m/>
    <m/>
    <m/>
    <m/>
    <m/>
    <m/>
    <m/>
    <n v="1"/>
    <m/>
    <n v="138"/>
  </r>
  <r>
    <x v="4"/>
    <x v="3"/>
    <m/>
    <m/>
    <m/>
    <m/>
    <m/>
    <m/>
    <n v="4"/>
    <n v="2"/>
    <m/>
    <m/>
    <m/>
    <m/>
    <n v="1"/>
    <n v="4"/>
    <n v="28"/>
    <n v="15"/>
    <n v="17"/>
    <n v="17"/>
    <m/>
    <n v="1"/>
    <n v="1"/>
    <m/>
    <n v="90"/>
  </r>
  <r>
    <x v="4"/>
    <x v="4"/>
    <n v="2"/>
    <n v="4"/>
    <n v="1"/>
    <n v="3"/>
    <m/>
    <m/>
    <n v="20"/>
    <n v="2"/>
    <n v="1"/>
    <m/>
    <m/>
    <m/>
    <n v="1"/>
    <m/>
    <m/>
    <n v="1"/>
    <n v="2"/>
    <m/>
    <m/>
    <n v="5"/>
    <n v="1"/>
    <m/>
    <n v="43"/>
  </r>
  <r>
    <x v="4"/>
    <x v="6"/>
    <m/>
    <m/>
    <m/>
    <m/>
    <m/>
    <m/>
    <n v="4"/>
    <n v="3"/>
    <m/>
    <m/>
    <m/>
    <m/>
    <n v="1"/>
    <n v="3"/>
    <n v="10"/>
    <m/>
    <m/>
    <m/>
    <n v="1"/>
    <m/>
    <n v="1"/>
    <m/>
    <n v="23"/>
  </r>
  <r>
    <x v="4"/>
    <x v="8"/>
    <n v="3"/>
    <n v="6"/>
    <n v="1"/>
    <n v="2"/>
    <n v="14"/>
    <n v="18"/>
    <n v="11"/>
    <m/>
    <n v="18"/>
    <m/>
    <m/>
    <m/>
    <n v="3"/>
    <n v="14"/>
    <n v="38"/>
    <n v="10"/>
    <n v="22"/>
    <m/>
    <m/>
    <n v="21"/>
    <n v="3"/>
    <m/>
    <n v="184"/>
  </r>
  <r>
    <x v="4"/>
    <x v="64"/>
    <n v="3"/>
    <n v="6"/>
    <m/>
    <m/>
    <m/>
    <m/>
    <n v="6"/>
    <n v="6"/>
    <m/>
    <m/>
    <m/>
    <m/>
    <m/>
    <n v="15"/>
    <n v="31"/>
    <m/>
    <m/>
    <m/>
    <n v="2"/>
    <n v="5"/>
    <n v="1"/>
    <m/>
    <n v="75"/>
  </r>
  <r>
    <x v="4"/>
    <x v="9"/>
    <n v="3"/>
    <n v="6"/>
    <n v="3"/>
    <n v="6"/>
    <m/>
    <m/>
    <n v="23"/>
    <n v="17"/>
    <n v="22"/>
    <m/>
    <m/>
    <m/>
    <n v="18"/>
    <m/>
    <m/>
    <m/>
    <m/>
    <m/>
    <n v="13"/>
    <m/>
    <n v="5"/>
    <m/>
    <n v="116"/>
  </r>
  <r>
    <x v="4"/>
    <x v="10"/>
    <m/>
    <m/>
    <m/>
    <m/>
    <m/>
    <m/>
    <m/>
    <m/>
    <m/>
    <n v="1"/>
    <m/>
    <m/>
    <m/>
    <n v="1"/>
    <n v="4"/>
    <n v="3"/>
    <n v="4"/>
    <n v="1"/>
    <m/>
    <m/>
    <m/>
    <m/>
    <n v="14"/>
  </r>
  <r>
    <x v="4"/>
    <x v="11"/>
    <n v="4"/>
    <n v="6"/>
    <n v="4"/>
    <n v="4"/>
    <m/>
    <m/>
    <n v="8"/>
    <n v="2"/>
    <n v="1"/>
    <m/>
    <m/>
    <m/>
    <n v="1"/>
    <n v="6"/>
    <n v="18"/>
    <m/>
    <m/>
    <m/>
    <m/>
    <m/>
    <m/>
    <m/>
    <n v="54"/>
  </r>
  <r>
    <x v="4"/>
    <x v="12"/>
    <m/>
    <m/>
    <m/>
    <m/>
    <m/>
    <m/>
    <n v="11"/>
    <m/>
    <m/>
    <m/>
    <m/>
    <m/>
    <n v="2"/>
    <n v="1"/>
    <n v="6"/>
    <n v="2"/>
    <n v="5"/>
    <m/>
    <m/>
    <n v="5"/>
    <m/>
    <n v="2"/>
    <n v="34"/>
  </r>
  <r>
    <x v="4"/>
    <x v="13"/>
    <m/>
    <m/>
    <m/>
    <m/>
    <m/>
    <m/>
    <m/>
    <m/>
    <m/>
    <m/>
    <m/>
    <m/>
    <m/>
    <m/>
    <m/>
    <m/>
    <m/>
    <m/>
    <m/>
    <m/>
    <m/>
    <m/>
    <n v="0"/>
  </r>
  <r>
    <x v="4"/>
    <x v="14"/>
    <m/>
    <m/>
    <m/>
    <m/>
    <m/>
    <m/>
    <n v="10"/>
    <n v="2"/>
    <m/>
    <m/>
    <m/>
    <m/>
    <n v="1"/>
    <n v="1"/>
    <n v="1"/>
    <n v="9"/>
    <n v="10"/>
    <n v="5"/>
    <m/>
    <m/>
    <n v="1"/>
    <m/>
    <n v="40"/>
  </r>
  <r>
    <x v="4"/>
    <x v="15"/>
    <m/>
    <m/>
    <m/>
    <m/>
    <m/>
    <m/>
    <m/>
    <m/>
    <m/>
    <m/>
    <m/>
    <m/>
    <m/>
    <m/>
    <m/>
    <m/>
    <m/>
    <m/>
    <m/>
    <m/>
    <m/>
    <m/>
    <n v="0"/>
  </r>
  <r>
    <x v="4"/>
    <x v="16"/>
    <m/>
    <m/>
    <m/>
    <m/>
    <m/>
    <m/>
    <m/>
    <m/>
    <m/>
    <m/>
    <m/>
    <m/>
    <m/>
    <m/>
    <m/>
    <m/>
    <m/>
    <m/>
    <m/>
    <m/>
    <m/>
    <m/>
    <n v="0"/>
  </r>
  <r>
    <x v="4"/>
    <x v="53"/>
    <m/>
    <m/>
    <m/>
    <m/>
    <m/>
    <m/>
    <n v="1"/>
    <m/>
    <m/>
    <m/>
    <m/>
    <m/>
    <n v="1"/>
    <n v="6"/>
    <n v="6"/>
    <n v="3"/>
    <n v="3"/>
    <m/>
    <m/>
    <m/>
    <m/>
    <m/>
    <n v="20"/>
  </r>
  <r>
    <x v="4"/>
    <x v="17"/>
    <m/>
    <m/>
    <m/>
    <m/>
    <m/>
    <m/>
    <n v="2"/>
    <n v="3"/>
    <n v="1"/>
    <m/>
    <m/>
    <n v="1"/>
    <n v="1"/>
    <m/>
    <m/>
    <m/>
    <m/>
    <m/>
    <m/>
    <m/>
    <n v="2"/>
    <m/>
    <n v="10"/>
  </r>
  <r>
    <x v="4"/>
    <x v="71"/>
    <n v="1"/>
    <n v="2"/>
    <m/>
    <m/>
    <m/>
    <m/>
    <n v="2"/>
    <m/>
    <m/>
    <m/>
    <m/>
    <m/>
    <n v="1"/>
    <n v="5"/>
    <n v="6"/>
    <n v="5"/>
    <n v="7"/>
    <m/>
    <m/>
    <m/>
    <m/>
    <m/>
    <n v="29"/>
  </r>
  <r>
    <x v="4"/>
    <x v="19"/>
    <m/>
    <m/>
    <m/>
    <m/>
    <m/>
    <m/>
    <n v="8"/>
    <n v="3"/>
    <n v="23"/>
    <m/>
    <m/>
    <m/>
    <m/>
    <n v="3"/>
    <n v="6"/>
    <m/>
    <m/>
    <m/>
    <m/>
    <m/>
    <n v="2"/>
    <m/>
    <n v="45"/>
  </r>
  <r>
    <x v="4"/>
    <x v="21"/>
    <m/>
    <m/>
    <m/>
    <m/>
    <m/>
    <m/>
    <n v="2"/>
    <m/>
    <m/>
    <m/>
    <m/>
    <m/>
    <m/>
    <m/>
    <m/>
    <n v="4"/>
    <n v="6"/>
    <m/>
    <m/>
    <m/>
    <m/>
    <m/>
    <n v="12"/>
  </r>
  <r>
    <x v="4"/>
    <x v="22"/>
    <m/>
    <m/>
    <m/>
    <m/>
    <m/>
    <m/>
    <n v="1"/>
    <m/>
    <m/>
    <m/>
    <m/>
    <m/>
    <m/>
    <m/>
    <m/>
    <n v="5"/>
    <n v="7"/>
    <m/>
    <m/>
    <m/>
    <m/>
    <m/>
    <n v="13"/>
  </r>
  <r>
    <x v="4"/>
    <x v="72"/>
    <n v="1"/>
    <n v="3"/>
    <m/>
    <m/>
    <m/>
    <m/>
    <n v="7"/>
    <m/>
    <m/>
    <m/>
    <m/>
    <m/>
    <m/>
    <m/>
    <m/>
    <m/>
    <m/>
    <m/>
    <m/>
    <m/>
    <m/>
    <m/>
    <n v="11"/>
  </r>
  <r>
    <x v="4"/>
    <x v="73"/>
    <m/>
    <m/>
    <m/>
    <m/>
    <m/>
    <m/>
    <m/>
    <n v="2"/>
    <n v="6"/>
    <m/>
    <m/>
    <m/>
    <n v="1"/>
    <m/>
    <m/>
    <m/>
    <m/>
    <m/>
    <m/>
    <m/>
    <m/>
    <m/>
    <n v="9"/>
  </r>
  <r>
    <x v="4"/>
    <x v="23"/>
    <n v="5"/>
    <n v="5"/>
    <n v="3"/>
    <n v="3"/>
    <n v="4"/>
    <n v="4"/>
    <n v="3"/>
    <n v="2"/>
    <n v="5"/>
    <m/>
    <m/>
    <m/>
    <n v="2"/>
    <n v="1"/>
    <n v="1"/>
    <n v="1"/>
    <n v="4"/>
    <m/>
    <n v="1"/>
    <m/>
    <n v="2"/>
    <m/>
    <n v="46"/>
  </r>
  <r>
    <x v="4"/>
    <x v="25"/>
    <n v="2"/>
    <n v="2"/>
    <n v="1"/>
    <n v="1"/>
    <m/>
    <m/>
    <n v="2"/>
    <n v="2"/>
    <n v="2"/>
    <m/>
    <m/>
    <m/>
    <n v="1"/>
    <m/>
    <m/>
    <m/>
    <m/>
    <m/>
    <n v="1"/>
    <m/>
    <n v="1"/>
    <m/>
    <n v="15"/>
  </r>
  <r>
    <x v="4"/>
    <x v="26"/>
    <m/>
    <m/>
    <m/>
    <m/>
    <n v="2"/>
    <n v="9"/>
    <n v="6"/>
    <m/>
    <n v="1"/>
    <m/>
    <m/>
    <m/>
    <n v="1"/>
    <m/>
    <m/>
    <n v="2"/>
    <n v="6"/>
    <m/>
    <n v="1"/>
    <n v="6"/>
    <n v="1"/>
    <m/>
    <n v="35"/>
  </r>
  <r>
    <x v="4"/>
    <x v="55"/>
    <m/>
    <m/>
    <m/>
    <m/>
    <m/>
    <m/>
    <n v="7"/>
    <n v="2"/>
    <n v="1"/>
    <m/>
    <m/>
    <m/>
    <n v="1"/>
    <n v="2"/>
    <n v="6"/>
    <n v="13"/>
    <n v="17"/>
    <m/>
    <m/>
    <m/>
    <n v="1"/>
    <m/>
    <n v="50"/>
  </r>
  <r>
    <x v="4"/>
    <x v="65"/>
    <n v="15"/>
    <n v="30"/>
    <n v="2"/>
    <n v="3"/>
    <n v="8"/>
    <n v="18"/>
    <n v="42"/>
    <n v="14"/>
    <n v="16"/>
    <n v="2"/>
    <n v="1"/>
    <m/>
    <n v="11"/>
    <n v="12"/>
    <n v="72"/>
    <n v="6"/>
    <n v="18"/>
    <m/>
    <n v="2"/>
    <n v="32"/>
    <n v="10"/>
    <m/>
    <n v="314"/>
  </r>
  <r>
    <x v="4"/>
    <x v="27"/>
    <n v="1"/>
    <n v="2"/>
    <n v="1"/>
    <n v="2"/>
    <n v="2"/>
    <n v="4"/>
    <n v="2"/>
    <m/>
    <n v="1"/>
    <m/>
    <m/>
    <m/>
    <m/>
    <n v="2"/>
    <n v="2"/>
    <m/>
    <m/>
    <m/>
    <m/>
    <m/>
    <m/>
    <m/>
    <n v="19"/>
  </r>
  <r>
    <x v="4"/>
    <x v="28"/>
    <n v="1"/>
    <n v="1"/>
    <n v="2"/>
    <n v="2"/>
    <m/>
    <m/>
    <n v="4"/>
    <n v="2"/>
    <m/>
    <m/>
    <m/>
    <m/>
    <n v="1"/>
    <n v="1"/>
    <n v="1"/>
    <n v="1"/>
    <n v="2"/>
    <n v="1"/>
    <m/>
    <m/>
    <n v="5"/>
    <m/>
    <n v="24"/>
  </r>
  <r>
    <x v="4"/>
    <x v="29"/>
    <n v="2"/>
    <m/>
    <n v="1"/>
    <n v="1"/>
    <m/>
    <m/>
    <m/>
    <n v="2"/>
    <n v="14"/>
    <m/>
    <m/>
    <n v="3"/>
    <n v="10"/>
    <n v="1"/>
    <n v="2"/>
    <n v="2"/>
    <n v="4"/>
    <m/>
    <m/>
    <n v="3"/>
    <m/>
    <n v="4"/>
    <n v="49"/>
  </r>
  <r>
    <x v="4"/>
    <x v="30"/>
    <n v="5"/>
    <n v="9"/>
    <n v="1"/>
    <n v="2"/>
    <n v="6"/>
    <n v="12"/>
    <n v="31"/>
    <n v="13"/>
    <n v="11"/>
    <m/>
    <m/>
    <n v="2"/>
    <n v="19"/>
    <n v="5"/>
    <n v="6"/>
    <n v="3"/>
    <n v="5"/>
    <n v="3"/>
    <n v="6"/>
    <m/>
    <n v="8"/>
    <m/>
    <n v="147"/>
  </r>
  <r>
    <x v="4"/>
    <x v="31"/>
    <n v="1"/>
    <n v="3"/>
    <n v="1"/>
    <n v="3"/>
    <n v="9"/>
    <n v="20"/>
    <n v="5"/>
    <n v="3"/>
    <m/>
    <m/>
    <m/>
    <m/>
    <n v="1"/>
    <n v="1"/>
    <n v="1"/>
    <n v="1"/>
    <n v="3"/>
    <m/>
    <m/>
    <m/>
    <n v="1"/>
    <m/>
    <n v="53"/>
  </r>
  <r>
    <x v="4"/>
    <x v="50"/>
    <n v="8"/>
    <n v="9"/>
    <n v="1"/>
    <n v="2"/>
    <n v="6"/>
    <n v="11"/>
    <n v="18"/>
    <n v="8"/>
    <n v="2"/>
    <m/>
    <m/>
    <m/>
    <n v="1"/>
    <n v="4"/>
    <n v="12"/>
    <n v="1"/>
    <n v="4"/>
    <m/>
    <m/>
    <m/>
    <n v="2"/>
    <m/>
    <n v="89"/>
  </r>
  <r>
    <x v="4"/>
    <x v="32"/>
    <m/>
    <m/>
    <m/>
    <m/>
    <m/>
    <m/>
    <n v="14"/>
    <m/>
    <n v="2"/>
    <m/>
    <m/>
    <m/>
    <n v="2"/>
    <n v="1"/>
    <n v="1"/>
    <m/>
    <m/>
    <m/>
    <m/>
    <m/>
    <m/>
    <m/>
    <n v="20"/>
  </r>
  <r>
    <x v="4"/>
    <x v="33"/>
    <n v="1"/>
    <n v="1"/>
    <m/>
    <m/>
    <m/>
    <m/>
    <n v="38"/>
    <n v="6"/>
    <n v="18"/>
    <m/>
    <m/>
    <m/>
    <n v="3"/>
    <n v="3"/>
    <n v="3"/>
    <n v="3"/>
    <n v="10"/>
    <n v="1"/>
    <n v="1"/>
    <n v="10"/>
    <n v="2"/>
    <n v="1"/>
    <n v="101"/>
  </r>
  <r>
    <x v="4"/>
    <x v="34"/>
    <n v="4"/>
    <n v="8"/>
    <m/>
    <m/>
    <m/>
    <m/>
    <n v="12"/>
    <n v="9"/>
    <n v="47"/>
    <n v="1"/>
    <m/>
    <m/>
    <n v="2"/>
    <n v="1"/>
    <n v="2"/>
    <n v="2"/>
    <n v="2"/>
    <m/>
    <n v="1"/>
    <m/>
    <m/>
    <m/>
    <n v="91"/>
  </r>
  <r>
    <x v="4"/>
    <x v="35"/>
    <n v="2"/>
    <n v="4"/>
    <n v="3"/>
    <n v="3"/>
    <n v="4"/>
    <n v="4"/>
    <n v="2"/>
    <n v="2"/>
    <n v="2"/>
    <m/>
    <m/>
    <m/>
    <n v="1"/>
    <n v="1"/>
    <n v="2"/>
    <m/>
    <m/>
    <m/>
    <n v="1"/>
    <m/>
    <n v="1"/>
    <m/>
    <n v="32"/>
  </r>
  <r>
    <x v="4"/>
    <x v="66"/>
    <n v="4"/>
    <n v="4"/>
    <m/>
    <m/>
    <n v="1"/>
    <n v="2"/>
    <n v="4"/>
    <n v="1"/>
    <m/>
    <m/>
    <m/>
    <m/>
    <m/>
    <m/>
    <m/>
    <m/>
    <m/>
    <m/>
    <m/>
    <m/>
    <m/>
    <m/>
    <n v="16"/>
  </r>
  <r>
    <x v="4"/>
    <x v="36"/>
    <n v="1"/>
    <n v="2"/>
    <n v="1"/>
    <n v="1"/>
    <n v="1"/>
    <n v="2"/>
    <n v="50"/>
    <n v="2"/>
    <n v="21"/>
    <m/>
    <m/>
    <m/>
    <n v="29"/>
    <n v="3"/>
    <n v="2"/>
    <m/>
    <m/>
    <m/>
    <m/>
    <n v="3"/>
    <n v="3"/>
    <m/>
    <n v="121"/>
  </r>
  <r>
    <x v="4"/>
    <x v="37"/>
    <n v="2"/>
    <n v="4"/>
    <n v="3"/>
    <n v="7"/>
    <n v="7"/>
    <n v="15"/>
    <n v="17"/>
    <m/>
    <m/>
    <m/>
    <m/>
    <m/>
    <n v="1"/>
    <m/>
    <m/>
    <m/>
    <m/>
    <m/>
    <m/>
    <m/>
    <m/>
    <m/>
    <n v="56"/>
  </r>
  <r>
    <x v="4"/>
    <x v="38"/>
    <m/>
    <m/>
    <m/>
    <m/>
    <m/>
    <m/>
    <n v="4"/>
    <n v="2"/>
    <n v="7"/>
    <m/>
    <m/>
    <m/>
    <n v="1"/>
    <n v="3"/>
    <n v="10"/>
    <m/>
    <m/>
    <m/>
    <m/>
    <m/>
    <m/>
    <m/>
    <n v="27"/>
  </r>
  <r>
    <x v="4"/>
    <x v="39"/>
    <n v="1"/>
    <n v="1"/>
    <n v="2"/>
    <n v="2"/>
    <m/>
    <m/>
    <n v="10"/>
    <n v="1"/>
    <m/>
    <m/>
    <m/>
    <m/>
    <m/>
    <n v="2"/>
    <n v="4"/>
    <n v="1"/>
    <n v="3"/>
    <n v="1"/>
    <m/>
    <m/>
    <m/>
    <m/>
    <n v="28"/>
  </r>
  <r>
    <x v="4"/>
    <x v="40"/>
    <n v="2"/>
    <n v="4"/>
    <n v="1"/>
    <n v="2"/>
    <n v="2"/>
    <n v="2"/>
    <n v="3"/>
    <n v="8"/>
    <n v="2"/>
    <m/>
    <m/>
    <m/>
    <n v="1"/>
    <n v="1"/>
    <n v="2"/>
    <n v="1"/>
    <n v="3"/>
    <n v="1"/>
    <n v="1"/>
    <n v="1"/>
    <n v="1"/>
    <m/>
    <n v="38"/>
  </r>
  <r>
    <x v="4"/>
    <x v="41"/>
    <n v="6"/>
    <n v="13"/>
    <n v="3"/>
    <n v="9"/>
    <n v="4"/>
    <n v="8"/>
    <n v="2"/>
    <m/>
    <n v="2"/>
    <m/>
    <m/>
    <m/>
    <n v="1"/>
    <m/>
    <m/>
    <m/>
    <m/>
    <m/>
    <n v="1"/>
    <m/>
    <n v="4"/>
    <m/>
    <n v="53"/>
  </r>
  <r>
    <x v="4"/>
    <x v="43"/>
    <n v="2"/>
    <n v="3"/>
    <n v="1"/>
    <n v="2"/>
    <m/>
    <m/>
    <n v="5"/>
    <n v="5"/>
    <n v="4"/>
    <m/>
    <m/>
    <m/>
    <m/>
    <n v="2"/>
    <n v="6"/>
    <m/>
    <m/>
    <m/>
    <m/>
    <n v="12"/>
    <n v="5"/>
    <m/>
    <n v="47"/>
  </r>
  <r>
    <x v="4"/>
    <x v="44"/>
    <m/>
    <m/>
    <m/>
    <m/>
    <m/>
    <m/>
    <n v="8"/>
    <n v="8"/>
    <n v="32"/>
    <m/>
    <m/>
    <m/>
    <n v="8"/>
    <n v="2"/>
    <n v="2"/>
    <n v="5"/>
    <n v="6"/>
    <n v="1"/>
    <n v="8"/>
    <n v="8"/>
    <n v="16"/>
    <n v="14"/>
    <n v="118"/>
  </r>
  <r>
    <x v="4"/>
    <x v="45"/>
    <m/>
    <m/>
    <m/>
    <m/>
    <m/>
    <m/>
    <n v="3"/>
    <n v="2"/>
    <m/>
    <m/>
    <m/>
    <m/>
    <m/>
    <n v="3"/>
    <n v="9"/>
    <n v="2"/>
    <n v="5"/>
    <m/>
    <n v="1"/>
    <m/>
    <m/>
    <m/>
    <n v="25"/>
  </r>
  <r>
    <x v="4"/>
    <x v="46"/>
    <n v="2"/>
    <n v="4"/>
    <n v="2"/>
    <n v="4"/>
    <m/>
    <m/>
    <n v="11"/>
    <m/>
    <n v="1"/>
    <m/>
    <m/>
    <m/>
    <n v="5"/>
    <n v="2"/>
    <n v="2"/>
    <m/>
    <m/>
    <m/>
    <m/>
    <m/>
    <n v="1"/>
    <m/>
    <n v="34"/>
  </r>
  <r>
    <x v="5"/>
    <x v="58"/>
    <m/>
    <m/>
    <m/>
    <m/>
    <m/>
    <m/>
    <m/>
    <m/>
    <m/>
    <m/>
    <m/>
    <m/>
    <m/>
    <m/>
    <m/>
    <m/>
    <m/>
    <m/>
    <m/>
    <m/>
    <m/>
    <m/>
    <n v="0"/>
  </r>
  <r>
    <x v="5"/>
    <x v="59"/>
    <m/>
    <m/>
    <m/>
    <m/>
    <m/>
    <m/>
    <m/>
    <m/>
    <m/>
    <m/>
    <m/>
    <m/>
    <m/>
    <m/>
    <m/>
    <m/>
    <m/>
    <m/>
    <m/>
    <m/>
    <m/>
    <m/>
    <n v="0"/>
  </r>
  <r>
    <x v="5"/>
    <x v="60"/>
    <m/>
    <m/>
    <m/>
    <m/>
    <m/>
    <m/>
    <m/>
    <m/>
    <m/>
    <m/>
    <m/>
    <m/>
    <m/>
    <m/>
    <m/>
    <m/>
    <m/>
    <m/>
    <m/>
    <m/>
    <m/>
    <m/>
    <n v="0"/>
  </r>
  <r>
    <x v="5"/>
    <x v="61"/>
    <m/>
    <m/>
    <m/>
    <m/>
    <m/>
    <m/>
    <m/>
    <m/>
    <m/>
    <m/>
    <m/>
    <m/>
    <m/>
    <m/>
    <m/>
    <m/>
    <m/>
    <m/>
    <m/>
    <m/>
    <m/>
    <m/>
    <n v="0"/>
  </r>
  <r>
    <x v="5"/>
    <x v="62"/>
    <m/>
    <m/>
    <m/>
    <m/>
    <m/>
    <m/>
    <m/>
    <m/>
    <m/>
    <m/>
    <m/>
    <m/>
    <m/>
    <m/>
    <m/>
    <m/>
    <m/>
    <m/>
    <m/>
    <m/>
    <m/>
    <m/>
    <n v="0"/>
  </r>
  <r>
    <x v="5"/>
    <x v="63"/>
    <m/>
    <m/>
    <m/>
    <m/>
    <m/>
    <m/>
    <m/>
    <m/>
    <m/>
    <m/>
    <m/>
    <m/>
    <m/>
    <m/>
    <m/>
    <m/>
    <m/>
    <m/>
    <m/>
    <m/>
    <m/>
    <m/>
    <n v="0"/>
  </r>
  <r>
    <x v="5"/>
    <x v="1"/>
    <m/>
    <m/>
    <m/>
    <m/>
    <m/>
    <n v="1"/>
    <n v="2"/>
    <n v="1"/>
    <n v="1"/>
    <m/>
    <m/>
    <m/>
    <n v="1"/>
    <m/>
    <m/>
    <m/>
    <m/>
    <m/>
    <n v="1"/>
    <m/>
    <n v="1"/>
    <m/>
    <n v="8"/>
  </r>
  <r>
    <x v="5"/>
    <x v="2"/>
    <m/>
    <m/>
    <m/>
    <m/>
    <m/>
    <m/>
    <m/>
    <m/>
    <m/>
    <m/>
    <m/>
    <m/>
    <m/>
    <m/>
    <m/>
    <m/>
    <m/>
    <m/>
    <m/>
    <m/>
    <m/>
    <m/>
    <n v="0"/>
  </r>
  <r>
    <x v="5"/>
    <x v="3"/>
    <m/>
    <m/>
    <m/>
    <m/>
    <m/>
    <m/>
    <m/>
    <m/>
    <m/>
    <m/>
    <m/>
    <m/>
    <m/>
    <m/>
    <m/>
    <m/>
    <m/>
    <m/>
    <m/>
    <m/>
    <m/>
    <m/>
    <n v="0"/>
  </r>
  <r>
    <x v="5"/>
    <x v="4"/>
    <m/>
    <m/>
    <m/>
    <m/>
    <m/>
    <m/>
    <m/>
    <m/>
    <m/>
    <m/>
    <m/>
    <m/>
    <m/>
    <m/>
    <m/>
    <m/>
    <m/>
    <m/>
    <m/>
    <m/>
    <m/>
    <m/>
    <n v="0"/>
  </r>
  <r>
    <x v="5"/>
    <x v="5"/>
    <m/>
    <m/>
    <m/>
    <m/>
    <m/>
    <m/>
    <m/>
    <m/>
    <m/>
    <m/>
    <m/>
    <m/>
    <m/>
    <m/>
    <m/>
    <m/>
    <m/>
    <m/>
    <m/>
    <m/>
    <m/>
    <m/>
    <n v="0"/>
  </r>
  <r>
    <x v="5"/>
    <x v="6"/>
    <m/>
    <m/>
    <m/>
    <m/>
    <m/>
    <m/>
    <m/>
    <m/>
    <m/>
    <m/>
    <m/>
    <m/>
    <m/>
    <m/>
    <m/>
    <m/>
    <m/>
    <m/>
    <m/>
    <m/>
    <m/>
    <m/>
    <n v="0"/>
  </r>
  <r>
    <x v="5"/>
    <x v="8"/>
    <m/>
    <m/>
    <m/>
    <m/>
    <m/>
    <m/>
    <m/>
    <m/>
    <m/>
    <m/>
    <m/>
    <m/>
    <m/>
    <m/>
    <m/>
    <m/>
    <m/>
    <m/>
    <m/>
    <m/>
    <m/>
    <m/>
    <n v="0"/>
  </r>
  <r>
    <x v="5"/>
    <x v="64"/>
    <m/>
    <m/>
    <m/>
    <m/>
    <m/>
    <m/>
    <m/>
    <m/>
    <m/>
    <m/>
    <m/>
    <m/>
    <m/>
    <m/>
    <m/>
    <m/>
    <m/>
    <m/>
    <m/>
    <m/>
    <m/>
    <m/>
    <n v="0"/>
  </r>
  <r>
    <x v="5"/>
    <x v="9"/>
    <m/>
    <m/>
    <m/>
    <m/>
    <m/>
    <m/>
    <m/>
    <m/>
    <m/>
    <m/>
    <m/>
    <m/>
    <m/>
    <m/>
    <m/>
    <m/>
    <m/>
    <m/>
    <m/>
    <m/>
    <m/>
    <m/>
    <n v="0"/>
  </r>
  <r>
    <x v="5"/>
    <x v="10"/>
    <m/>
    <m/>
    <m/>
    <m/>
    <m/>
    <m/>
    <m/>
    <m/>
    <m/>
    <m/>
    <m/>
    <m/>
    <m/>
    <m/>
    <m/>
    <m/>
    <m/>
    <m/>
    <m/>
    <m/>
    <m/>
    <m/>
    <n v="0"/>
  </r>
  <r>
    <x v="5"/>
    <x v="11"/>
    <m/>
    <m/>
    <m/>
    <m/>
    <m/>
    <m/>
    <m/>
    <m/>
    <m/>
    <m/>
    <m/>
    <m/>
    <m/>
    <m/>
    <m/>
    <m/>
    <m/>
    <m/>
    <m/>
    <m/>
    <m/>
    <m/>
    <n v="0"/>
  </r>
  <r>
    <x v="5"/>
    <x v="12"/>
    <m/>
    <m/>
    <m/>
    <m/>
    <m/>
    <m/>
    <m/>
    <m/>
    <m/>
    <m/>
    <m/>
    <m/>
    <m/>
    <m/>
    <m/>
    <m/>
    <m/>
    <m/>
    <m/>
    <m/>
    <m/>
    <m/>
    <n v="0"/>
  </r>
  <r>
    <x v="5"/>
    <x v="13"/>
    <m/>
    <m/>
    <m/>
    <m/>
    <m/>
    <m/>
    <m/>
    <m/>
    <m/>
    <m/>
    <m/>
    <m/>
    <m/>
    <m/>
    <m/>
    <m/>
    <m/>
    <m/>
    <m/>
    <m/>
    <m/>
    <m/>
    <n v="0"/>
  </r>
  <r>
    <x v="5"/>
    <x v="14"/>
    <m/>
    <m/>
    <m/>
    <m/>
    <m/>
    <m/>
    <n v="4"/>
    <n v="4"/>
    <n v="2"/>
    <m/>
    <m/>
    <m/>
    <n v="5"/>
    <m/>
    <m/>
    <m/>
    <m/>
    <m/>
    <n v="5"/>
    <m/>
    <n v="4"/>
    <m/>
    <n v="24"/>
  </r>
  <r>
    <x v="5"/>
    <x v="15"/>
    <m/>
    <m/>
    <m/>
    <m/>
    <m/>
    <m/>
    <m/>
    <m/>
    <m/>
    <m/>
    <m/>
    <m/>
    <m/>
    <m/>
    <m/>
    <m/>
    <m/>
    <m/>
    <m/>
    <m/>
    <m/>
    <m/>
    <n v="0"/>
  </r>
  <r>
    <x v="5"/>
    <x v="16"/>
    <m/>
    <m/>
    <m/>
    <m/>
    <m/>
    <m/>
    <m/>
    <m/>
    <m/>
    <m/>
    <m/>
    <m/>
    <m/>
    <m/>
    <m/>
    <m/>
    <m/>
    <m/>
    <m/>
    <m/>
    <m/>
    <m/>
    <n v="0"/>
  </r>
  <r>
    <x v="5"/>
    <x v="17"/>
    <m/>
    <m/>
    <m/>
    <m/>
    <m/>
    <m/>
    <m/>
    <m/>
    <m/>
    <m/>
    <m/>
    <m/>
    <m/>
    <m/>
    <m/>
    <m/>
    <m/>
    <m/>
    <m/>
    <m/>
    <m/>
    <m/>
    <n v="0"/>
  </r>
  <r>
    <x v="5"/>
    <x v="18"/>
    <m/>
    <m/>
    <m/>
    <m/>
    <m/>
    <m/>
    <m/>
    <m/>
    <m/>
    <m/>
    <m/>
    <m/>
    <m/>
    <m/>
    <m/>
    <m/>
    <m/>
    <m/>
    <m/>
    <m/>
    <m/>
    <m/>
    <n v="0"/>
  </r>
  <r>
    <x v="5"/>
    <x v="19"/>
    <m/>
    <m/>
    <m/>
    <m/>
    <m/>
    <m/>
    <m/>
    <m/>
    <m/>
    <m/>
    <m/>
    <m/>
    <m/>
    <m/>
    <m/>
    <m/>
    <m/>
    <m/>
    <m/>
    <m/>
    <m/>
    <m/>
    <n v="0"/>
  </r>
  <r>
    <x v="5"/>
    <x v="21"/>
    <m/>
    <m/>
    <m/>
    <m/>
    <m/>
    <m/>
    <m/>
    <m/>
    <m/>
    <m/>
    <m/>
    <m/>
    <m/>
    <m/>
    <m/>
    <m/>
    <m/>
    <m/>
    <m/>
    <m/>
    <m/>
    <m/>
    <n v="0"/>
  </r>
  <r>
    <x v="5"/>
    <x v="22"/>
    <m/>
    <m/>
    <m/>
    <m/>
    <m/>
    <m/>
    <m/>
    <m/>
    <m/>
    <m/>
    <m/>
    <m/>
    <m/>
    <m/>
    <m/>
    <m/>
    <m/>
    <m/>
    <m/>
    <m/>
    <m/>
    <m/>
    <n v="0"/>
  </r>
  <r>
    <x v="5"/>
    <x v="23"/>
    <m/>
    <m/>
    <m/>
    <m/>
    <m/>
    <m/>
    <m/>
    <m/>
    <m/>
    <m/>
    <m/>
    <m/>
    <m/>
    <m/>
    <m/>
    <m/>
    <m/>
    <m/>
    <m/>
    <m/>
    <m/>
    <m/>
    <n v="0"/>
  </r>
  <r>
    <x v="5"/>
    <x v="25"/>
    <m/>
    <m/>
    <m/>
    <m/>
    <m/>
    <m/>
    <m/>
    <m/>
    <m/>
    <m/>
    <m/>
    <m/>
    <m/>
    <m/>
    <m/>
    <m/>
    <m/>
    <m/>
    <m/>
    <m/>
    <m/>
    <m/>
    <n v="0"/>
  </r>
  <r>
    <x v="5"/>
    <x v="26"/>
    <m/>
    <m/>
    <m/>
    <m/>
    <m/>
    <m/>
    <m/>
    <m/>
    <m/>
    <m/>
    <m/>
    <m/>
    <m/>
    <m/>
    <m/>
    <m/>
    <m/>
    <m/>
    <m/>
    <m/>
    <m/>
    <m/>
    <n v="0"/>
  </r>
  <r>
    <x v="5"/>
    <x v="65"/>
    <n v="1"/>
    <n v="2"/>
    <m/>
    <m/>
    <m/>
    <m/>
    <n v="2"/>
    <n v="1"/>
    <m/>
    <m/>
    <m/>
    <m/>
    <n v="1"/>
    <m/>
    <m/>
    <m/>
    <m/>
    <m/>
    <n v="1"/>
    <m/>
    <n v="2"/>
    <m/>
    <n v="10"/>
  </r>
  <r>
    <x v="5"/>
    <x v="27"/>
    <m/>
    <m/>
    <m/>
    <m/>
    <m/>
    <m/>
    <m/>
    <m/>
    <m/>
    <m/>
    <m/>
    <m/>
    <m/>
    <m/>
    <m/>
    <m/>
    <m/>
    <m/>
    <m/>
    <m/>
    <m/>
    <m/>
    <n v="0"/>
  </r>
  <r>
    <x v="5"/>
    <x v="28"/>
    <m/>
    <m/>
    <m/>
    <m/>
    <m/>
    <m/>
    <m/>
    <m/>
    <m/>
    <m/>
    <m/>
    <m/>
    <m/>
    <m/>
    <m/>
    <m/>
    <m/>
    <m/>
    <m/>
    <m/>
    <m/>
    <m/>
    <n v="0"/>
  </r>
  <r>
    <x v="5"/>
    <x v="29"/>
    <n v="3"/>
    <n v="3"/>
    <m/>
    <m/>
    <m/>
    <m/>
    <n v="7"/>
    <n v="4"/>
    <n v="1"/>
    <m/>
    <m/>
    <m/>
    <n v="11"/>
    <m/>
    <m/>
    <m/>
    <m/>
    <m/>
    <n v="11"/>
    <m/>
    <m/>
    <n v="2"/>
    <n v="42"/>
  </r>
  <r>
    <x v="5"/>
    <x v="30"/>
    <m/>
    <m/>
    <m/>
    <m/>
    <m/>
    <m/>
    <m/>
    <m/>
    <m/>
    <m/>
    <m/>
    <m/>
    <m/>
    <m/>
    <m/>
    <m/>
    <m/>
    <m/>
    <m/>
    <m/>
    <m/>
    <m/>
    <n v="0"/>
  </r>
  <r>
    <x v="5"/>
    <x v="31"/>
    <m/>
    <m/>
    <m/>
    <m/>
    <m/>
    <m/>
    <m/>
    <m/>
    <m/>
    <m/>
    <m/>
    <m/>
    <m/>
    <m/>
    <m/>
    <m/>
    <m/>
    <m/>
    <m/>
    <m/>
    <m/>
    <m/>
    <n v="0"/>
  </r>
  <r>
    <x v="5"/>
    <x v="32"/>
    <m/>
    <m/>
    <m/>
    <m/>
    <m/>
    <m/>
    <m/>
    <m/>
    <m/>
    <m/>
    <m/>
    <m/>
    <m/>
    <m/>
    <m/>
    <m/>
    <m/>
    <m/>
    <m/>
    <m/>
    <m/>
    <m/>
    <n v="0"/>
  </r>
  <r>
    <x v="5"/>
    <x v="33"/>
    <m/>
    <m/>
    <m/>
    <m/>
    <m/>
    <m/>
    <n v="2"/>
    <m/>
    <m/>
    <m/>
    <m/>
    <m/>
    <m/>
    <m/>
    <m/>
    <m/>
    <m/>
    <m/>
    <m/>
    <m/>
    <n v="2"/>
    <m/>
    <n v="4"/>
  </r>
  <r>
    <x v="5"/>
    <x v="34"/>
    <m/>
    <m/>
    <m/>
    <m/>
    <m/>
    <m/>
    <m/>
    <m/>
    <m/>
    <m/>
    <m/>
    <m/>
    <m/>
    <m/>
    <m/>
    <m/>
    <m/>
    <m/>
    <m/>
    <m/>
    <m/>
    <m/>
    <n v="0"/>
  </r>
  <r>
    <x v="5"/>
    <x v="66"/>
    <m/>
    <m/>
    <m/>
    <m/>
    <m/>
    <m/>
    <m/>
    <m/>
    <m/>
    <m/>
    <m/>
    <m/>
    <m/>
    <m/>
    <m/>
    <m/>
    <m/>
    <m/>
    <m/>
    <m/>
    <m/>
    <m/>
    <n v="0"/>
  </r>
  <r>
    <x v="5"/>
    <x v="36"/>
    <m/>
    <m/>
    <m/>
    <m/>
    <m/>
    <m/>
    <m/>
    <m/>
    <m/>
    <m/>
    <m/>
    <m/>
    <m/>
    <m/>
    <m/>
    <m/>
    <m/>
    <m/>
    <m/>
    <m/>
    <m/>
    <m/>
    <n v="0"/>
  </r>
  <r>
    <x v="5"/>
    <x v="37"/>
    <m/>
    <m/>
    <m/>
    <m/>
    <m/>
    <m/>
    <m/>
    <m/>
    <m/>
    <m/>
    <m/>
    <m/>
    <m/>
    <m/>
    <m/>
    <m/>
    <m/>
    <m/>
    <m/>
    <m/>
    <m/>
    <m/>
    <n v="0"/>
  </r>
  <r>
    <x v="5"/>
    <x v="38"/>
    <m/>
    <m/>
    <m/>
    <m/>
    <m/>
    <m/>
    <m/>
    <m/>
    <m/>
    <m/>
    <m/>
    <m/>
    <m/>
    <m/>
    <m/>
    <m/>
    <m/>
    <m/>
    <m/>
    <m/>
    <m/>
    <m/>
    <n v="0"/>
  </r>
  <r>
    <x v="5"/>
    <x v="39"/>
    <m/>
    <m/>
    <m/>
    <m/>
    <m/>
    <m/>
    <m/>
    <m/>
    <m/>
    <m/>
    <m/>
    <m/>
    <m/>
    <m/>
    <m/>
    <m/>
    <m/>
    <m/>
    <m/>
    <m/>
    <m/>
    <m/>
    <n v="0"/>
  </r>
  <r>
    <x v="5"/>
    <x v="40"/>
    <m/>
    <m/>
    <m/>
    <m/>
    <m/>
    <m/>
    <m/>
    <m/>
    <m/>
    <m/>
    <m/>
    <m/>
    <m/>
    <m/>
    <m/>
    <m/>
    <m/>
    <m/>
    <m/>
    <m/>
    <m/>
    <m/>
    <n v="0"/>
  </r>
  <r>
    <x v="5"/>
    <x v="41"/>
    <m/>
    <m/>
    <m/>
    <m/>
    <m/>
    <m/>
    <m/>
    <m/>
    <m/>
    <m/>
    <m/>
    <m/>
    <m/>
    <m/>
    <m/>
    <m/>
    <m/>
    <m/>
    <m/>
    <m/>
    <m/>
    <m/>
    <n v="0"/>
  </r>
  <r>
    <x v="5"/>
    <x v="43"/>
    <m/>
    <m/>
    <m/>
    <m/>
    <m/>
    <m/>
    <n v="2"/>
    <m/>
    <m/>
    <m/>
    <m/>
    <m/>
    <n v="1"/>
    <m/>
    <m/>
    <m/>
    <m/>
    <m/>
    <n v="2"/>
    <m/>
    <n v="2"/>
    <m/>
    <n v="7"/>
  </r>
  <r>
    <x v="5"/>
    <x v="44"/>
    <m/>
    <m/>
    <m/>
    <m/>
    <m/>
    <m/>
    <m/>
    <m/>
    <m/>
    <m/>
    <m/>
    <m/>
    <m/>
    <m/>
    <m/>
    <m/>
    <m/>
    <m/>
    <m/>
    <m/>
    <m/>
    <m/>
    <n v="0"/>
  </r>
  <r>
    <x v="5"/>
    <x v="45"/>
    <m/>
    <m/>
    <m/>
    <m/>
    <m/>
    <m/>
    <m/>
    <m/>
    <m/>
    <m/>
    <m/>
    <m/>
    <m/>
    <m/>
    <m/>
    <m/>
    <m/>
    <m/>
    <m/>
    <m/>
    <m/>
    <m/>
    <n v="0"/>
  </r>
  <r>
    <x v="5"/>
    <x v="46"/>
    <m/>
    <m/>
    <m/>
    <m/>
    <m/>
    <m/>
    <n v="3"/>
    <m/>
    <m/>
    <m/>
    <m/>
    <m/>
    <m/>
    <m/>
    <m/>
    <m/>
    <m/>
    <m/>
    <m/>
    <m/>
    <n v="1"/>
    <m/>
    <n v="4"/>
  </r>
  <r>
    <x v="6"/>
    <x v="58"/>
    <m/>
    <m/>
    <m/>
    <m/>
    <m/>
    <m/>
    <m/>
    <m/>
    <m/>
    <m/>
    <m/>
    <m/>
    <m/>
    <m/>
    <m/>
    <m/>
    <m/>
    <m/>
    <m/>
    <m/>
    <m/>
    <m/>
    <n v="0"/>
  </r>
  <r>
    <x v="6"/>
    <x v="59"/>
    <m/>
    <m/>
    <m/>
    <m/>
    <m/>
    <m/>
    <m/>
    <m/>
    <m/>
    <m/>
    <m/>
    <m/>
    <m/>
    <m/>
    <m/>
    <m/>
    <m/>
    <m/>
    <m/>
    <m/>
    <m/>
    <m/>
    <n v="0"/>
  </r>
  <r>
    <x v="6"/>
    <x v="60"/>
    <m/>
    <m/>
    <m/>
    <m/>
    <m/>
    <m/>
    <n v="1"/>
    <m/>
    <n v="3"/>
    <m/>
    <m/>
    <m/>
    <n v="1"/>
    <n v="2"/>
    <m/>
    <n v="4"/>
    <m/>
    <n v="4"/>
    <n v="2"/>
    <n v="5"/>
    <n v="1"/>
    <m/>
    <n v="23"/>
  </r>
  <r>
    <x v="6"/>
    <x v="61"/>
    <m/>
    <m/>
    <m/>
    <m/>
    <m/>
    <m/>
    <m/>
    <n v="4"/>
    <m/>
    <m/>
    <m/>
    <m/>
    <n v="8"/>
    <m/>
    <m/>
    <m/>
    <m/>
    <m/>
    <n v="5"/>
    <m/>
    <n v="2"/>
    <m/>
    <n v="19"/>
  </r>
  <r>
    <x v="6"/>
    <x v="62"/>
    <m/>
    <m/>
    <m/>
    <m/>
    <m/>
    <m/>
    <m/>
    <m/>
    <m/>
    <m/>
    <m/>
    <m/>
    <m/>
    <m/>
    <m/>
    <m/>
    <m/>
    <m/>
    <m/>
    <m/>
    <m/>
    <m/>
    <n v="0"/>
  </r>
  <r>
    <x v="6"/>
    <x v="63"/>
    <m/>
    <m/>
    <m/>
    <m/>
    <m/>
    <m/>
    <m/>
    <m/>
    <m/>
    <m/>
    <m/>
    <m/>
    <m/>
    <m/>
    <m/>
    <m/>
    <m/>
    <m/>
    <m/>
    <m/>
    <m/>
    <m/>
    <n v="0"/>
  </r>
  <r>
    <x v="6"/>
    <x v="1"/>
    <m/>
    <m/>
    <m/>
    <m/>
    <m/>
    <m/>
    <m/>
    <m/>
    <m/>
    <m/>
    <m/>
    <m/>
    <m/>
    <m/>
    <m/>
    <m/>
    <m/>
    <m/>
    <m/>
    <m/>
    <m/>
    <m/>
    <n v="0"/>
  </r>
  <r>
    <x v="6"/>
    <x v="2"/>
    <m/>
    <m/>
    <m/>
    <m/>
    <m/>
    <m/>
    <m/>
    <m/>
    <m/>
    <m/>
    <m/>
    <m/>
    <m/>
    <m/>
    <m/>
    <m/>
    <m/>
    <m/>
    <m/>
    <m/>
    <m/>
    <m/>
    <n v="0"/>
  </r>
  <r>
    <x v="6"/>
    <x v="3"/>
    <m/>
    <m/>
    <m/>
    <m/>
    <m/>
    <m/>
    <m/>
    <m/>
    <m/>
    <m/>
    <m/>
    <m/>
    <m/>
    <m/>
    <m/>
    <m/>
    <m/>
    <m/>
    <m/>
    <m/>
    <m/>
    <m/>
    <n v="0"/>
  </r>
  <r>
    <x v="6"/>
    <x v="4"/>
    <m/>
    <m/>
    <m/>
    <m/>
    <m/>
    <m/>
    <m/>
    <m/>
    <m/>
    <m/>
    <m/>
    <m/>
    <m/>
    <m/>
    <m/>
    <m/>
    <m/>
    <m/>
    <m/>
    <m/>
    <m/>
    <m/>
    <n v="0"/>
  </r>
  <r>
    <x v="6"/>
    <x v="5"/>
    <m/>
    <m/>
    <m/>
    <m/>
    <m/>
    <m/>
    <m/>
    <m/>
    <m/>
    <m/>
    <m/>
    <m/>
    <m/>
    <m/>
    <m/>
    <m/>
    <m/>
    <m/>
    <m/>
    <m/>
    <m/>
    <m/>
    <n v="0"/>
  </r>
  <r>
    <x v="6"/>
    <x v="6"/>
    <m/>
    <m/>
    <m/>
    <m/>
    <m/>
    <m/>
    <m/>
    <m/>
    <m/>
    <m/>
    <m/>
    <m/>
    <m/>
    <m/>
    <m/>
    <m/>
    <m/>
    <m/>
    <m/>
    <m/>
    <m/>
    <m/>
    <n v="0"/>
  </r>
  <r>
    <x v="6"/>
    <x v="8"/>
    <m/>
    <m/>
    <m/>
    <m/>
    <m/>
    <m/>
    <m/>
    <m/>
    <m/>
    <m/>
    <m/>
    <m/>
    <m/>
    <m/>
    <m/>
    <m/>
    <m/>
    <m/>
    <m/>
    <m/>
    <m/>
    <m/>
    <n v="0"/>
  </r>
  <r>
    <x v="6"/>
    <x v="64"/>
    <m/>
    <m/>
    <m/>
    <m/>
    <m/>
    <m/>
    <m/>
    <m/>
    <m/>
    <m/>
    <m/>
    <m/>
    <m/>
    <m/>
    <m/>
    <m/>
    <m/>
    <m/>
    <m/>
    <m/>
    <m/>
    <m/>
    <n v="0"/>
  </r>
  <r>
    <x v="6"/>
    <x v="9"/>
    <m/>
    <m/>
    <m/>
    <m/>
    <m/>
    <m/>
    <m/>
    <m/>
    <m/>
    <m/>
    <m/>
    <m/>
    <m/>
    <m/>
    <m/>
    <m/>
    <m/>
    <m/>
    <m/>
    <m/>
    <m/>
    <m/>
    <n v="0"/>
  </r>
  <r>
    <x v="6"/>
    <x v="10"/>
    <m/>
    <m/>
    <m/>
    <m/>
    <m/>
    <m/>
    <m/>
    <m/>
    <m/>
    <m/>
    <m/>
    <m/>
    <m/>
    <m/>
    <m/>
    <m/>
    <m/>
    <m/>
    <m/>
    <m/>
    <m/>
    <m/>
    <n v="0"/>
  </r>
  <r>
    <x v="6"/>
    <x v="11"/>
    <m/>
    <m/>
    <m/>
    <m/>
    <m/>
    <m/>
    <n v="3"/>
    <n v="2"/>
    <n v="1"/>
    <m/>
    <m/>
    <m/>
    <n v="2"/>
    <m/>
    <m/>
    <m/>
    <m/>
    <m/>
    <m/>
    <m/>
    <m/>
    <m/>
    <n v="8"/>
  </r>
  <r>
    <x v="6"/>
    <x v="12"/>
    <m/>
    <m/>
    <m/>
    <m/>
    <n v="3"/>
    <n v="3"/>
    <n v="10"/>
    <n v="3"/>
    <m/>
    <m/>
    <m/>
    <m/>
    <n v="6"/>
    <m/>
    <m/>
    <m/>
    <m/>
    <m/>
    <n v="5"/>
    <m/>
    <n v="3"/>
    <m/>
    <n v="33"/>
  </r>
  <r>
    <x v="6"/>
    <x v="13"/>
    <m/>
    <m/>
    <m/>
    <m/>
    <m/>
    <m/>
    <m/>
    <m/>
    <m/>
    <m/>
    <m/>
    <m/>
    <m/>
    <m/>
    <m/>
    <m/>
    <m/>
    <m/>
    <m/>
    <m/>
    <m/>
    <m/>
    <n v="0"/>
  </r>
  <r>
    <x v="6"/>
    <x v="14"/>
    <m/>
    <m/>
    <m/>
    <m/>
    <m/>
    <m/>
    <n v="1"/>
    <n v="1"/>
    <m/>
    <m/>
    <m/>
    <m/>
    <m/>
    <m/>
    <m/>
    <m/>
    <m/>
    <m/>
    <m/>
    <m/>
    <m/>
    <m/>
    <n v="2"/>
  </r>
  <r>
    <x v="6"/>
    <x v="15"/>
    <m/>
    <m/>
    <m/>
    <m/>
    <m/>
    <m/>
    <m/>
    <m/>
    <m/>
    <m/>
    <m/>
    <m/>
    <m/>
    <m/>
    <m/>
    <m/>
    <m/>
    <m/>
    <m/>
    <m/>
    <m/>
    <m/>
    <n v="0"/>
  </r>
  <r>
    <x v="6"/>
    <x v="16"/>
    <m/>
    <m/>
    <m/>
    <m/>
    <m/>
    <m/>
    <n v="2"/>
    <n v="2"/>
    <n v="1"/>
    <m/>
    <m/>
    <m/>
    <n v="3"/>
    <m/>
    <m/>
    <m/>
    <m/>
    <m/>
    <n v="1"/>
    <m/>
    <n v="1"/>
    <n v="2"/>
    <n v="12"/>
  </r>
  <r>
    <x v="6"/>
    <x v="17"/>
    <m/>
    <m/>
    <m/>
    <m/>
    <m/>
    <m/>
    <m/>
    <m/>
    <m/>
    <m/>
    <m/>
    <m/>
    <m/>
    <m/>
    <m/>
    <m/>
    <m/>
    <m/>
    <m/>
    <m/>
    <m/>
    <m/>
    <n v="0"/>
  </r>
  <r>
    <x v="6"/>
    <x v="18"/>
    <m/>
    <m/>
    <m/>
    <m/>
    <m/>
    <m/>
    <m/>
    <m/>
    <m/>
    <m/>
    <m/>
    <m/>
    <m/>
    <m/>
    <m/>
    <m/>
    <m/>
    <m/>
    <m/>
    <m/>
    <m/>
    <m/>
    <n v="0"/>
  </r>
  <r>
    <x v="6"/>
    <x v="19"/>
    <m/>
    <m/>
    <m/>
    <m/>
    <m/>
    <m/>
    <m/>
    <m/>
    <m/>
    <m/>
    <m/>
    <m/>
    <m/>
    <m/>
    <m/>
    <m/>
    <m/>
    <m/>
    <m/>
    <m/>
    <m/>
    <m/>
    <n v="0"/>
  </r>
  <r>
    <x v="6"/>
    <x v="21"/>
    <n v="1"/>
    <n v="1"/>
    <m/>
    <m/>
    <m/>
    <m/>
    <n v="1"/>
    <n v="4"/>
    <m/>
    <m/>
    <m/>
    <m/>
    <n v="2"/>
    <m/>
    <m/>
    <m/>
    <m/>
    <m/>
    <n v="3"/>
    <m/>
    <n v="3"/>
    <n v="1"/>
    <n v="16"/>
  </r>
  <r>
    <x v="6"/>
    <x v="22"/>
    <m/>
    <m/>
    <m/>
    <m/>
    <m/>
    <m/>
    <m/>
    <m/>
    <m/>
    <m/>
    <m/>
    <m/>
    <m/>
    <m/>
    <m/>
    <m/>
    <m/>
    <m/>
    <m/>
    <m/>
    <m/>
    <m/>
    <n v="0"/>
  </r>
  <r>
    <x v="6"/>
    <x v="23"/>
    <m/>
    <m/>
    <m/>
    <m/>
    <m/>
    <m/>
    <n v="1"/>
    <m/>
    <m/>
    <m/>
    <m/>
    <m/>
    <n v="1"/>
    <n v="1"/>
    <n v="2"/>
    <n v="2"/>
    <m/>
    <n v="2"/>
    <m/>
    <m/>
    <m/>
    <m/>
    <n v="9"/>
  </r>
  <r>
    <x v="6"/>
    <x v="25"/>
    <m/>
    <m/>
    <m/>
    <m/>
    <m/>
    <m/>
    <m/>
    <m/>
    <m/>
    <m/>
    <m/>
    <m/>
    <m/>
    <m/>
    <m/>
    <m/>
    <m/>
    <m/>
    <m/>
    <m/>
    <m/>
    <m/>
    <n v="0"/>
  </r>
  <r>
    <x v="6"/>
    <x v="26"/>
    <m/>
    <m/>
    <m/>
    <m/>
    <m/>
    <m/>
    <m/>
    <m/>
    <m/>
    <m/>
    <m/>
    <m/>
    <m/>
    <m/>
    <m/>
    <m/>
    <m/>
    <m/>
    <m/>
    <m/>
    <m/>
    <m/>
    <n v="0"/>
  </r>
  <r>
    <x v="6"/>
    <x v="65"/>
    <m/>
    <m/>
    <m/>
    <m/>
    <m/>
    <m/>
    <n v="6"/>
    <n v="11"/>
    <n v="1"/>
    <m/>
    <n v="4"/>
    <n v="6"/>
    <n v="13"/>
    <n v="8"/>
    <n v="9"/>
    <n v="4"/>
    <n v="4"/>
    <n v="4"/>
    <n v="8"/>
    <n v="4"/>
    <n v="9"/>
    <n v="5"/>
    <n v="96"/>
  </r>
  <r>
    <x v="6"/>
    <x v="27"/>
    <m/>
    <m/>
    <m/>
    <m/>
    <m/>
    <m/>
    <m/>
    <m/>
    <m/>
    <m/>
    <m/>
    <m/>
    <m/>
    <m/>
    <m/>
    <m/>
    <m/>
    <m/>
    <m/>
    <m/>
    <m/>
    <m/>
    <n v="0"/>
  </r>
  <r>
    <x v="6"/>
    <x v="28"/>
    <m/>
    <m/>
    <m/>
    <m/>
    <m/>
    <m/>
    <m/>
    <m/>
    <m/>
    <m/>
    <m/>
    <m/>
    <m/>
    <m/>
    <m/>
    <m/>
    <m/>
    <m/>
    <m/>
    <m/>
    <m/>
    <m/>
    <n v="0"/>
  </r>
  <r>
    <x v="6"/>
    <x v="29"/>
    <m/>
    <m/>
    <m/>
    <m/>
    <m/>
    <m/>
    <m/>
    <m/>
    <m/>
    <m/>
    <m/>
    <m/>
    <m/>
    <m/>
    <m/>
    <m/>
    <m/>
    <m/>
    <m/>
    <m/>
    <m/>
    <m/>
    <n v="0"/>
  </r>
  <r>
    <x v="6"/>
    <x v="30"/>
    <n v="1"/>
    <n v="3"/>
    <n v="1"/>
    <n v="1"/>
    <n v="1"/>
    <n v="1"/>
    <n v="2"/>
    <n v="2"/>
    <m/>
    <m/>
    <m/>
    <m/>
    <n v="5"/>
    <n v="10"/>
    <n v="10"/>
    <n v="4"/>
    <m/>
    <n v="4"/>
    <m/>
    <n v="2"/>
    <m/>
    <n v="3"/>
    <n v="50"/>
  </r>
  <r>
    <x v="6"/>
    <x v="31"/>
    <m/>
    <m/>
    <m/>
    <m/>
    <m/>
    <m/>
    <m/>
    <m/>
    <m/>
    <m/>
    <m/>
    <m/>
    <m/>
    <m/>
    <m/>
    <m/>
    <m/>
    <m/>
    <m/>
    <m/>
    <m/>
    <m/>
    <n v="0"/>
  </r>
  <r>
    <x v="6"/>
    <x v="32"/>
    <m/>
    <m/>
    <m/>
    <m/>
    <m/>
    <m/>
    <m/>
    <m/>
    <m/>
    <m/>
    <m/>
    <m/>
    <m/>
    <m/>
    <m/>
    <m/>
    <m/>
    <m/>
    <m/>
    <m/>
    <m/>
    <m/>
    <n v="0"/>
  </r>
  <r>
    <x v="6"/>
    <x v="33"/>
    <m/>
    <m/>
    <m/>
    <m/>
    <m/>
    <m/>
    <n v="1"/>
    <m/>
    <n v="2"/>
    <m/>
    <m/>
    <m/>
    <n v="4"/>
    <m/>
    <m/>
    <m/>
    <m/>
    <m/>
    <n v="3"/>
    <m/>
    <n v="1"/>
    <m/>
    <n v="11"/>
  </r>
  <r>
    <x v="6"/>
    <x v="34"/>
    <m/>
    <m/>
    <m/>
    <m/>
    <m/>
    <m/>
    <n v="4"/>
    <n v="1"/>
    <m/>
    <m/>
    <n v="30"/>
    <m/>
    <m/>
    <n v="8"/>
    <n v="61"/>
    <n v="5"/>
    <n v="30"/>
    <n v="30"/>
    <m/>
    <n v="30"/>
    <m/>
    <m/>
    <n v="199"/>
  </r>
  <r>
    <x v="6"/>
    <x v="66"/>
    <m/>
    <m/>
    <m/>
    <m/>
    <m/>
    <m/>
    <m/>
    <m/>
    <m/>
    <m/>
    <m/>
    <m/>
    <m/>
    <m/>
    <m/>
    <m/>
    <m/>
    <m/>
    <m/>
    <m/>
    <m/>
    <m/>
    <n v="0"/>
  </r>
  <r>
    <x v="6"/>
    <x v="36"/>
    <m/>
    <m/>
    <m/>
    <m/>
    <m/>
    <m/>
    <n v="10"/>
    <n v="34"/>
    <m/>
    <m/>
    <n v="7"/>
    <n v="7"/>
    <n v="41"/>
    <n v="10"/>
    <n v="7"/>
    <n v="50"/>
    <n v="27"/>
    <n v="25"/>
    <n v="37"/>
    <n v="7"/>
    <n v="6"/>
    <m/>
    <n v="268"/>
  </r>
  <r>
    <x v="6"/>
    <x v="37"/>
    <n v="5"/>
    <n v="5"/>
    <m/>
    <m/>
    <n v="5"/>
    <n v="5"/>
    <m/>
    <n v="1"/>
    <n v="8"/>
    <m/>
    <m/>
    <m/>
    <n v="14"/>
    <m/>
    <m/>
    <m/>
    <m/>
    <m/>
    <n v="14"/>
    <m/>
    <m/>
    <m/>
    <n v="57"/>
  </r>
  <r>
    <x v="6"/>
    <x v="38"/>
    <m/>
    <m/>
    <m/>
    <m/>
    <m/>
    <m/>
    <m/>
    <m/>
    <m/>
    <m/>
    <m/>
    <m/>
    <m/>
    <m/>
    <m/>
    <m/>
    <m/>
    <m/>
    <m/>
    <m/>
    <m/>
    <m/>
    <n v="0"/>
  </r>
  <r>
    <x v="6"/>
    <x v="39"/>
    <m/>
    <m/>
    <m/>
    <m/>
    <m/>
    <m/>
    <m/>
    <m/>
    <m/>
    <m/>
    <m/>
    <m/>
    <m/>
    <m/>
    <m/>
    <m/>
    <m/>
    <m/>
    <m/>
    <m/>
    <m/>
    <m/>
    <n v="0"/>
  </r>
  <r>
    <x v="6"/>
    <x v="40"/>
    <m/>
    <m/>
    <m/>
    <m/>
    <m/>
    <m/>
    <m/>
    <m/>
    <m/>
    <m/>
    <m/>
    <m/>
    <m/>
    <m/>
    <m/>
    <m/>
    <m/>
    <m/>
    <m/>
    <m/>
    <m/>
    <m/>
    <n v="0"/>
  </r>
  <r>
    <x v="6"/>
    <x v="41"/>
    <m/>
    <m/>
    <m/>
    <m/>
    <m/>
    <m/>
    <m/>
    <m/>
    <m/>
    <m/>
    <m/>
    <m/>
    <m/>
    <m/>
    <m/>
    <m/>
    <m/>
    <m/>
    <m/>
    <m/>
    <m/>
    <m/>
    <n v="0"/>
  </r>
  <r>
    <x v="6"/>
    <x v="43"/>
    <m/>
    <m/>
    <m/>
    <m/>
    <m/>
    <m/>
    <m/>
    <m/>
    <m/>
    <m/>
    <m/>
    <m/>
    <m/>
    <m/>
    <m/>
    <m/>
    <m/>
    <m/>
    <m/>
    <m/>
    <m/>
    <m/>
    <n v="0"/>
  </r>
  <r>
    <x v="6"/>
    <x v="44"/>
    <m/>
    <m/>
    <m/>
    <m/>
    <m/>
    <m/>
    <n v="1"/>
    <m/>
    <m/>
    <m/>
    <m/>
    <m/>
    <n v="2"/>
    <m/>
    <m/>
    <n v="1"/>
    <m/>
    <n v="1"/>
    <m/>
    <n v="1"/>
    <n v="1"/>
    <n v="1"/>
    <n v="8"/>
  </r>
  <r>
    <x v="6"/>
    <x v="45"/>
    <m/>
    <m/>
    <m/>
    <m/>
    <m/>
    <m/>
    <m/>
    <m/>
    <m/>
    <m/>
    <m/>
    <m/>
    <m/>
    <m/>
    <m/>
    <m/>
    <m/>
    <m/>
    <m/>
    <m/>
    <m/>
    <m/>
    <n v="0"/>
  </r>
  <r>
    <x v="6"/>
    <x v="46"/>
    <n v="1"/>
    <n v="3"/>
    <m/>
    <n v="2"/>
    <n v="1"/>
    <n v="3"/>
    <m/>
    <n v="1"/>
    <m/>
    <m/>
    <m/>
    <m/>
    <n v="15"/>
    <n v="4"/>
    <n v="16"/>
    <m/>
    <m/>
    <m/>
    <n v="9"/>
    <n v="3"/>
    <n v="10"/>
    <n v="2"/>
    <n v="70"/>
  </r>
  <r>
    <x v="6"/>
    <x v="74"/>
    <m/>
    <m/>
    <m/>
    <m/>
    <m/>
    <m/>
    <m/>
    <n v="2"/>
    <m/>
    <m/>
    <m/>
    <m/>
    <n v="3"/>
    <m/>
    <m/>
    <m/>
    <m/>
    <m/>
    <n v="1"/>
    <m/>
    <n v="1"/>
    <m/>
    <n v="7"/>
  </r>
  <r>
    <x v="6"/>
    <x v="50"/>
    <m/>
    <n v="2"/>
    <m/>
    <n v="2"/>
    <m/>
    <n v="2"/>
    <m/>
    <m/>
    <n v="1"/>
    <m/>
    <m/>
    <m/>
    <m/>
    <n v="1"/>
    <n v="10"/>
    <m/>
    <m/>
    <m/>
    <m/>
    <m/>
    <m/>
    <m/>
    <n v="18"/>
  </r>
  <r>
    <x v="7"/>
    <x v="58"/>
    <m/>
    <m/>
    <m/>
    <m/>
    <m/>
    <m/>
    <n v="2"/>
    <m/>
    <m/>
    <m/>
    <m/>
    <m/>
    <m/>
    <m/>
    <m/>
    <m/>
    <m/>
    <m/>
    <m/>
    <m/>
    <m/>
    <m/>
    <n v="2"/>
  </r>
  <r>
    <x v="7"/>
    <x v="59"/>
    <m/>
    <m/>
    <m/>
    <m/>
    <m/>
    <m/>
    <n v="2"/>
    <m/>
    <m/>
    <m/>
    <m/>
    <m/>
    <m/>
    <n v="2"/>
    <n v="5"/>
    <m/>
    <m/>
    <m/>
    <m/>
    <m/>
    <m/>
    <m/>
    <n v="9"/>
  </r>
  <r>
    <x v="7"/>
    <x v="60"/>
    <m/>
    <m/>
    <m/>
    <m/>
    <m/>
    <m/>
    <n v="2"/>
    <m/>
    <m/>
    <m/>
    <m/>
    <m/>
    <m/>
    <m/>
    <m/>
    <m/>
    <m/>
    <m/>
    <m/>
    <m/>
    <m/>
    <m/>
    <n v="2"/>
  </r>
  <r>
    <x v="7"/>
    <x v="61"/>
    <m/>
    <m/>
    <m/>
    <m/>
    <m/>
    <m/>
    <n v="2"/>
    <m/>
    <m/>
    <m/>
    <m/>
    <m/>
    <m/>
    <n v="2"/>
    <n v="7"/>
    <m/>
    <m/>
    <m/>
    <m/>
    <m/>
    <n v="1"/>
    <n v="1"/>
    <n v="13"/>
  </r>
  <r>
    <x v="7"/>
    <x v="62"/>
    <m/>
    <m/>
    <m/>
    <m/>
    <m/>
    <m/>
    <m/>
    <m/>
    <m/>
    <m/>
    <m/>
    <m/>
    <m/>
    <m/>
    <m/>
    <m/>
    <m/>
    <m/>
    <m/>
    <m/>
    <m/>
    <m/>
    <n v="0"/>
  </r>
  <r>
    <x v="7"/>
    <x v="63"/>
    <m/>
    <m/>
    <m/>
    <m/>
    <m/>
    <m/>
    <m/>
    <m/>
    <m/>
    <m/>
    <m/>
    <m/>
    <m/>
    <m/>
    <m/>
    <m/>
    <m/>
    <m/>
    <m/>
    <m/>
    <m/>
    <m/>
    <n v="0"/>
  </r>
  <r>
    <x v="7"/>
    <x v="1"/>
    <m/>
    <m/>
    <m/>
    <m/>
    <m/>
    <m/>
    <m/>
    <m/>
    <m/>
    <m/>
    <m/>
    <m/>
    <m/>
    <m/>
    <m/>
    <m/>
    <m/>
    <m/>
    <m/>
    <m/>
    <m/>
    <m/>
    <n v="0"/>
  </r>
  <r>
    <x v="7"/>
    <x v="2"/>
    <m/>
    <m/>
    <m/>
    <m/>
    <m/>
    <m/>
    <n v="2"/>
    <m/>
    <m/>
    <m/>
    <m/>
    <m/>
    <m/>
    <n v="6"/>
    <m/>
    <m/>
    <m/>
    <m/>
    <m/>
    <m/>
    <m/>
    <m/>
    <n v="8"/>
  </r>
  <r>
    <x v="7"/>
    <x v="3"/>
    <m/>
    <m/>
    <m/>
    <m/>
    <m/>
    <m/>
    <n v="2"/>
    <m/>
    <m/>
    <m/>
    <m/>
    <m/>
    <m/>
    <n v="1"/>
    <n v="3"/>
    <n v="1"/>
    <m/>
    <m/>
    <m/>
    <n v="3"/>
    <m/>
    <m/>
    <n v="10"/>
  </r>
  <r>
    <x v="7"/>
    <x v="4"/>
    <m/>
    <m/>
    <m/>
    <m/>
    <m/>
    <m/>
    <m/>
    <m/>
    <m/>
    <m/>
    <m/>
    <m/>
    <m/>
    <m/>
    <m/>
    <m/>
    <m/>
    <m/>
    <m/>
    <m/>
    <m/>
    <m/>
    <n v="0"/>
  </r>
  <r>
    <x v="7"/>
    <x v="5"/>
    <m/>
    <m/>
    <m/>
    <m/>
    <m/>
    <m/>
    <m/>
    <m/>
    <m/>
    <m/>
    <m/>
    <m/>
    <m/>
    <n v="2"/>
    <n v="2"/>
    <m/>
    <m/>
    <m/>
    <m/>
    <m/>
    <m/>
    <m/>
    <n v="4"/>
  </r>
  <r>
    <x v="7"/>
    <x v="6"/>
    <m/>
    <m/>
    <m/>
    <m/>
    <m/>
    <m/>
    <n v="2"/>
    <m/>
    <m/>
    <m/>
    <m/>
    <m/>
    <m/>
    <n v="2"/>
    <n v="1"/>
    <m/>
    <m/>
    <m/>
    <m/>
    <m/>
    <m/>
    <m/>
    <n v="5"/>
  </r>
  <r>
    <x v="7"/>
    <x v="8"/>
    <m/>
    <m/>
    <m/>
    <m/>
    <m/>
    <m/>
    <n v="2"/>
    <m/>
    <m/>
    <m/>
    <m/>
    <m/>
    <m/>
    <m/>
    <m/>
    <m/>
    <m/>
    <m/>
    <m/>
    <m/>
    <m/>
    <m/>
    <n v="2"/>
  </r>
  <r>
    <x v="7"/>
    <x v="64"/>
    <m/>
    <m/>
    <m/>
    <m/>
    <m/>
    <m/>
    <n v="2"/>
    <m/>
    <m/>
    <m/>
    <m/>
    <m/>
    <m/>
    <m/>
    <m/>
    <m/>
    <m/>
    <m/>
    <m/>
    <m/>
    <m/>
    <m/>
    <n v="2"/>
  </r>
  <r>
    <x v="7"/>
    <x v="9"/>
    <m/>
    <m/>
    <m/>
    <m/>
    <m/>
    <m/>
    <n v="4"/>
    <m/>
    <m/>
    <m/>
    <m/>
    <m/>
    <m/>
    <m/>
    <m/>
    <m/>
    <m/>
    <m/>
    <m/>
    <m/>
    <m/>
    <m/>
    <n v="4"/>
  </r>
  <r>
    <x v="7"/>
    <x v="10"/>
    <m/>
    <m/>
    <m/>
    <m/>
    <m/>
    <m/>
    <n v="2"/>
    <m/>
    <m/>
    <m/>
    <m/>
    <m/>
    <m/>
    <n v="3"/>
    <m/>
    <n v="3"/>
    <m/>
    <m/>
    <m/>
    <m/>
    <m/>
    <m/>
    <n v="8"/>
  </r>
  <r>
    <x v="7"/>
    <x v="11"/>
    <m/>
    <m/>
    <m/>
    <m/>
    <m/>
    <m/>
    <n v="2"/>
    <m/>
    <m/>
    <m/>
    <m/>
    <m/>
    <m/>
    <m/>
    <n v="4"/>
    <m/>
    <m/>
    <m/>
    <m/>
    <m/>
    <m/>
    <m/>
    <n v="6"/>
  </r>
  <r>
    <x v="7"/>
    <x v="12"/>
    <m/>
    <m/>
    <m/>
    <m/>
    <m/>
    <m/>
    <m/>
    <m/>
    <m/>
    <m/>
    <m/>
    <m/>
    <m/>
    <m/>
    <m/>
    <m/>
    <m/>
    <m/>
    <m/>
    <m/>
    <m/>
    <m/>
    <n v="0"/>
  </r>
  <r>
    <x v="7"/>
    <x v="13"/>
    <m/>
    <m/>
    <m/>
    <m/>
    <m/>
    <m/>
    <m/>
    <m/>
    <m/>
    <m/>
    <m/>
    <m/>
    <m/>
    <m/>
    <m/>
    <m/>
    <m/>
    <m/>
    <m/>
    <m/>
    <m/>
    <m/>
    <n v="0"/>
  </r>
  <r>
    <x v="7"/>
    <x v="14"/>
    <m/>
    <m/>
    <m/>
    <m/>
    <m/>
    <m/>
    <n v="3"/>
    <m/>
    <m/>
    <m/>
    <m/>
    <m/>
    <m/>
    <n v="4"/>
    <n v="2"/>
    <m/>
    <m/>
    <m/>
    <m/>
    <m/>
    <m/>
    <m/>
    <n v="9"/>
  </r>
  <r>
    <x v="7"/>
    <x v="15"/>
    <m/>
    <m/>
    <m/>
    <m/>
    <m/>
    <m/>
    <m/>
    <m/>
    <m/>
    <m/>
    <m/>
    <m/>
    <m/>
    <n v="3"/>
    <n v="3"/>
    <m/>
    <m/>
    <m/>
    <m/>
    <m/>
    <m/>
    <m/>
    <n v="6"/>
  </r>
  <r>
    <x v="7"/>
    <x v="16"/>
    <m/>
    <m/>
    <m/>
    <m/>
    <m/>
    <m/>
    <m/>
    <m/>
    <m/>
    <m/>
    <m/>
    <m/>
    <m/>
    <m/>
    <m/>
    <m/>
    <m/>
    <m/>
    <m/>
    <m/>
    <m/>
    <m/>
    <n v="0"/>
  </r>
  <r>
    <x v="7"/>
    <x v="17"/>
    <m/>
    <m/>
    <m/>
    <m/>
    <m/>
    <m/>
    <m/>
    <m/>
    <m/>
    <m/>
    <m/>
    <m/>
    <m/>
    <m/>
    <n v="2"/>
    <m/>
    <m/>
    <m/>
    <m/>
    <m/>
    <m/>
    <m/>
    <n v="2"/>
  </r>
  <r>
    <x v="7"/>
    <x v="18"/>
    <m/>
    <m/>
    <m/>
    <m/>
    <m/>
    <m/>
    <n v="2"/>
    <m/>
    <m/>
    <m/>
    <m/>
    <m/>
    <m/>
    <m/>
    <n v="2"/>
    <m/>
    <m/>
    <m/>
    <m/>
    <m/>
    <m/>
    <m/>
    <n v="4"/>
  </r>
  <r>
    <x v="7"/>
    <x v="19"/>
    <m/>
    <m/>
    <m/>
    <m/>
    <m/>
    <m/>
    <n v="2"/>
    <m/>
    <m/>
    <m/>
    <m/>
    <m/>
    <m/>
    <n v="4"/>
    <m/>
    <m/>
    <m/>
    <m/>
    <m/>
    <m/>
    <m/>
    <m/>
    <n v="6"/>
  </r>
  <r>
    <x v="7"/>
    <x v="21"/>
    <m/>
    <m/>
    <m/>
    <m/>
    <m/>
    <m/>
    <n v="2"/>
    <m/>
    <m/>
    <m/>
    <m/>
    <m/>
    <m/>
    <m/>
    <n v="10"/>
    <m/>
    <m/>
    <m/>
    <m/>
    <m/>
    <m/>
    <m/>
    <n v="12"/>
  </r>
  <r>
    <x v="7"/>
    <x v="22"/>
    <m/>
    <m/>
    <m/>
    <m/>
    <m/>
    <m/>
    <n v="2"/>
    <m/>
    <m/>
    <m/>
    <m/>
    <m/>
    <m/>
    <m/>
    <m/>
    <m/>
    <m/>
    <m/>
    <m/>
    <m/>
    <m/>
    <m/>
    <n v="2"/>
  </r>
  <r>
    <x v="7"/>
    <x v="23"/>
    <m/>
    <m/>
    <m/>
    <m/>
    <m/>
    <m/>
    <n v="2"/>
    <m/>
    <m/>
    <m/>
    <m/>
    <m/>
    <m/>
    <n v="1"/>
    <n v="3"/>
    <m/>
    <m/>
    <m/>
    <m/>
    <m/>
    <m/>
    <m/>
    <n v="6"/>
  </r>
  <r>
    <x v="7"/>
    <x v="25"/>
    <m/>
    <m/>
    <m/>
    <m/>
    <m/>
    <m/>
    <n v="6"/>
    <m/>
    <m/>
    <m/>
    <m/>
    <m/>
    <n v="1"/>
    <n v="15"/>
    <n v="17"/>
    <m/>
    <m/>
    <m/>
    <m/>
    <m/>
    <m/>
    <m/>
    <n v="39"/>
  </r>
  <r>
    <x v="7"/>
    <x v="26"/>
    <m/>
    <m/>
    <m/>
    <m/>
    <m/>
    <m/>
    <n v="2"/>
    <m/>
    <m/>
    <m/>
    <m/>
    <m/>
    <m/>
    <m/>
    <m/>
    <m/>
    <m/>
    <m/>
    <m/>
    <m/>
    <m/>
    <m/>
    <n v="2"/>
  </r>
  <r>
    <x v="7"/>
    <x v="65"/>
    <m/>
    <n v="1"/>
    <m/>
    <n v="1"/>
    <m/>
    <m/>
    <n v="15"/>
    <m/>
    <n v="2"/>
    <m/>
    <m/>
    <m/>
    <n v="5"/>
    <n v="5"/>
    <n v="13"/>
    <m/>
    <m/>
    <m/>
    <m/>
    <m/>
    <n v="1"/>
    <m/>
    <n v="43"/>
  </r>
  <r>
    <x v="7"/>
    <x v="27"/>
    <m/>
    <m/>
    <m/>
    <m/>
    <m/>
    <m/>
    <m/>
    <m/>
    <m/>
    <m/>
    <m/>
    <m/>
    <m/>
    <m/>
    <m/>
    <m/>
    <m/>
    <m/>
    <m/>
    <m/>
    <m/>
    <m/>
    <n v="0"/>
  </r>
  <r>
    <x v="7"/>
    <x v="28"/>
    <m/>
    <m/>
    <m/>
    <m/>
    <m/>
    <m/>
    <m/>
    <m/>
    <m/>
    <m/>
    <m/>
    <m/>
    <m/>
    <n v="3"/>
    <m/>
    <n v="3"/>
    <m/>
    <m/>
    <m/>
    <m/>
    <m/>
    <m/>
    <n v="6"/>
  </r>
  <r>
    <x v="7"/>
    <x v="29"/>
    <m/>
    <m/>
    <m/>
    <m/>
    <m/>
    <m/>
    <n v="8"/>
    <m/>
    <m/>
    <m/>
    <m/>
    <m/>
    <n v="3"/>
    <m/>
    <m/>
    <m/>
    <m/>
    <m/>
    <m/>
    <m/>
    <m/>
    <m/>
    <n v="11"/>
  </r>
  <r>
    <x v="7"/>
    <x v="30"/>
    <m/>
    <m/>
    <m/>
    <m/>
    <n v="1"/>
    <m/>
    <n v="3"/>
    <n v="1"/>
    <m/>
    <m/>
    <m/>
    <m/>
    <n v="1"/>
    <n v="4"/>
    <n v="14"/>
    <n v="1"/>
    <m/>
    <n v="1"/>
    <n v="1"/>
    <m/>
    <n v="1"/>
    <m/>
    <n v="28"/>
  </r>
  <r>
    <x v="7"/>
    <x v="31"/>
    <m/>
    <m/>
    <m/>
    <m/>
    <m/>
    <m/>
    <n v="3"/>
    <m/>
    <m/>
    <m/>
    <m/>
    <m/>
    <m/>
    <m/>
    <n v="5"/>
    <m/>
    <m/>
    <m/>
    <m/>
    <m/>
    <m/>
    <m/>
    <n v="8"/>
  </r>
  <r>
    <x v="7"/>
    <x v="32"/>
    <m/>
    <m/>
    <m/>
    <m/>
    <m/>
    <m/>
    <m/>
    <m/>
    <m/>
    <m/>
    <m/>
    <m/>
    <m/>
    <m/>
    <m/>
    <m/>
    <m/>
    <m/>
    <m/>
    <m/>
    <m/>
    <m/>
    <n v="0"/>
  </r>
  <r>
    <x v="7"/>
    <x v="33"/>
    <m/>
    <m/>
    <m/>
    <m/>
    <m/>
    <m/>
    <n v="2"/>
    <m/>
    <m/>
    <m/>
    <m/>
    <m/>
    <m/>
    <n v="5"/>
    <m/>
    <m/>
    <m/>
    <m/>
    <m/>
    <m/>
    <m/>
    <m/>
    <n v="7"/>
  </r>
  <r>
    <x v="7"/>
    <x v="34"/>
    <m/>
    <m/>
    <m/>
    <m/>
    <m/>
    <m/>
    <m/>
    <m/>
    <m/>
    <m/>
    <m/>
    <m/>
    <m/>
    <m/>
    <m/>
    <m/>
    <m/>
    <m/>
    <m/>
    <m/>
    <m/>
    <m/>
    <n v="0"/>
  </r>
  <r>
    <x v="7"/>
    <x v="66"/>
    <m/>
    <m/>
    <m/>
    <m/>
    <m/>
    <m/>
    <m/>
    <m/>
    <m/>
    <m/>
    <m/>
    <m/>
    <m/>
    <m/>
    <m/>
    <m/>
    <m/>
    <m/>
    <m/>
    <m/>
    <m/>
    <m/>
    <n v="0"/>
  </r>
  <r>
    <x v="7"/>
    <x v="36"/>
    <m/>
    <m/>
    <m/>
    <m/>
    <m/>
    <m/>
    <n v="10"/>
    <m/>
    <m/>
    <m/>
    <m/>
    <m/>
    <m/>
    <n v="25"/>
    <m/>
    <m/>
    <m/>
    <m/>
    <m/>
    <m/>
    <n v="2"/>
    <m/>
    <n v="37"/>
  </r>
  <r>
    <x v="7"/>
    <x v="37"/>
    <m/>
    <m/>
    <m/>
    <m/>
    <m/>
    <m/>
    <m/>
    <m/>
    <m/>
    <m/>
    <m/>
    <m/>
    <m/>
    <n v="13"/>
    <n v="2"/>
    <m/>
    <m/>
    <m/>
    <m/>
    <m/>
    <m/>
    <m/>
    <n v="15"/>
  </r>
  <r>
    <x v="7"/>
    <x v="38"/>
    <m/>
    <m/>
    <m/>
    <m/>
    <m/>
    <m/>
    <m/>
    <m/>
    <m/>
    <m/>
    <m/>
    <m/>
    <m/>
    <m/>
    <m/>
    <m/>
    <m/>
    <m/>
    <m/>
    <m/>
    <m/>
    <m/>
    <n v="0"/>
  </r>
  <r>
    <x v="7"/>
    <x v="39"/>
    <m/>
    <m/>
    <m/>
    <m/>
    <m/>
    <m/>
    <n v="2"/>
    <m/>
    <m/>
    <m/>
    <m/>
    <m/>
    <m/>
    <n v="2"/>
    <n v="9"/>
    <m/>
    <m/>
    <m/>
    <m/>
    <m/>
    <m/>
    <m/>
    <n v="13"/>
  </r>
  <r>
    <x v="7"/>
    <x v="40"/>
    <m/>
    <m/>
    <m/>
    <m/>
    <m/>
    <m/>
    <m/>
    <m/>
    <m/>
    <m/>
    <m/>
    <m/>
    <m/>
    <m/>
    <n v="2"/>
    <m/>
    <m/>
    <m/>
    <m/>
    <m/>
    <m/>
    <m/>
    <n v="2"/>
  </r>
  <r>
    <x v="7"/>
    <x v="41"/>
    <m/>
    <m/>
    <m/>
    <m/>
    <m/>
    <m/>
    <m/>
    <m/>
    <m/>
    <m/>
    <m/>
    <m/>
    <m/>
    <n v="2"/>
    <n v="2"/>
    <m/>
    <m/>
    <m/>
    <m/>
    <m/>
    <m/>
    <m/>
    <n v="4"/>
  </r>
  <r>
    <x v="7"/>
    <x v="43"/>
    <m/>
    <m/>
    <m/>
    <m/>
    <m/>
    <m/>
    <n v="1"/>
    <m/>
    <m/>
    <m/>
    <m/>
    <m/>
    <n v="1"/>
    <n v="2"/>
    <n v="9"/>
    <m/>
    <m/>
    <m/>
    <m/>
    <m/>
    <m/>
    <m/>
    <n v="13"/>
  </r>
  <r>
    <x v="7"/>
    <x v="44"/>
    <m/>
    <m/>
    <m/>
    <m/>
    <m/>
    <m/>
    <n v="5"/>
    <m/>
    <m/>
    <m/>
    <m/>
    <m/>
    <m/>
    <n v="2"/>
    <n v="9"/>
    <m/>
    <m/>
    <m/>
    <m/>
    <m/>
    <m/>
    <m/>
    <n v="16"/>
  </r>
  <r>
    <x v="7"/>
    <x v="45"/>
    <m/>
    <m/>
    <m/>
    <m/>
    <m/>
    <m/>
    <n v="2"/>
    <m/>
    <m/>
    <m/>
    <m/>
    <m/>
    <m/>
    <n v="2"/>
    <n v="2"/>
    <m/>
    <m/>
    <m/>
    <m/>
    <m/>
    <m/>
    <m/>
    <n v="6"/>
  </r>
  <r>
    <x v="7"/>
    <x v="46"/>
    <m/>
    <n v="1"/>
    <m/>
    <m/>
    <m/>
    <n v="1"/>
    <n v="4"/>
    <m/>
    <m/>
    <m/>
    <m/>
    <m/>
    <n v="3"/>
    <n v="8"/>
    <n v="6"/>
    <m/>
    <m/>
    <m/>
    <m/>
    <n v="2"/>
    <m/>
    <m/>
    <n v="25"/>
  </r>
  <r>
    <x v="7"/>
    <x v="35"/>
    <m/>
    <m/>
    <m/>
    <m/>
    <m/>
    <m/>
    <m/>
    <m/>
    <m/>
    <m/>
    <m/>
    <m/>
    <m/>
    <n v="3"/>
    <n v="6"/>
    <m/>
    <m/>
    <m/>
    <m/>
    <m/>
    <m/>
    <m/>
    <n v="9"/>
  </r>
  <r>
    <x v="7"/>
    <x v="75"/>
    <m/>
    <m/>
    <m/>
    <m/>
    <m/>
    <m/>
    <m/>
    <m/>
    <m/>
    <m/>
    <m/>
    <m/>
    <m/>
    <n v="18"/>
    <m/>
    <n v="18"/>
    <m/>
    <m/>
    <m/>
    <m/>
    <m/>
    <m/>
    <n v="36"/>
  </r>
  <r>
    <x v="7"/>
    <x v="57"/>
    <m/>
    <m/>
    <m/>
    <m/>
    <m/>
    <m/>
    <m/>
    <m/>
    <m/>
    <m/>
    <m/>
    <m/>
    <m/>
    <m/>
    <n v="5"/>
    <m/>
    <m/>
    <m/>
    <m/>
    <m/>
    <m/>
    <m/>
    <n v="5"/>
  </r>
  <r>
    <x v="7"/>
    <x v="53"/>
    <m/>
    <m/>
    <m/>
    <m/>
    <m/>
    <m/>
    <m/>
    <m/>
    <m/>
    <m/>
    <m/>
    <m/>
    <m/>
    <m/>
    <n v="3"/>
    <m/>
    <m/>
    <m/>
    <m/>
    <m/>
    <m/>
    <m/>
    <n v="3"/>
  </r>
  <r>
    <x v="7"/>
    <x v="55"/>
    <m/>
    <m/>
    <m/>
    <m/>
    <m/>
    <m/>
    <m/>
    <m/>
    <m/>
    <m/>
    <m/>
    <m/>
    <m/>
    <n v="1"/>
    <n v="3"/>
    <m/>
    <m/>
    <m/>
    <m/>
    <m/>
    <m/>
    <m/>
    <n v="4"/>
  </r>
  <r>
    <x v="7"/>
    <x v="51"/>
    <m/>
    <m/>
    <m/>
    <m/>
    <m/>
    <m/>
    <m/>
    <m/>
    <m/>
    <m/>
    <m/>
    <m/>
    <m/>
    <n v="1"/>
    <n v="2"/>
    <m/>
    <m/>
    <m/>
    <m/>
    <m/>
    <m/>
    <m/>
    <n v="3"/>
  </r>
  <r>
    <x v="7"/>
    <x v="76"/>
    <m/>
    <m/>
    <m/>
    <m/>
    <m/>
    <m/>
    <m/>
    <m/>
    <m/>
    <m/>
    <m/>
    <m/>
    <m/>
    <n v="2"/>
    <n v="5"/>
    <m/>
    <m/>
    <m/>
    <m/>
    <m/>
    <m/>
    <m/>
    <n v="7"/>
  </r>
  <r>
    <x v="7"/>
    <x v="52"/>
    <m/>
    <m/>
    <m/>
    <m/>
    <m/>
    <m/>
    <m/>
    <m/>
    <m/>
    <m/>
    <m/>
    <m/>
    <m/>
    <n v="1"/>
    <n v="3"/>
    <m/>
    <m/>
    <m/>
    <m/>
    <m/>
    <m/>
    <m/>
    <n v="4"/>
  </r>
  <r>
    <x v="7"/>
    <x v="77"/>
    <m/>
    <m/>
    <m/>
    <m/>
    <m/>
    <m/>
    <m/>
    <m/>
    <m/>
    <m/>
    <m/>
    <m/>
    <m/>
    <n v="2"/>
    <m/>
    <m/>
    <m/>
    <m/>
    <m/>
    <m/>
    <m/>
    <m/>
    <n v="2"/>
  </r>
  <r>
    <x v="7"/>
    <x v="7"/>
    <m/>
    <m/>
    <m/>
    <m/>
    <m/>
    <m/>
    <m/>
    <m/>
    <m/>
    <m/>
    <m/>
    <m/>
    <m/>
    <n v="3"/>
    <m/>
    <m/>
    <m/>
    <m/>
    <m/>
    <m/>
    <m/>
    <m/>
    <n v="3"/>
  </r>
  <r>
    <x v="7"/>
    <x v="49"/>
    <m/>
    <m/>
    <m/>
    <m/>
    <m/>
    <m/>
    <m/>
    <m/>
    <m/>
    <m/>
    <m/>
    <m/>
    <m/>
    <n v="6"/>
    <m/>
    <m/>
    <m/>
    <m/>
    <m/>
    <m/>
    <m/>
    <m/>
    <n v="6"/>
  </r>
  <r>
    <x v="8"/>
    <x v="58"/>
    <m/>
    <m/>
    <m/>
    <m/>
    <m/>
    <m/>
    <m/>
    <m/>
    <m/>
    <m/>
    <m/>
    <m/>
    <m/>
    <m/>
    <m/>
    <m/>
    <m/>
    <m/>
    <m/>
    <m/>
    <n v="1"/>
    <m/>
    <n v="1"/>
  </r>
  <r>
    <x v="8"/>
    <x v="59"/>
    <m/>
    <m/>
    <m/>
    <m/>
    <m/>
    <m/>
    <n v="1"/>
    <m/>
    <m/>
    <m/>
    <m/>
    <m/>
    <m/>
    <m/>
    <m/>
    <m/>
    <m/>
    <m/>
    <n v="1"/>
    <m/>
    <m/>
    <m/>
    <n v="2"/>
  </r>
  <r>
    <x v="8"/>
    <x v="60"/>
    <m/>
    <m/>
    <m/>
    <m/>
    <m/>
    <m/>
    <n v="2"/>
    <m/>
    <m/>
    <m/>
    <m/>
    <m/>
    <n v="4"/>
    <m/>
    <m/>
    <m/>
    <m/>
    <m/>
    <n v="2"/>
    <m/>
    <n v="2"/>
    <m/>
    <n v="10"/>
  </r>
  <r>
    <x v="8"/>
    <x v="61"/>
    <m/>
    <m/>
    <m/>
    <m/>
    <m/>
    <m/>
    <m/>
    <m/>
    <m/>
    <m/>
    <m/>
    <m/>
    <m/>
    <m/>
    <m/>
    <m/>
    <m/>
    <m/>
    <m/>
    <m/>
    <m/>
    <m/>
    <n v="0"/>
  </r>
  <r>
    <x v="8"/>
    <x v="6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63"/>
    <m/>
    <m/>
    <m/>
    <m/>
    <m/>
    <m/>
    <m/>
    <m/>
    <m/>
    <m/>
    <m/>
    <m/>
    <m/>
    <m/>
    <m/>
    <m/>
    <m/>
    <m/>
    <m/>
    <m/>
    <m/>
    <m/>
    <n v="0"/>
  </r>
  <r>
    <x v="8"/>
    <x v="1"/>
    <m/>
    <m/>
    <m/>
    <m/>
    <m/>
    <m/>
    <m/>
    <m/>
    <m/>
    <m/>
    <m/>
    <m/>
    <m/>
    <m/>
    <m/>
    <m/>
    <m/>
    <m/>
    <m/>
    <m/>
    <m/>
    <m/>
    <n v="0"/>
  </r>
  <r>
    <x v="8"/>
    <x v="2"/>
    <m/>
    <m/>
    <m/>
    <m/>
    <m/>
    <m/>
    <n v="3"/>
    <m/>
    <m/>
    <m/>
    <m/>
    <m/>
    <n v="3"/>
    <m/>
    <m/>
    <m/>
    <m/>
    <m/>
    <n v="3"/>
    <m/>
    <n v="3"/>
    <m/>
    <n v="12"/>
  </r>
  <r>
    <x v="8"/>
    <x v="3"/>
    <m/>
    <m/>
    <m/>
    <m/>
    <m/>
    <m/>
    <m/>
    <m/>
    <m/>
    <m/>
    <m/>
    <m/>
    <m/>
    <m/>
    <m/>
    <m/>
    <m/>
    <m/>
    <m/>
    <m/>
    <m/>
    <m/>
    <n v="0"/>
  </r>
  <r>
    <x v="8"/>
    <x v="4"/>
    <m/>
    <m/>
    <m/>
    <m/>
    <m/>
    <m/>
    <m/>
    <m/>
    <m/>
    <m/>
    <m/>
    <m/>
    <m/>
    <m/>
    <m/>
    <m/>
    <m/>
    <m/>
    <m/>
    <m/>
    <m/>
    <m/>
    <n v="0"/>
  </r>
  <r>
    <x v="8"/>
    <x v="5"/>
    <m/>
    <m/>
    <m/>
    <m/>
    <m/>
    <m/>
    <m/>
    <m/>
    <m/>
    <m/>
    <m/>
    <m/>
    <m/>
    <m/>
    <m/>
    <m/>
    <m/>
    <m/>
    <m/>
    <m/>
    <m/>
    <m/>
    <n v="0"/>
  </r>
  <r>
    <x v="8"/>
    <x v="6"/>
    <m/>
    <m/>
    <m/>
    <m/>
    <m/>
    <m/>
    <m/>
    <m/>
    <m/>
    <m/>
    <m/>
    <m/>
    <m/>
    <m/>
    <m/>
    <m/>
    <m/>
    <m/>
    <m/>
    <m/>
    <m/>
    <m/>
    <n v="0"/>
  </r>
  <r>
    <x v="8"/>
    <x v="8"/>
    <m/>
    <m/>
    <m/>
    <m/>
    <m/>
    <m/>
    <n v="2"/>
    <m/>
    <n v="2"/>
    <m/>
    <m/>
    <m/>
    <n v="5"/>
    <m/>
    <m/>
    <m/>
    <m/>
    <m/>
    <n v="6"/>
    <m/>
    <n v="3"/>
    <m/>
    <n v="18"/>
  </r>
  <r>
    <x v="8"/>
    <x v="64"/>
    <m/>
    <m/>
    <m/>
    <m/>
    <m/>
    <m/>
    <m/>
    <m/>
    <m/>
    <m/>
    <m/>
    <m/>
    <n v="1"/>
    <m/>
    <m/>
    <m/>
    <m/>
    <m/>
    <m/>
    <m/>
    <n v="2"/>
    <n v="1"/>
    <n v="4"/>
  </r>
  <r>
    <x v="8"/>
    <x v="9"/>
    <m/>
    <m/>
    <m/>
    <m/>
    <m/>
    <m/>
    <m/>
    <m/>
    <m/>
    <m/>
    <m/>
    <m/>
    <m/>
    <m/>
    <m/>
    <m/>
    <m/>
    <m/>
    <m/>
    <m/>
    <m/>
    <m/>
    <n v="0"/>
  </r>
  <r>
    <x v="8"/>
    <x v="10"/>
    <m/>
    <m/>
    <m/>
    <m/>
    <m/>
    <m/>
    <m/>
    <m/>
    <m/>
    <m/>
    <m/>
    <m/>
    <m/>
    <m/>
    <m/>
    <m/>
    <m/>
    <m/>
    <m/>
    <m/>
    <m/>
    <m/>
    <n v="0"/>
  </r>
  <r>
    <x v="8"/>
    <x v="11"/>
    <m/>
    <m/>
    <m/>
    <m/>
    <m/>
    <m/>
    <m/>
    <m/>
    <m/>
    <m/>
    <m/>
    <m/>
    <m/>
    <m/>
    <m/>
    <m/>
    <m/>
    <m/>
    <m/>
    <m/>
    <n v="1"/>
    <m/>
    <n v="1"/>
  </r>
  <r>
    <x v="8"/>
    <x v="12"/>
    <m/>
    <m/>
    <m/>
    <m/>
    <m/>
    <m/>
    <m/>
    <m/>
    <m/>
    <m/>
    <m/>
    <m/>
    <m/>
    <m/>
    <m/>
    <m/>
    <m/>
    <m/>
    <m/>
    <m/>
    <m/>
    <m/>
    <n v="0"/>
  </r>
  <r>
    <x v="8"/>
    <x v="13"/>
    <m/>
    <m/>
    <m/>
    <m/>
    <m/>
    <m/>
    <m/>
    <m/>
    <m/>
    <m/>
    <m/>
    <m/>
    <m/>
    <m/>
    <m/>
    <m/>
    <m/>
    <m/>
    <m/>
    <m/>
    <m/>
    <m/>
    <n v="0"/>
  </r>
  <r>
    <x v="8"/>
    <x v="14"/>
    <m/>
    <m/>
    <m/>
    <m/>
    <m/>
    <m/>
    <n v="2"/>
    <m/>
    <m/>
    <m/>
    <m/>
    <m/>
    <n v="2"/>
    <m/>
    <m/>
    <m/>
    <m/>
    <m/>
    <m/>
    <n v="2"/>
    <n v="2"/>
    <m/>
    <n v="8"/>
  </r>
  <r>
    <x v="8"/>
    <x v="15"/>
    <m/>
    <m/>
    <m/>
    <m/>
    <m/>
    <m/>
    <m/>
    <m/>
    <m/>
    <m/>
    <m/>
    <m/>
    <m/>
    <m/>
    <m/>
    <m/>
    <m/>
    <m/>
    <m/>
    <m/>
    <m/>
    <m/>
    <n v="0"/>
  </r>
  <r>
    <x v="8"/>
    <x v="16"/>
    <m/>
    <m/>
    <m/>
    <m/>
    <m/>
    <m/>
    <m/>
    <m/>
    <m/>
    <m/>
    <m/>
    <m/>
    <m/>
    <m/>
    <m/>
    <m/>
    <m/>
    <m/>
    <m/>
    <m/>
    <m/>
    <m/>
    <n v="0"/>
  </r>
  <r>
    <x v="8"/>
    <x v="17"/>
    <m/>
    <m/>
    <m/>
    <m/>
    <m/>
    <m/>
    <m/>
    <m/>
    <m/>
    <m/>
    <m/>
    <m/>
    <m/>
    <m/>
    <m/>
    <m/>
    <m/>
    <m/>
    <m/>
    <m/>
    <m/>
    <m/>
    <n v="0"/>
  </r>
  <r>
    <x v="8"/>
    <x v="18"/>
    <m/>
    <m/>
    <m/>
    <m/>
    <m/>
    <m/>
    <m/>
    <m/>
    <m/>
    <m/>
    <m/>
    <m/>
    <m/>
    <m/>
    <m/>
    <m/>
    <m/>
    <m/>
    <m/>
    <m/>
    <m/>
    <m/>
    <n v="0"/>
  </r>
  <r>
    <x v="8"/>
    <x v="19"/>
    <m/>
    <m/>
    <m/>
    <m/>
    <m/>
    <m/>
    <n v="2"/>
    <m/>
    <m/>
    <m/>
    <m/>
    <m/>
    <n v="2"/>
    <m/>
    <m/>
    <m/>
    <m/>
    <m/>
    <n v="2"/>
    <m/>
    <n v="2"/>
    <m/>
    <n v="8"/>
  </r>
  <r>
    <x v="8"/>
    <x v="21"/>
    <m/>
    <m/>
    <m/>
    <m/>
    <m/>
    <m/>
    <n v="5"/>
    <m/>
    <m/>
    <m/>
    <m/>
    <m/>
    <n v="6"/>
    <m/>
    <m/>
    <m/>
    <m/>
    <m/>
    <n v="4"/>
    <m/>
    <n v="4"/>
    <m/>
    <n v="19"/>
  </r>
  <r>
    <x v="8"/>
    <x v="22"/>
    <m/>
    <m/>
    <m/>
    <m/>
    <m/>
    <m/>
    <m/>
    <m/>
    <m/>
    <m/>
    <m/>
    <m/>
    <m/>
    <m/>
    <m/>
    <m/>
    <m/>
    <m/>
    <m/>
    <m/>
    <m/>
    <m/>
    <n v="0"/>
  </r>
  <r>
    <x v="8"/>
    <x v="23"/>
    <m/>
    <m/>
    <m/>
    <m/>
    <m/>
    <m/>
    <m/>
    <m/>
    <m/>
    <m/>
    <m/>
    <m/>
    <m/>
    <m/>
    <m/>
    <m/>
    <m/>
    <m/>
    <m/>
    <m/>
    <m/>
    <m/>
    <n v="0"/>
  </r>
  <r>
    <x v="8"/>
    <x v="25"/>
    <m/>
    <m/>
    <m/>
    <m/>
    <m/>
    <m/>
    <m/>
    <m/>
    <m/>
    <m/>
    <m/>
    <m/>
    <m/>
    <m/>
    <m/>
    <m/>
    <m/>
    <m/>
    <m/>
    <m/>
    <m/>
    <m/>
    <n v="0"/>
  </r>
  <r>
    <x v="8"/>
    <x v="26"/>
    <m/>
    <m/>
    <m/>
    <m/>
    <m/>
    <m/>
    <m/>
    <m/>
    <m/>
    <m/>
    <m/>
    <m/>
    <n v="4"/>
    <m/>
    <m/>
    <m/>
    <m/>
    <m/>
    <n v="1"/>
    <m/>
    <m/>
    <m/>
    <n v="5"/>
  </r>
  <r>
    <x v="8"/>
    <x v="65"/>
    <m/>
    <m/>
    <m/>
    <m/>
    <m/>
    <m/>
    <n v="8"/>
    <m/>
    <m/>
    <m/>
    <m/>
    <m/>
    <n v="8"/>
    <m/>
    <m/>
    <m/>
    <m/>
    <m/>
    <n v="8"/>
    <m/>
    <n v="10"/>
    <m/>
    <n v="34"/>
  </r>
  <r>
    <x v="8"/>
    <x v="27"/>
    <m/>
    <m/>
    <m/>
    <m/>
    <m/>
    <m/>
    <m/>
    <m/>
    <m/>
    <m/>
    <m/>
    <m/>
    <m/>
    <m/>
    <m/>
    <m/>
    <m/>
    <m/>
    <m/>
    <m/>
    <m/>
    <m/>
    <n v="0"/>
  </r>
  <r>
    <x v="8"/>
    <x v="28"/>
    <m/>
    <m/>
    <m/>
    <m/>
    <m/>
    <m/>
    <n v="3"/>
    <n v="1"/>
    <n v="1"/>
    <m/>
    <n v="1"/>
    <n v="1"/>
    <n v="3"/>
    <n v="1"/>
    <n v="1"/>
    <n v="1"/>
    <n v="1"/>
    <n v="1"/>
    <n v="3"/>
    <m/>
    <n v="3"/>
    <m/>
    <n v="21"/>
  </r>
  <r>
    <x v="8"/>
    <x v="29"/>
    <m/>
    <m/>
    <m/>
    <m/>
    <m/>
    <m/>
    <m/>
    <m/>
    <m/>
    <m/>
    <m/>
    <m/>
    <m/>
    <m/>
    <m/>
    <m/>
    <m/>
    <m/>
    <m/>
    <m/>
    <m/>
    <m/>
    <n v="0"/>
  </r>
  <r>
    <x v="8"/>
    <x v="30"/>
    <m/>
    <m/>
    <m/>
    <m/>
    <m/>
    <m/>
    <n v="3"/>
    <n v="1"/>
    <m/>
    <m/>
    <m/>
    <m/>
    <n v="4"/>
    <m/>
    <m/>
    <m/>
    <m/>
    <m/>
    <n v="2"/>
    <m/>
    <n v="4"/>
    <m/>
    <n v="14"/>
  </r>
  <r>
    <x v="8"/>
    <x v="31"/>
    <n v="1"/>
    <n v="1"/>
    <m/>
    <m/>
    <m/>
    <m/>
    <n v="2"/>
    <m/>
    <m/>
    <m/>
    <m/>
    <m/>
    <n v="4"/>
    <m/>
    <m/>
    <m/>
    <m/>
    <m/>
    <n v="4"/>
    <m/>
    <n v="4"/>
    <m/>
    <n v="16"/>
  </r>
  <r>
    <x v="8"/>
    <x v="3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3"/>
    <m/>
    <m/>
    <m/>
    <m/>
    <m/>
    <m/>
    <m/>
    <m/>
    <m/>
    <m/>
    <m/>
    <m/>
    <m/>
    <m/>
    <m/>
    <m/>
    <m/>
    <m/>
    <m/>
    <m/>
    <m/>
    <m/>
    <n v="0"/>
  </r>
  <r>
    <x v="8"/>
    <x v="34"/>
    <m/>
    <m/>
    <m/>
    <m/>
    <m/>
    <m/>
    <m/>
    <m/>
    <m/>
    <m/>
    <m/>
    <m/>
    <m/>
    <m/>
    <m/>
    <m/>
    <m/>
    <m/>
    <m/>
    <m/>
    <m/>
    <m/>
    <n v="0"/>
  </r>
  <r>
    <x v="8"/>
    <x v="66"/>
    <m/>
    <m/>
    <m/>
    <m/>
    <m/>
    <m/>
    <m/>
    <m/>
    <m/>
    <m/>
    <m/>
    <m/>
    <m/>
    <m/>
    <m/>
    <m/>
    <m/>
    <m/>
    <m/>
    <m/>
    <m/>
    <m/>
    <n v="0"/>
  </r>
  <r>
    <x v="8"/>
    <x v="36"/>
    <m/>
    <m/>
    <m/>
    <m/>
    <m/>
    <m/>
    <n v="8"/>
    <m/>
    <m/>
    <m/>
    <m/>
    <m/>
    <n v="8"/>
    <m/>
    <m/>
    <m/>
    <m/>
    <m/>
    <n v="7"/>
    <m/>
    <n v="8"/>
    <m/>
    <n v="31"/>
  </r>
  <r>
    <x v="8"/>
    <x v="37"/>
    <m/>
    <m/>
    <m/>
    <m/>
    <m/>
    <m/>
    <n v="1"/>
    <m/>
    <m/>
    <m/>
    <m/>
    <m/>
    <n v="1"/>
    <m/>
    <m/>
    <m/>
    <m/>
    <m/>
    <n v="1"/>
    <m/>
    <n v="1"/>
    <m/>
    <n v="4"/>
  </r>
  <r>
    <x v="8"/>
    <x v="38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9"/>
    <m/>
    <m/>
    <m/>
    <m/>
    <m/>
    <m/>
    <m/>
    <m/>
    <m/>
    <m/>
    <m/>
    <m/>
    <m/>
    <m/>
    <m/>
    <m/>
    <m/>
    <m/>
    <m/>
    <m/>
    <m/>
    <m/>
    <n v="0"/>
  </r>
  <r>
    <x v="8"/>
    <x v="40"/>
    <m/>
    <m/>
    <m/>
    <m/>
    <m/>
    <m/>
    <m/>
    <m/>
    <m/>
    <m/>
    <m/>
    <m/>
    <m/>
    <m/>
    <m/>
    <m/>
    <m/>
    <m/>
    <m/>
    <m/>
    <m/>
    <m/>
    <n v="0"/>
  </r>
  <r>
    <x v="8"/>
    <x v="41"/>
    <m/>
    <m/>
    <m/>
    <m/>
    <m/>
    <m/>
    <m/>
    <m/>
    <m/>
    <m/>
    <m/>
    <m/>
    <m/>
    <m/>
    <m/>
    <m/>
    <m/>
    <m/>
    <m/>
    <m/>
    <m/>
    <m/>
    <n v="0"/>
  </r>
  <r>
    <x v="8"/>
    <x v="43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4"/>
    <m/>
    <m/>
    <m/>
    <m/>
    <m/>
    <m/>
    <m/>
    <m/>
    <m/>
    <m/>
    <m/>
    <m/>
    <m/>
    <m/>
    <m/>
    <m/>
    <m/>
    <m/>
    <m/>
    <m/>
    <m/>
    <m/>
    <n v="0"/>
  </r>
  <r>
    <x v="8"/>
    <x v="45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6"/>
    <m/>
    <m/>
    <m/>
    <m/>
    <m/>
    <m/>
    <n v="1"/>
    <m/>
    <m/>
    <m/>
    <m/>
    <m/>
    <n v="2"/>
    <m/>
    <m/>
    <m/>
    <m/>
    <m/>
    <n v="2"/>
    <m/>
    <n v="1"/>
    <m/>
    <n v="6"/>
  </r>
  <r>
    <x v="8"/>
    <x v="78"/>
    <m/>
    <m/>
    <m/>
    <m/>
    <m/>
    <m/>
    <n v="1"/>
    <m/>
    <m/>
    <m/>
    <m/>
    <m/>
    <n v="1"/>
    <m/>
    <m/>
    <m/>
    <m/>
    <m/>
    <n v="1"/>
    <m/>
    <n v="1"/>
    <m/>
    <n v="4"/>
  </r>
  <r>
    <x v="9"/>
    <x v="58"/>
    <m/>
    <m/>
    <m/>
    <m/>
    <m/>
    <m/>
    <m/>
    <m/>
    <m/>
    <m/>
    <m/>
    <m/>
    <m/>
    <m/>
    <m/>
    <m/>
    <m/>
    <m/>
    <m/>
    <m/>
    <m/>
    <m/>
    <n v="0"/>
  </r>
  <r>
    <x v="9"/>
    <x v="59"/>
    <m/>
    <m/>
    <m/>
    <m/>
    <m/>
    <m/>
    <m/>
    <m/>
    <m/>
    <m/>
    <m/>
    <m/>
    <m/>
    <m/>
    <m/>
    <m/>
    <m/>
    <m/>
    <m/>
    <m/>
    <m/>
    <m/>
    <n v="0"/>
  </r>
  <r>
    <x v="9"/>
    <x v="60"/>
    <m/>
    <m/>
    <m/>
    <m/>
    <m/>
    <m/>
    <m/>
    <m/>
    <m/>
    <m/>
    <m/>
    <m/>
    <m/>
    <m/>
    <m/>
    <m/>
    <m/>
    <m/>
    <m/>
    <m/>
    <m/>
    <m/>
    <n v="0"/>
  </r>
  <r>
    <x v="9"/>
    <x v="61"/>
    <m/>
    <m/>
    <m/>
    <m/>
    <m/>
    <m/>
    <m/>
    <m/>
    <m/>
    <m/>
    <m/>
    <m/>
    <m/>
    <m/>
    <m/>
    <m/>
    <m/>
    <m/>
    <m/>
    <m/>
    <m/>
    <m/>
    <n v="0"/>
  </r>
  <r>
    <x v="9"/>
    <x v="62"/>
    <m/>
    <m/>
    <m/>
    <m/>
    <m/>
    <m/>
    <m/>
    <m/>
    <m/>
    <m/>
    <m/>
    <m/>
    <m/>
    <m/>
    <m/>
    <m/>
    <m/>
    <m/>
    <m/>
    <m/>
    <m/>
    <m/>
    <n v="0"/>
  </r>
  <r>
    <x v="9"/>
    <x v="63"/>
    <m/>
    <m/>
    <m/>
    <m/>
    <m/>
    <m/>
    <m/>
    <m/>
    <m/>
    <m/>
    <m/>
    <m/>
    <m/>
    <m/>
    <m/>
    <m/>
    <m/>
    <m/>
    <m/>
    <m/>
    <m/>
    <m/>
    <n v="0"/>
  </r>
  <r>
    <x v="9"/>
    <x v="1"/>
    <m/>
    <m/>
    <m/>
    <m/>
    <m/>
    <m/>
    <m/>
    <m/>
    <m/>
    <m/>
    <m/>
    <m/>
    <m/>
    <m/>
    <m/>
    <m/>
    <m/>
    <m/>
    <m/>
    <m/>
    <m/>
    <m/>
    <n v="0"/>
  </r>
  <r>
    <x v="9"/>
    <x v="2"/>
    <m/>
    <m/>
    <m/>
    <m/>
    <m/>
    <m/>
    <m/>
    <m/>
    <m/>
    <m/>
    <m/>
    <m/>
    <m/>
    <m/>
    <m/>
    <m/>
    <m/>
    <m/>
    <m/>
    <m/>
    <m/>
    <m/>
    <n v="0"/>
  </r>
  <r>
    <x v="9"/>
    <x v="3"/>
    <m/>
    <m/>
    <m/>
    <m/>
    <m/>
    <m/>
    <m/>
    <m/>
    <m/>
    <m/>
    <m/>
    <m/>
    <m/>
    <m/>
    <m/>
    <m/>
    <m/>
    <m/>
    <m/>
    <m/>
    <m/>
    <m/>
    <n v="0"/>
  </r>
  <r>
    <x v="9"/>
    <x v="4"/>
    <m/>
    <m/>
    <m/>
    <m/>
    <m/>
    <m/>
    <m/>
    <m/>
    <m/>
    <m/>
    <m/>
    <m/>
    <m/>
    <m/>
    <m/>
    <m/>
    <m/>
    <m/>
    <m/>
    <m/>
    <m/>
    <m/>
    <n v="0"/>
  </r>
  <r>
    <x v="9"/>
    <x v="5"/>
    <m/>
    <m/>
    <m/>
    <m/>
    <m/>
    <m/>
    <m/>
    <m/>
    <m/>
    <m/>
    <m/>
    <m/>
    <m/>
    <m/>
    <m/>
    <m/>
    <m/>
    <m/>
    <m/>
    <m/>
    <m/>
    <m/>
    <n v="0"/>
  </r>
  <r>
    <x v="9"/>
    <x v="6"/>
    <m/>
    <m/>
    <m/>
    <m/>
    <m/>
    <m/>
    <m/>
    <m/>
    <m/>
    <m/>
    <m/>
    <m/>
    <m/>
    <m/>
    <m/>
    <m/>
    <m/>
    <m/>
    <m/>
    <m/>
    <m/>
    <m/>
    <n v="0"/>
  </r>
  <r>
    <x v="9"/>
    <x v="8"/>
    <m/>
    <m/>
    <m/>
    <m/>
    <m/>
    <m/>
    <m/>
    <m/>
    <m/>
    <m/>
    <m/>
    <m/>
    <m/>
    <m/>
    <m/>
    <m/>
    <m/>
    <m/>
    <m/>
    <m/>
    <m/>
    <m/>
    <n v="0"/>
  </r>
  <r>
    <x v="9"/>
    <x v="64"/>
    <m/>
    <m/>
    <m/>
    <m/>
    <m/>
    <m/>
    <m/>
    <m/>
    <m/>
    <m/>
    <m/>
    <m/>
    <m/>
    <m/>
    <m/>
    <m/>
    <m/>
    <m/>
    <m/>
    <m/>
    <m/>
    <m/>
    <n v="0"/>
  </r>
  <r>
    <x v="9"/>
    <x v="9"/>
    <m/>
    <m/>
    <m/>
    <m/>
    <m/>
    <m/>
    <m/>
    <m/>
    <m/>
    <m/>
    <m/>
    <m/>
    <m/>
    <m/>
    <m/>
    <m/>
    <m/>
    <m/>
    <m/>
    <m/>
    <m/>
    <m/>
    <n v="0"/>
  </r>
  <r>
    <x v="9"/>
    <x v="10"/>
    <m/>
    <m/>
    <m/>
    <m/>
    <m/>
    <m/>
    <m/>
    <m/>
    <m/>
    <m/>
    <m/>
    <m/>
    <m/>
    <m/>
    <m/>
    <m/>
    <m/>
    <m/>
    <m/>
    <m/>
    <m/>
    <m/>
    <n v="0"/>
  </r>
  <r>
    <x v="9"/>
    <x v="11"/>
    <m/>
    <m/>
    <m/>
    <m/>
    <m/>
    <m/>
    <m/>
    <m/>
    <m/>
    <m/>
    <m/>
    <m/>
    <m/>
    <m/>
    <m/>
    <m/>
    <m/>
    <m/>
    <m/>
    <m/>
    <m/>
    <m/>
    <n v="0"/>
  </r>
  <r>
    <x v="9"/>
    <x v="12"/>
    <m/>
    <m/>
    <m/>
    <m/>
    <m/>
    <m/>
    <m/>
    <m/>
    <m/>
    <m/>
    <m/>
    <m/>
    <m/>
    <m/>
    <m/>
    <m/>
    <m/>
    <m/>
    <m/>
    <m/>
    <m/>
    <m/>
    <n v="0"/>
  </r>
  <r>
    <x v="9"/>
    <x v="13"/>
    <m/>
    <m/>
    <m/>
    <m/>
    <m/>
    <m/>
    <m/>
    <m/>
    <m/>
    <m/>
    <m/>
    <m/>
    <m/>
    <m/>
    <m/>
    <m/>
    <m/>
    <m/>
    <m/>
    <m/>
    <m/>
    <m/>
    <n v="0"/>
  </r>
  <r>
    <x v="9"/>
    <x v="14"/>
    <m/>
    <m/>
    <m/>
    <m/>
    <m/>
    <m/>
    <m/>
    <m/>
    <m/>
    <m/>
    <m/>
    <m/>
    <m/>
    <m/>
    <m/>
    <m/>
    <m/>
    <m/>
    <m/>
    <m/>
    <m/>
    <m/>
    <n v="0"/>
  </r>
  <r>
    <x v="9"/>
    <x v="15"/>
    <m/>
    <m/>
    <m/>
    <m/>
    <m/>
    <m/>
    <m/>
    <m/>
    <m/>
    <m/>
    <m/>
    <m/>
    <m/>
    <m/>
    <m/>
    <m/>
    <m/>
    <m/>
    <m/>
    <m/>
    <m/>
    <m/>
    <n v="0"/>
  </r>
  <r>
    <x v="9"/>
    <x v="16"/>
    <m/>
    <m/>
    <m/>
    <m/>
    <m/>
    <m/>
    <m/>
    <m/>
    <m/>
    <m/>
    <m/>
    <m/>
    <m/>
    <m/>
    <m/>
    <m/>
    <m/>
    <m/>
    <m/>
    <m/>
    <m/>
    <m/>
    <n v="0"/>
  </r>
  <r>
    <x v="9"/>
    <x v="17"/>
    <m/>
    <m/>
    <m/>
    <m/>
    <m/>
    <m/>
    <m/>
    <m/>
    <m/>
    <m/>
    <m/>
    <m/>
    <m/>
    <m/>
    <m/>
    <m/>
    <m/>
    <m/>
    <m/>
    <m/>
    <m/>
    <m/>
    <n v="0"/>
  </r>
  <r>
    <x v="9"/>
    <x v="18"/>
    <m/>
    <m/>
    <m/>
    <m/>
    <m/>
    <m/>
    <m/>
    <m/>
    <m/>
    <m/>
    <m/>
    <m/>
    <m/>
    <m/>
    <m/>
    <m/>
    <m/>
    <m/>
    <m/>
    <m/>
    <m/>
    <m/>
    <n v="0"/>
  </r>
  <r>
    <x v="9"/>
    <x v="19"/>
    <m/>
    <m/>
    <m/>
    <m/>
    <m/>
    <m/>
    <m/>
    <m/>
    <m/>
    <m/>
    <m/>
    <m/>
    <m/>
    <m/>
    <m/>
    <m/>
    <m/>
    <m/>
    <m/>
    <m/>
    <m/>
    <m/>
    <n v="0"/>
  </r>
  <r>
    <x v="9"/>
    <x v="21"/>
    <m/>
    <m/>
    <m/>
    <m/>
    <m/>
    <m/>
    <m/>
    <m/>
    <m/>
    <m/>
    <m/>
    <m/>
    <m/>
    <m/>
    <m/>
    <m/>
    <m/>
    <m/>
    <m/>
    <m/>
    <m/>
    <m/>
    <n v="0"/>
  </r>
  <r>
    <x v="9"/>
    <x v="22"/>
    <m/>
    <m/>
    <m/>
    <m/>
    <m/>
    <m/>
    <m/>
    <m/>
    <m/>
    <m/>
    <m/>
    <m/>
    <m/>
    <m/>
    <m/>
    <m/>
    <m/>
    <m/>
    <m/>
    <m/>
    <m/>
    <m/>
    <n v="0"/>
  </r>
  <r>
    <x v="9"/>
    <x v="23"/>
    <m/>
    <m/>
    <m/>
    <m/>
    <m/>
    <m/>
    <m/>
    <m/>
    <m/>
    <m/>
    <m/>
    <m/>
    <m/>
    <m/>
    <m/>
    <m/>
    <m/>
    <m/>
    <m/>
    <m/>
    <m/>
    <m/>
    <n v="0"/>
  </r>
  <r>
    <x v="9"/>
    <x v="25"/>
    <m/>
    <m/>
    <m/>
    <m/>
    <m/>
    <m/>
    <m/>
    <m/>
    <m/>
    <m/>
    <m/>
    <m/>
    <m/>
    <m/>
    <m/>
    <m/>
    <m/>
    <m/>
    <m/>
    <m/>
    <m/>
    <m/>
    <n v="0"/>
  </r>
  <r>
    <x v="9"/>
    <x v="26"/>
    <m/>
    <m/>
    <m/>
    <m/>
    <m/>
    <m/>
    <m/>
    <m/>
    <m/>
    <m/>
    <m/>
    <m/>
    <m/>
    <m/>
    <m/>
    <m/>
    <m/>
    <m/>
    <m/>
    <m/>
    <m/>
    <m/>
    <n v="0"/>
  </r>
  <r>
    <x v="9"/>
    <x v="65"/>
    <m/>
    <m/>
    <m/>
    <m/>
    <m/>
    <m/>
    <m/>
    <m/>
    <m/>
    <m/>
    <m/>
    <m/>
    <m/>
    <m/>
    <m/>
    <m/>
    <m/>
    <m/>
    <m/>
    <m/>
    <m/>
    <m/>
    <n v="0"/>
  </r>
  <r>
    <x v="9"/>
    <x v="27"/>
    <m/>
    <m/>
    <m/>
    <m/>
    <m/>
    <m/>
    <m/>
    <m/>
    <m/>
    <m/>
    <m/>
    <m/>
    <m/>
    <m/>
    <m/>
    <m/>
    <m/>
    <m/>
    <m/>
    <m/>
    <m/>
    <m/>
    <n v="0"/>
  </r>
  <r>
    <x v="9"/>
    <x v="28"/>
    <m/>
    <m/>
    <m/>
    <m/>
    <m/>
    <m/>
    <m/>
    <m/>
    <m/>
    <m/>
    <m/>
    <m/>
    <m/>
    <m/>
    <m/>
    <m/>
    <m/>
    <m/>
    <m/>
    <m/>
    <m/>
    <m/>
    <n v="0"/>
  </r>
  <r>
    <x v="9"/>
    <x v="29"/>
    <m/>
    <m/>
    <m/>
    <m/>
    <m/>
    <m/>
    <m/>
    <m/>
    <m/>
    <m/>
    <m/>
    <m/>
    <m/>
    <m/>
    <m/>
    <m/>
    <m/>
    <m/>
    <m/>
    <m/>
    <m/>
    <m/>
    <n v="0"/>
  </r>
  <r>
    <x v="9"/>
    <x v="30"/>
    <m/>
    <m/>
    <m/>
    <m/>
    <m/>
    <m/>
    <m/>
    <m/>
    <m/>
    <m/>
    <m/>
    <m/>
    <m/>
    <m/>
    <m/>
    <m/>
    <m/>
    <m/>
    <m/>
    <m/>
    <m/>
    <m/>
    <n v="0"/>
  </r>
  <r>
    <x v="9"/>
    <x v="31"/>
    <m/>
    <m/>
    <m/>
    <m/>
    <m/>
    <m/>
    <m/>
    <m/>
    <m/>
    <m/>
    <m/>
    <m/>
    <m/>
    <m/>
    <m/>
    <m/>
    <m/>
    <m/>
    <m/>
    <m/>
    <m/>
    <m/>
    <n v="0"/>
  </r>
  <r>
    <x v="9"/>
    <x v="32"/>
    <m/>
    <m/>
    <m/>
    <m/>
    <m/>
    <m/>
    <m/>
    <m/>
    <m/>
    <m/>
    <m/>
    <m/>
    <m/>
    <m/>
    <m/>
    <m/>
    <m/>
    <m/>
    <m/>
    <m/>
    <m/>
    <m/>
    <n v="0"/>
  </r>
  <r>
    <x v="9"/>
    <x v="33"/>
    <m/>
    <m/>
    <m/>
    <m/>
    <m/>
    <m/>
    <m/>
    <m/>
    <m/>
    <m/>
    <m/>
    <m/>
    <m/>
    <m/>
    <m/>
    <m/>
    <m/>
    <m/>
    <m/>
    <m/>
    <m/>
    <m/>
    <n v="0"/>
  </r>
  <r>
    <x v="9"/>
    <x v="34"/>
    <m/>
    <m/>
    <m/>
    <m/>
    <m/>
    <m/>
    <m/>
    <m/>
    <m/>
    <m/>
    <m/>
    <m/>
    <m/>
    <m/>
    <m/>
    <m/>
    <m/>
    <m/>
    <m/>
    <m/>
    <m/>
    <m/>
    <n v="0"/>
  </r>
  <r>
    <x v="9"/>
    <x v="66"/>
    <m/>
    <m/>
    <m/>
    <m/>
    <m/>
    <m/>
    <m/>
    <m/>
    <m/>
    <m/>
    <m/>
    <m/>
    <m/>
    <m/>
    <m/>
    <m/>
    <m/>
    <m/>
    <m/>
    <m/>
    <m/>
    <m/>
    <n v="0"/>
  </r>
  <r>
    <x v="9"/>
    <x v="36"/>
    <m/>
    <m/>
    <m/>
    <m/>
    <m/>
    <m/>
    <m/>
    <m/>
    <m/>
    <m/>
    <m/>
    <m/>
    <m/>
    <m/>
    <m/>
    <m/>
    <m/>
    <m/>
    <m/>
    <m/>
    <m/>
    <m/>
    <n v="0"/>
  </r>
  <r>
    <x v="9"/>
    <x v="37"/>
    <m/>
    <m/>
    <m/>
    <m/>
    <m/>
    <m/>
    <m/>
    <m/>
    <m/>
    <m/>
    <m/>
    <m/>
    <m/>
    <m/>
    <m/>
    <m/>
    <m/>
    <m/>
    <m/>
    <m/>
    <m/>
    <m/>
    <n v="0"/>
  </r>
  <r>
    <x v="9"/>
    <x v="38"/>
    <m/>
    <m/>
    <m/>
    <m/>
    <m/>
    <m/>
    <m/>
    <m/>
    <m/>
    <m/>
    <m/>
    <m/>
    <m/>
    <m/>
    <m/>
    <m/>
    <m/>
    <m/>
    <m/>
    <m/>
    <m/>
    <m/>
    <n v="0"/>
  </r>
  <r>
    <x v="9"/>
    <x v="39"/>
    <m/>
    <m/>
    <m/>
    <m/>
    <m/>
    <m/>
    <m/>
    <m/>
    <m/>
    <m/>
    <m/>
    <m/>
    <m/>
    <m/>
    <m/>
    <m/>
    <m/>
    <m/>
    <m/>
    <m/>
    <m/>
    <m/>
    <n v="0"/>
  </r>
  <r>
    <x v="9"/>
    <x v="40"/>
    <m/>
    <m/>
    <m/>
    <m/>
    <m/>
    <m/>
    <m/>
    <m/>
    <m/>
    <m/>
    <m/>
    <m/>
    <m/>
    <m/>
    <m/>
    <m/>
    <m/>
    <m/>
    <m/>
    <m/>
    <m/>
    <m/>
    <n v="0"/>
  </r>
  <r>
    <x v="9"/>
    <x v="41"/>
    <m/>
    <m/>
    <m/>
    <m/>
    <m/>
    <m/>
    <m/>
    <m/>
    <m/>
    <m/>
    <m/>
    <m/>
    <m/>
    <m/>
    <m/>
    <m/>
    <m/>
    <m/>
    <m/>
    <m/>
    <m/>
    <m/>
    <n v="0"/>
  </r>
  <r>
    <x v="9"/>
    <x v="43"/>
    <m/>
    <m/>
    <m/>
    <m/>
    <m/>
    <m/>
    <m/>
    <m/>
    <m/>
    <m/>
    <m/>
    <m/>
    <m/>
    <m/>
    <m/>
    <m/>
    <m/>
    <m/>
    <m/>
    <m/>
    <m/>
    <m/>
    <n v="0"/>
  </r>
  <r>
    <x v="9"/>
    <x v="44"/>
    <m/>
    <m/>
    <m/>
    <m/>
    <m/>
    <m/>
    <n v="1"/>
    <m/>
    <m/>
    <m/>
    <m/>
    <m/>
    <m/>
    <n v="1"/>
    <m/>
    <m/>
    <m/>
    <m/>
    <m/>
    <m/>
    <m/>
    <m/>
    <n v="2"/>
  </r>
  <r>
    <x v="9"/>
    <x v="45"/>
    <m/>
    <m/>
    <m/>
    <m/>
    <m/>
    <m/>
    <m/>
    <m/>
    <m/>
    <m/>
    <m/>
    <m/>
    <m/>
    <m/>
    <m/>
    <m/>
    <m/>
    <m/>
    <m/>
    <m/>
    <m/>
    <m/>
    <n v="0"/>
  </r>
  <r>
    <x v="9"/>
    <x v="46"/>
    <m/>
    <m/>
    <m/>
    <m/>
    <m/>
    <m/>
    <m/>
    <m/>
    <m/>
    <m/>
    <m/>
    <m/>
    <m/>
    <m/>
    <m/>
    <m/>
    <m/>
    <m/>
    <m/>
    <m/>
    <m/>
    <m/>
    <n v="0"/>
  </r>
  <r>
    <x v="10"/>
    <x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</r>
  <r>
    <x v="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</r>
  <r>
    <x v="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4"/>
    <n v="0"/>
    <n v="6"/>
    <n v="0"/>
    <n v="1"/>
    <n v="0"/>
    <n v="4"/>
    <n v="56"/>
    <n v="25"/>
    <n v="0"/>
    <n v="0"/>
    <n v="0"/>
    <n v="0"/>
    <n v="2"/>
    <n v="11"/>
    <n v="11"/>
    <n v="0"/>
    <n v="0"/>
    <n v="0"/>
    <n v="27"/>
    <n v="2"/>
    <n v="35"/>
    <n v="0"/>
    <n v="180"/>
  </r>
  <r>
    <x v="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</r>
  <r>
    <x v="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1"/>
    <n v="0"/>
    <n v="0"/>
    <n v="0"/>
    <n v="0"/>
    <n v="0"/>
    <n v="0"/>
    <n v="20"/>
    <n v="4"/>
    <n v="0"/>
    <n v="0"/>
    <n v="0"/>
    <n v="0"/>
    <n v="0"/>
    <n v="4"/>
    <n v="4"/>
    <n v="2"/>
    <n v="2"/>
    <n v="2"/>
    <n v="7"/>
    <n v="3"/>
    <n v="12"/>
    <n v="0"/>
    <n v="60"/>
  </r>
  <r>
    <x v="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3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3"/>
    <n v="0"/>
    <n v="9"/>
  </r>
  <r>
    <x v="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5"/>
    <n v="7"/>
    <n v="4"/>
    <n v="3"/>
    <n v="3"/>
    <n v="5"/>
    <n v="3"/>
    <n v="241"/>
    <n v="16"/>
    <n v="5"/>
    <n v="4"/>
    <n v="2"/>
    <n v="7"/>
    <n v="13"/>
    <n v="17"/>
    <n v="14"/>
    <n v="7"/>
    <n v="7"/>
    <n v="7"/>
    <n v="32"/>
    <n v="12"/>
    <n v="113"/>
    <n v="7"/>
    <n v="529"/>
  </r>
  <r>
    <x v="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3"/>
    <n v="0"/>
    <n v="0"/>
    <n v="0"/>
    <n v="0"/>
    <n v="0"/>
    <n v="0"/>
    <n v="2"/>
    <n v="3"/>
    <n v="0"/>
    <n v="0"/>
    <n v="0"/>
    <n v="0"/>
    <n v="1"/>
    <n v="1"/>
    <n v="1"/>
    <n v="0"/>
    <n v="0"/>
    <n v="0"/>
    <n v="1"/>
    <n v="0"/>
    <n v="4"/>
    <n v="0"/>
    <n v="13"/>
  </r>
  <r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3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12"/>
    <n v="0"/>
    <n v="62"/>
    <n v="0"/>
    <n v="101"/>
  </r>
  <r>
    <x v="1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2"/>
    <n v="1"/>
    <n v="1"/>
    <n v="0"/>
    <n v="6"/>
  </r>
  <r>
    <x v="11"/>
    <x v="58"/>
    <m/>
    <m/>
    <m/>
    <m/>
    <m/>
    <m/>
    <m/>
    <m/>
    <m/>
    <m/>
    <m/>
    <m/>
    <m/>
    <m/>
    <m/>
    <m/>
    <m/>
    <m/>
    <m/>
    <m/>
    <m/>
    <m/>
    <n v="0"/>
  </r>
  <r>
    <x v="11"/>
    <x v="59"/>
    <m/>
    <m/>
    <m/>
    <m/>
    <m/>
    <m/>
    <m/>
    <m/>
    <m/>
    <m/>
    <m/>
    <m/>
    <m/>
    <m/>
    <m/>
    <m/>
    <m/>
    <m/>
    <m/>
    <m/>
    <m/>
    <m/>
    <n v="0"/>
  </r>
  <r>
    <x v="11"/>
    <x v="60"/>
    <m/>
    <m/>
    <m/>
    <m/>
    <m/>
    <m/>
    <m/>
    <m/>
    <m/>
    <m/>
    <m/>
    <m/>
    <m/>
    <m/>
    <m/>
    <m/>
    <m/>
    <m/>
    <m/>
    <m/>
    <m/>
    <m/>
    <n v="0"/>
  </r>
  <r>
    <x v="11"/>
    <x v="61"/>
    <m/>
    <m/>
    <m/>
    <m/>
    <m/>
    <m/>
    <m/>
    <m/>
    <m/>
    <m/>
    <m/>
    <m/>
    <m/>
    <m/>
    <m/>
    <m/>
    <m/>
    <m/>
    <m/>
    <m/>
    <m/>
    <m/>
    <n v="0"/>
  </r>
  <r>
    <x v="11"/>
    <x v="62"/>
    <m/>
    <m/>
    <m/>
    <m/>
    <m/>
    <m/>
    <n v="8"/>
    <n v="8"/>
    <n v="8"/>
    <m/>
    <m/>
    <m/>
    <n v="16"/>
    <m/>
    <m/>
    <m/>
    <m/>
    <m/>
    <n v="15"/>
    <m/>
    <n v="16"/>
    <n v="3"/>
    <n v="73"/>
  </r>
  <r>
    <x v="11"/>
    <x v="63"/>
    <m/>
    <m/>
    <m/>
    <m/>
    <m/>
    <m/>
    <m/>
    <m/>
    <m/>
    <m/>
    <m/>
    <m/>
    <m/>
    <m/>
    <m/>
    <m/>
    <m/>
    <m/>
    <m/>
    <m/>
    <m/>
    <m/>
    <n v="0"/>
  </r>
  <r>
    <x v="11"/>
    <x v="1"/>
    <m/>
    <m/>
    <m/>
    <m/>
    <m/>
    <m/>
    <m/>
    <m/>
    <m/>
    <m/>
    <m/>
    <m/>
    <m/>
    <m/>
    <m/>
    <m/>
    <m/>
    <m/>
    <m/>
    <m/>
    <m/>
    <m/>
    <n v="0"/>
  </r>
  <r>
    <x v="11"/>
    <x v="2"/>
    <m/>
    <m/>
    <m/>
    <m/>
    <m/>
    <m/>
    <m/>
    <m/>
    <m/>
    <m/>
    <m/>
    <m/>
    <m/>
    <m/>
    <m/>
    <m/>
    <m/>
    <m/>
    <m/>
    <m/>
    <m/>
    <m/>
    <n v="0"/>
  </r>
  <r>
    <x v="11"/>
    <x v="3"/>
    <m/>
    <m/>
    <m/>
    <m/>
    <m/>
    <m/>
    <m/>
    <m/>
    <m/>
    <m/>
    <m/>
    <m/>
    <m/>
    <m/>
    <m/>
    <m/>
    <m/>
    <m/>
    <m/>
    <m/>
    <m/>
    <m/>
    <n v="0"/>
  </r>
  <r>
    <x v="11"/>
    <x v="4"/>
    <m/>
    <m/>
    <m/>
    <m/>
    <m/>
    <m/>
    <m/>
    <m/>
    <m/>
    <m/>
    <m/>
    <m/>
    <m/>
    <m/>
    <m/>
    <m/>
    <m/>
    <m/>
    <m/>
    <m/>
    <m/>
    <m/>
    <n v="0"/>
  </r>
  <r>
    <x v="11"/>
    <x v="5"/>
    <m/>
    <m/>
    <m/>
    <m/>
    <m/>
    <m/>
    <m/>
    <m/>
    <m/>
    <m/>
    <m/>
    <m/>
    <m/>
    <m/>
    <m/>
    <m/>
    <m/>
    <m/>
    <m/>
    <m/>
    <m/>
    <m/>
    <n v="0"/>
  </r>
  <r>
    <x v="11"/>
    <x v="6"/>
    <m/>
    <m/>
    <m/>
    <m/>
    <m/>
    <m/>
    <m/>
    <m/>
    <m/>
    <m/>
    <m/>
    <m/>
    <m/>
    <m/>
    <m/>
    <m/>
    <m/>
    <m/>
    <m/>
    <m/>
    <m/>
    <m/>
    <n v="0"/>
  </r>
  <r>
    <x v="11"/>
    <x v="8"/>
    <m/>
    <m/>
    <m/>
    <m/>
    <m/>
    <m/>
    <m/>
    <m/>
    <m/>
    <m/>
    <m/>
    <m/>
    <m/>
    <m/>
    <m/>
    <m/>
    <m/>
    <m/>
    <m/>
    <m/>
    <n v="1"/>
    <m/>
    <n v="1"/>
  </r>
  <r>
    <x v="11"/>
    <x v="64"/>
    <m/>
    <m/>
    <m/>
    <m/>
    <m/>
    <m/>
    <m/>
    <m/>
    <m/>
    <m/>
    <m/>
    <m/>
    <m/>
    <m/>
    <m/>
    <m/>
    <m/>
    <m/>
    <m/>
    <m/>
    <m/>
    <m/>
    <n v="0"/>
  </r>
  <r>
    <x v="11"/>
    <x v="9"/>
    <m/>
    <m/>
    <m/>
    <m/>
    <m/>
    <m/>
    <m/>
    <m/>
    <m/>
    <m/>
    <m/>
    <m/>
    <m/>
    <m/>
    <m/>
    <m/>
    <m/>
    <m/>
    <m/>
    <m/>
    <m/>
    <m/>
    <n v="0"/>
  </r>
  <r>
    <x v="11"/>
    <x v="10"/>
    <m/>
    <m/>
    <m/>
    <m/>
    <m/>
    <m/>
    <m/>
    <m/>
    <m/>
    <m/>
    <m/>
    <m/>
    <m/>
    <m/>
    <m/>
    <m/>
    <m/>
    <m/>
    <m/>
    <m/>
    <m/>
    <m/>
    <n v="0"/>
  </r>
  <r>
    <x v="11"/>
    <x v="11"/>
    <m/>
    <m/>
    <m/>
    <m/>
    <m/>
    <m/>
    <m/>
    <m/>
    <m/>
    <m/>
    <m/>
    <m/>
    <m/>
    <m/>
    <m/>
    <m/>
    <m/>
    <m/>
    <m/>
    <m/>
    <m/>
    <m/>
    <n v="0"/>
  </r>
  <r>
    <x v="11"/>
    <x v="12"/>
    <m/>
    <m/>
    <m/>
    <m/>
    <m/>
    <m/>
    <m/>
    <m/>
    <m/>
    <m/>
    <m/>
    <m/>
    <m/>
    <m/>
    <m/>
    <m/>
    <m/>
    <m/>
    <m/>
    <m/>
    <m/>
    <m/>
    <n v="0"/>
  </r>
  <r>
    <x v="11"/>
    <x v="13"/>
    <m/>
    <m/>
    <m/>
    <m/>
    <m/>
    <m/>
    <m/>
    <m/>
    <m/>
    <m/>
    <m/>
    <m/>
    <m/>
    <m/>
    <m/>
    <m/>
    <m/>
    <m/>
    <m/>
    <m/>
    <m/>
    <m/>
    <n v="0"/>
  </r>
  <r>
    <x v="11"/>
    <x v="14"/>
    <m/>
    <m/>
    <m/>
    <m/>
    <n v="3"/>
    <m/>
    <n v="7"/>
    <n v="2"/>
    <n v="2"/>
    <n v="3"/>
    <m/>
    <m/>
    <n v="5"/>
    <n v="1"/>
    <n v="1"/>
    <n v="2"/>
    <n v="2"/>
    <n v="2"/>
    <n v="3"/>
    <m/>
    <n v="6"/>
    <m/>
    <n v="39"/>
  </r>
  <r>
    <x v="11"/>
    <x v="15"/>
    <m/>
    <m/>
    <m/>
    <m/>
    <m/>
    <m/>
    <m/>
    <m/>
    <m/>
    <m/>
    <m/>
    <m/>
    <m/>
    <m/>
    <m/>
    <m/>
    <m/>
    <m/>
    <m/>
    <m/>
    <m/>
    <m/>
    <n v="0"/>
  </r>
  <r>
    <x v="11"/>
    <x v="16"/>
    <m/>
    <m/>
    <m/>
    <m/>
    <m/>
    <m/>
    <m/>
    <m/>
    <m/>
    <m/>
    <m/>
    <m/>
    <m/>
    <m/>
    <m/>
    <m/>
    <m/>
    <m/>
    <m/>
    <m/>
    <m/>
    <m/>
    <n v="0"/>
  </r>
  <r>
    <x v="11"/>
    <x v="17"/>
    <m/>
    <m/>
    <m/>
    <m/>
    <m/>
    <m/>
    <n v="6"/>
    <m/>
    <n v="2"/>
    <m/>
    <m/>
    <m/>
    <n v="9"/>
    <n v="4"/>
    <m/>
    <m/>
    <m/>
    <m/>
    <n v="6"/>
    <m/>
    <n v="5"/>
    <m/>
    <n v="32"/>
  </r>
  <r>
    <x v="11"/>
    <x v="18"/>
    <m/>
    <m/>
    <m/>
    <m/>
    <m/>
    <m/>
    <m/>
    <m/>
    <m/>
    <m/>
    <m/>
    <m/>
    <m/>
    <m/>
    <m/>
    <m/>
    <m/>
    <m/>
    <m/>
    <m/>
    <m/>
    <m/>
    <n v="0"/>
  </r>
  <r>
    <x v="11"/>
    <x v="19"/>
    <m/>
    <m/>
    <m/>
    <m/>
    <m/>
    <m/>
    <m/>
    <m/>
    <m/>
    <m/>
    <m/>
    <m/>
    <m/>
    <m/>
    <m/>
    <m/>
    <m/>
    <m/>
    <m/>
    <m/>
    <m/>
    <m/>
    <n v="0"/>
  </r>
  <r>
    <x v="11"/>
    <x v="21"/>
    <m/>
    <m/>
    <m/>
    <m/>
    <m/>
    <m/>
    <m/>
    <m/>
    <m/>
    <m/>
    <m/>
    <m/>
    <m/>
    <m/>
    <m/>
    <m/>
    <m/>
    <m/>
    <n v="1"/>
    <m/>
    <m/>
    <m/>
    <n v="1"/>
  </r>
  <r>
    <x v="11"/>
    <x v="22"/>
    <m/>
    <m/>
    <m/>
    <m/>
    <m/>
    <m/>
    <m/>
    <m/>
    <m/>
    <m/>
    <m/>
    <m/>
    <m/>
    <m/>
    <m/>
    <m/>
    <m/>
    <m/>
    <m/>
    <m/>
    <m/>
    <m/>
    <n v="0"/>
  </r>
  <r>
    <x v="11"/>
    <x v="23"/>
    <m/>
    <m/>
    <m/>
    <m/>
    <m/>
    <m/>
    <m/>
    <m/>
    <m/>
    <m/>
    <m/>
    <n v="2"/>
    <m/>
    <m/>
    <m/>
    <m/>
    <m/>
    <m/>
    <m/>
    <m/>
    <m/>
    <m/>
    <n v="2"/>
  </r>
  <r>
    <x v="11"/>
    <x v="25"/>
    <m/>
    <m/>
    <m/>
    <m/>
    <m/>
    <m/>
    <m/>
    <m/>
    <m/>
    <m/>
    <m/>
    <m/>
    <m/>
    <m/>
    <m/>
    <m/>
    <m/>
    <m/>
    <m/>
    <m/>
    <m/>
    <m/>
    <n v="0"/>
  </r>
  <r>
    <x v="11"/>
    <x v="26"/>
    <m/>
    <m/>
    <m/>
    <m/>
    <m/>
    <m/>
    <m/>
    <m/>
    <m/>
    <m/>
    <m/>
    <m/>
    <m/>
    <m/>
    <m/>
    <m/>
    <m/>
    <m/>
    <m/>
    <m/>
    <m/>
    <m/>
    <n v="0"/>
  </r>
  <r>
    <x v="11"/>
    <x v="65"/>
    <m/>
    <m/>
    <m/>
    <m/>
    <m/>
    <m/>
    <n v="3"/>
    <n v="1"/>
    <n v="1"/>
    <m/>
    <m/>
    <m/>
    <m/>
    <m/>
    <m/>
    <m/>
    <m/>
    <m/>
    <n v="1"/>
    <m/>
    <n v="1"/>
    <m/>
    <n v="7"/>
  </r>
  <r>
    <x v="11"/>
    <x v="27"/>
    <n v="2"/>
    <n v="2"/>
    <m/>
    <m/>
    <m/>
    <m/>
    <n v="10"/>
    <n v="10"/>
    <m/>
    <n v="2"/>
    <m/>
    <m/>
    <m/>
    <m/>
    <m/>
    <m/>
    <m/>
    <m/>
    <n v="10"/>
    <m/>
    <n v="4"/>
    <n v="1"/>
    <n v="40"/>
  </r>
  <r>
    <x v="11"/>
    <x v="28"/>
    <m/>
    <m/>
    <m/>
    <m/>
    <m/>
    <m/>
    <m/>
    <m/>
    <m/>
    <m/>
    <m/>
    <m/>
    <m/>
    <m/>
    <m/>
    <m/>
    <m/>
    <m/>
    <m/>
    <m/>
    <m/>
    <m/>
    <n v="0"/>
  </r>
  <r>
    <x v="11"/>
    <x v="29"/>
    <m/>
    <m/>
    <m/>
    <m/>
    <m/>
    <m/>
    <m/>
    <m/>
    <m/>
    <m/>
    <m/>
    <m/>
    <m/>
    <m/>
    <m/>
    <m/>
    <m/>
    <m/>
    <m/>
    <m/>
    <m/>
    <m/>
    <n v="0"/>
  </r>
  <r>
    <x v="11"/>
    <x v="30"/>
    <m/>
    <m/>
    <m/>
    <m/>
    <m/>
    <m/>
    <n v="10"/>
    <m/>
    <n v="10"/>
    <m/>
    <m/>
    <m/>
    <m/>
    <m/>
    <m/>
    <m/>
    <m/>
    <m/>
    <m/>
    <m/>
    <n v="10"/>
    <m/>
    <n v="30"/>
  </r>
  <r>
    <x v="11"/>
    <x v="31"/>
    <m/>
    <m/>
    <m/>
    <m/>
    <m/>
    <m/>
    <m/>
    <m/>
    <m/>
    <m/>
    <m/>
    <m/>
    <m/>
    <m/>
    <m/>
    <m/>
    <m/>
    <m/>
    <m/>
    <m/>
    <m/>
    <m/>
    <n v="0"/>
  </r>
  <r>
    <x v="11"/>
    <x v="32"/>
    <m/>
    <m/>
    <m/>
    <m/>
    <m/>
    <m/>
    <m/>
    <m/>
    <m/>
    <m/>
    <m/>
    <m/>
    <n v="4"/>
    <m/>
    <m/>
    <m/>
    <m/>
    <m/>
    <n v="4"/>
    <n v="4"/>
    <m/>
    <m/>
    <n v="12"/>
  </r>
  <r>
    <x v="11"/>
    <x v="33"/>
    <m/>
    <m/>
    <m/>
    <m/>
    <m/>
    <m/>
    <m/>
    <m/>
    <m/>
    <m/>
    <m/>
    <m/>
    <m/>
    <m/>
    <m/>
    <m/>
    <m/>
    <m/>
    <m/>
    <m/>
    <m/>
    <m/>
    <n v="0"/>
  </r>
  <r>
    <x v="11"/>
    <x v="34"/>
    <m/>
    <m/>
    <m/>
    <m/>
    <m/>
    <m/>
    <m/>
    <m/>
    <m/>
    <m/>
    <m/>
    <m/>
    <m/>
    <m/>
    <m/>
    <m/>
    <m/>
    <m/>
    <m/>
    <m/>
    <m/>
    <m/>
    <n v="0"/>
  </r>
  <r>
    <x v="11"/>
    <x v="66"/>
    <m/>
    <m/>
    <m/>
    <m/>
    <m/>
    <m/>
    <m/>
    <m/>
    <m/>
    <m/>
    <m/>
    <m/>
    <m/>
    <m/>
    <m/>
    <m/>
    <m/>
    <m/>
    <m/>
    <m/>
    <m/>
    <m/>
    <n v="0"/>
  </r>
  <r>
    <x v="11"/>
    <x v="36"/>
    <n v="8"/>
    <n v="4"/>
    <n v="5"/>
    <n v="2"/>
    <n v="2"/>
    <n v="2"/>
    <n v="31"/>
    <n v="30"/>
    <n v="35"/>
    <n v="4"/>
    <n v="1"/>
    <n v="1"/>
    <n v="12"/>
    <n v="10"/>
    <n v="2"/>
    <n v="5"/>
    <m/>
    <n v="1"/>
    <n v="16"/>
    <n v="13"/>
    <n v="29"/>
    <m/>
    <n v="213"/>
  </r>
  <r>
    <x v="11"/>
    <x v="37"/>
    <m/>
    <m/>
    <m/>
    <m/>
    <m/>
    <m/>
    <n v="1"/>
    <n v="1"/>
    <m/>
    <m/>
    <m/>
    <m/>
    <m/>
    <m/>
    <m/>
    <m/>
    <m/>
    <n v="1"/>
    <m/>
    <m/>
    <m/>
    <m/>
    <n v="3"/>
  </r>
  <r>
    <x v="11"/>
    <x v="38"/>
    <m/>
    <m/>
    <m/>
    <m/>
    <m/>
    <m/>
    <m/>
    <m/>
    <m/>
    <m/>
    <m/>
    <m/>
    <m/>
    <m/>
    <m/>
    <m/>
    <m/>
    <m/>
    <m/>
    <m/>
    <m/>
    <m/>
    <n v="0"/>
  </r>
  <r>
    <x v="11"/>
    <x v="39"/>
    <m/>
    <m/>
    <m/>
    <m/>
    <m/>
    <m/>
    <m/>
    <m/>
    <m/>
    <m/>
    <m/>
    <m/>
    <m/>
    <m/>
    <m/>
    <m/>
    <m/>
    <m/>
    <m/>
    <n v="1"/>
    <m/>
    <m/>
    <n v="1"/>
  </r>
  <r>
    <x v="11"/>
    <x v="40"/>
    <m/>
    <m/>
    <m/>
    <m/>
    <m/>
    <m/>
    <m/>
    <m/>
    <m/>
    <m/>
    <m/>
    <m/>
    <m/>
    <m/>
    <m/>
    <m/>
    <m/>
    <m/>
    <m/>
    <m/>
    <m/>
    <m/>
    <n v="0"/>
  </r>
  <r>
    <x v="11"/>
    <x v="41"/>
    <m/>
    <m/>
    <m/>
    <m/>
    <m/>
    <m/>
    <m/>
    <m/>
    <m/>
    <m/>
    <m/>
    <m/>
    <m/>
    <m/>
    <m/>
    <m/>
    <m/>
    <m/>
    <m/>
    <m/>
    <m/>
    <m/>
    <n v="0"/>
  </r>
  <r>
    <x v="11"/>
    <x v="43"/>
    <n v="2"/>
    <m/>
    <m/>
    <m/>
    <m/>
    <m/>
    <n v="6"/>
    <n v="3"/>
    <n v="4"/>
    <m/>
    <m/>
    <m/>
    <n v="7"/>
    <n v="7"/>
    <m/>
    <n v="5"/>
    <m/>
    <n v="5"/>
    <n v="8"/>
    <n v="7"/>
    <n v="2"/>
    <n v="3"/>
    <n v="59"/>
  </r>
  <r>
    <x v="11"/>
    <x v="44"/>
    <m/>
    <m/>
    <m/>
    <m/>
    <m/>
    <m/>
    <m/>
    <m/>
    <m/>
    <m/>
    <m/>
    <m/>
    <m/>
    <m/>
    <m/>
    <m/>
    <m/>
    <m/>
    <m/>
    <m/>
    <m/>
    <m/>
    <n v="0"/>
  </r>
  <r>
    <x v="11"/>
    <x v="45"/>
    <m/>
    <m/>
    <m/>
    <m/>
    <m/>
    <m/>
    <m/>
    <m/>
    <m/>
    <m/>
    <m/>
    <m/>
    <m/>
    <m/>
    <m/>
    <m/>
    <m/>
    <m/>
    <m/>
    <m/>
    <m/>
    <m/>
    <n v="0"/>
  </r>
  <r>
    <x v="11"/>
    <x v="46"/>
    <m/>
    <m/>
    <m/>
    <m/>
    <m/>
    <m/>
    <m/>
    <m/>
    <m/>
    <m/>
    <m/>
    <m/>
    <m/>
    <m/>
    <m/>
    <m/>
    <m/>
    <n v="1"/>
    <m/>
    <n v="1"/>
    <m/>
    <m/>
    <n v="2"/>
  </r>
  <r>
    <x v="11"/>
    <x v="79"/>
    <m/>
    <m/>
    <m/>
    <m/>
    <m/>
    <m/>
    <n v="30"/>
    <n v="9"/>
    <n v="9"/>
    <m/>
    <m/>
    <m/>
    <n v="50"/>
    <n v="20"/>
    <n v="20"/>
    <m/>
    <m/>
    <m/>
    <n v="20"/>
    <n v="30"/>
    <n v="30"/>
    <m/>
    <n v="218"/>
  </r>
  <r>
    <x v="11"/>
    <x v="80"/>
    <m/>
    <m/>
    <m/>
    <m/>
    <m/>
    <m/>
    <m/>
    <m/>
    <m/>
    <m/>
    <n v="2"/>
    <n v="2"/>
    <n v="2"/>
    <n v="2"/>
    <n v="2"/>
    <m/>
    <m/>
    <m/>
    <n v="2"/>
    <m/>
    <m/>
    <m/>
    <n v="12"/>
  </r>
  <r>
    <x v="11"/>
    <x v="81"/>
    <m/>
    <m/>
    <m/>
    <m/>
    <m/>
    <m/>
    <m/>
    <m/>
    <n v="2"/>
    <m/>
    <n v="2"/>
    <n v="2"/>
    <n v="2"/>
    <n v="2"/>
    <n v="2"/>
    <m/>
    <m/>
    <m/>
    <n v="2"/>
    <n v="2"/>
    <m/>
    <m/>
    <n v="16"/>
  </r>
  <r>
    <x v="11"/>
    <x v="82"/>
    <n v="2"/>
    <n v="1"/>
    <n v="1"/>
    <n v="1"/>
    <n v="1"/>
    <n v="1"/>
    <n v="30"/>
    <n v="30"/>
    <n v="35"/>
    <m/>
    <m/>
    <m/>
    <n v="35"/>
    <n v="31"/>
    <n v="31"/>
    <m/>
    <m/>
    <m/>
    <n v="34"/>
    <m/>
    <n v="38"/>
    <n v="1"/>
    <n v="271"/>
  </r>
  <r>
    <x v="11"/>
    <x v="83"/>
    <m/>
    <m/>
    <m/>
    <m/>
    <m/>
    <m/>
    <n v="2"/>
    <n v="1"/>
    <m/>
    <m/>
    <m/>
    <m/>
    <m/>
    <m/>
    <m/>
    <m/>
    <m/>
    <m/>
    <m/>
    <m/>
    <n v="1"/>
    <m/>
    <n v="4"/>
  </r>
  <r>
    <x v="11"/>
    <x v="84"/>
    <m/>
    <m/>
    <m/>
    <m/>
    <m/>
    <m/>
    <m/>
    <m/>
    <m/>
    <m/>
    <m/>
    <m/>
    <m/>
    <m/>
    <m/>
    <m/>
    <m/>
    <m/>
    <m/>
    <m/>
    <m/>
    <m/>
    <n v="0"/>
  </r>
  <r>
    <x v="11"/>
    <x v="85"/>
    <m/>
    <m/>
    <m/>
    <m/>
    <m/>
    <m/>
    <n v="1"/>
    <m/>
    <m/>
    <m/>
    <m/>
    <m/>
    <m/>
    <m/>
    <m/>
    <n v="5"/>
    <m/>
    <m/>
    <n v="5"/>
    <m/>
    <n v="6"/>
    <m/>
    <n v="17"/>
  </r>
  <r>
    <x v="11"/>
    <x v="86"/>
    <m/>
    <m/>
    <m/>
    <m/>
    <m/>
    <m/>
    <n v="26"/>
    <n v="2"/>
    <n v="10"/>
    <m/>
    <m/>
    <m/>
    <n v="3"/>
    <m/>
    <m/>
    <m/>
    <m/>
    <m/>
    <n v="6"/>
    <m/>
    <n v="15"/>
    <m/>
    <n v="62"/>
  </r>
  <r>
    <x v="11"/>
    <x v="87"/>
    <m/>
    <m/>
    <m/>
    <m/>
    <m/>
    <m/>
    <n v="28"/>
    <n v="2"/>
    <m/>
    <m/>
    <m/>
    <m/>
    <n v="25"/>
    <m/>
    <m/>
    <m/>
    <m/>
    <m/>
    <m/>
    <m/>
    <n v="25"/>
    <m/>
    <n v="80"/>
  </r>
  <r>
    <x v="11"/>
    <x v="55"/>
    <m/>
    <m/>
    <m/>
    <m/>
    <m/>
    <m/>
    <n v="30"/>
    <m/>
    <m/>
    <m/>
    <m/>
    <m/>
    <n v="30"/>
    <n v="30"/>
    <m/>
    <m/>
    <m/>
    <m/>
    <n v="30"/>
    <m/>
    <n v="30"/>
    <m/>
    <n v="150"/>
  </r>
  <r>
    <x v="11"/>
    <x v="88"/>
    <n v="30"/>
    <m/>
    <m/>
    <m/>
    <n v="30"/>
    <m/>
    <n v="30"/>
    <n v="30"/>
    <n v="30"/>
    <m/>
    <m/>
    <m/>
    <n v="30"/>
    <m/>
    <m/>
    <m/>
    <m/>
    <m/>
    <n v="30"/>
    <m/>
    <n v="30"/>
    <n v="30"/>
    <n v="270"/>
  </r>
  <r>
    <x v="11"/>
    <x v="68"/>
    <m/>
    <n v="3"/>
    <m/>
    <n v="3"/>
    <m/>
    <n v="3"/>
    <n v="24"/>
    <m/>
    <m/>
    <m/>
    <m/>
    <m/>
    <n v="24"/>
    <m/>
    <m/>
    <m/>
    <m/>
    <m/>
    <m/>
    <m/>
    <n v="24"/>
    <m/>
    <n v="81"/>
  </r>
  <r>
    <x v="11"/>
    <x v="89"/>
    <m/>
    <m/>
    <m/>
    <m/>
    <m/>
    <m/>
    <n v="8"/>
    <n v="1"/>
    <m/>
    <m/>
    <m/>
    <m/>
    <n v="9"/>
    <m/>
    <m/>
    <n v="2"/>
    <n v="2"/>
    <n v="2"/>
    <n v="4"/>
    <n v="4"/>
    <n v="27"/>
    <n v="6"/>
    <n v="65"/>
  </r>
  <r>
    <x v="11"/>
    <x v="62"/>
    <m/>
    <m/>
    <m/>
    <m/>
    <m/>
    <m/>
    <m/>
    <m/>
    <m/>
    <m/>
    <m/>
    <m/>
    <m/>
    <m/>
    <m/>
    <m/>
    <m/>
    <m/>
    <n v="8"/>
    <m/>
    <n v="8"/>
    <n v="9"/>
    <n v="24"/>
  </r>
  <r>
    <x v="11"/>
    <x v="67"/>
    <m/>
    <m/>
    <m/>
    <m/>
    <m/>
    <m/>
    <m/>
    <n v="3"/>
    <n v="3"/>
    <m/>
    <m/>
    <m/>
    <n v="3"/>
    <n v="2"/>
    <m/>
    <m/>
    <m/>
    <m/>
    <n v="1"/>
    <m/>
    <n v="1"/>
    <n v="1"/>
    <n v="14"/>
  </r>
  <r>
    <x v="11"/>
    <x v="90"/>
    <m/>
    <m/>
    <m/>
    <m/>
    <n v="3"/>
    <m/>
    <n v="1"/>
    <m/>
    <m/>
    <n v="3"/>
    <m/>
    <m/>
    <m/>
    <m/>
    <m/>
    <m/>
    <m/>
    <m/>
    <n v="1"/>
    <m/>
    <m/>
    <m/>
    <n v="8"/>
  </r>
  <r>
    <x v="12"/>
    <x v="58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59"/>
    <m/>
    <m/>
    <m/>
    <m/>
    <m/>
    <m/>
    <m/>
    <m/>
    <m/>
    <m/>
    <n v="20"/>
    <n v="20"/>
    <m/>
    <n v="20"/>
    <n v="20"/>
    <n v="20"/>
    <n v="20"/>
    <n v="20"/>
    <m/>
    <n v="20"/>
    <m/>
    <n v="30"/>
    <n v="190"/>
  </r>
  <r>
    <x v="12"/>
    <x v="60"/>
    <m/>
    <m/>
    <m/>
    <m/>
    <m/>
    <m/>
    <m/>
    <m/>
    <m/>
    <m/>
    <n v="15"/>
    <n v="60"/>
    <m/>
    <n v="15"/>
    <n v="70"/>
    <n v="7"/>
    <n v="25"/>
    <n v="7"/>
    <m/>
    <n v="35"/>
    <m/>
    <n v="5"/>
    <n v="239"/>
  </r>
  <r>
    <x v="12"/>
    <x v="61"/>
    <m/>
    <m/>
    <m/>
    <m/>
    <m/>
    <m/>
    <m/>
    <m/>
    <m/>
    <m/>
    <n v="30"/>
    <m/>
    <m/>
    <n v="10"/>
    <n v="100"/>
    <n v="5"/>
    <n v="10"/>
    <n v="5"/>
    <m/>
    <n v="25"/>
    <m/>
    <m/>
    <n v="185"/>
  </r>
  <r>
    <x v="12"/>
    <x v="62"/>
    <m/>
    <m/>
    <m/>
    <m/>
    <m/>
    <m/>
    <m/>
    <m/>
    <m/>
    <m/>
    <m/>
    <m/>
    <m/>
    <m/>
    <m/>
    <m/>
    <m/>
    <m/>
    <m/>
    <m/>
    <m/>
    <m/>
    <n v="0"/>
  </r>
  <r>
    <x v="12"/>
    <x v="63"/>
    <m/>
    <m/>
    <m/>
    <m/>
    <m/>
    <m/>
    <m/>
    <m/>
    <m/>
    <m/>
    <m/>
    <m/>
    <m/>
    <n v="10"/>
    <n v="10"/>
    <n v="10"/>
    <n v="10"/>
    <m/>
    <m/>
    <n v="10"/>
    <m/>
    <n v="10"/>
    <n v="60"/>
  </r>
  <r>
    <x v="12"/>
    <x v="1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2"/>
    <n v="1"/>
    <n v="4"/>
    <n v="0"/>
    <n v="2"/>
    <n v="2"/>
    <n v="15"/>
    <n v="15"/>
    <n v="12"/>
    <n v="10"/>
    <n v="5"/>
    <n v="25"/>
    <n v="25"/>
    <n v="4"/>
    <m/>
    <m/>
    <n v="25"/>
    <m/>
    <m/>
    <n v="4"/>
    <n v="15"/>
    <n v="4"/>
    <n v="3"/>
    <n v="171"/>
  </r>
  <r>
    <x v="12"/>
    <x v="3"/>
    <m/>
    <m/>
    <m/>
    <m/>
    <m/>
    <m/>
    <m/>
    <m/>
    <m/>
    <m/>
    <m/>
    <m/>
    <m/>
    <m/>
    <m/>
    <m/>
    <m/>
    <m/>
    <m/>
    <m/>
    <m/>
    <m/>
    <n v="0"/>
  </r>
  <r>
    <x v="12"/>
    <x v="4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5"/>
    <m/>
    <m/>
    <m/>
    <m/>
    <m/>
    <m/>
    <m/>
    <m/>
    <m/>
    <m/>
    <n v="30"/>
    <n v="30"/>
    <m/>
    <n v="30"/>
    <n v="60"/>
    <n v="30"/>
    <n v="30"/>
    <n v="30"/>
    <m/>
    <n v="20"/>
    <m/>
    <n v="30"/>
    <n v="290"/>
  </r>
  <r>
    <x v="12"/>
    <x v="6"/>
    <m/>
    <m/>
    <m/>
    <m/>
    <m/>
    <m/>
    <m/>
    <m/>
    <m/>
    <m/>
    <n v="5"/>
    <n v="5"/>
    <m/>
    <n v="8"/>
    <n v="8"/>
    <n v="5"/>
    <n v="5"/>
    <n v="5"/>
    <m/>
    <n v="5"/>
    <m/>
    <n v="1"/>
    <n v="47"/>
  </r>
  <r>
    <x v="12"/>
    <x v="8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64"/>
    <m/>
    <m/>
    <m/>
    <m/>
    <m/>
    <m/>
    <m/>
    <m/>
    <m/>
    <m/>
    <m/>
    <n v="30"/>
    <m/>
    <n v="30"/>
    <n v="30"/>
    <n v="30"/>
    <m/>
    <m/>
    <m/>
    <n v="30"/>
    <m/>
    <m/>
    <n v="150"/>
  </r>
  <r>
    <x v="12"/>
    <x v="9"/>
    <n v="4"/>
    <m/>
    <n v="3"/>
    <m/>
    <n v="2"/>
    <m/>
    <m/>
    <m/>
    <m/>
    <m/>
    <m/>
    <n v="42"/>
    <m/>
    <n v="5"/>
    <n v="1"/>
    <n v="5"/>
    <n v="5"/>
    <n v="5"/>
    <m/>
    <n v="7"/>
    <m/>
    <n v="6"/>
    <n v="85"/>
  </r>
  <r>
    <x v="12"/>
    <x v="10"/>
    <m/>
    <m/>
    <m/>
    <m/>
    <m/>
    <m/>
    <m/>
    <m/>
    <m/>
    <m/>
    <n v="80"/>
    <m/>
    <m/>
    <m/>
    <m/>
    <m/>
    <n v="5"/>
    <n v="5"/>
    <m/>
    <m/>
    <m/>
    <n v="1"/>
    <n v="91"/>
  </r>
  <r>
    <x v="12"/>
    <x v="11"/>
    <m/>
    <m/>
    <m/>
    <m/>
    <m/>
    <m/>
    <m/>
    <m/>
    <m/>
    <m/>
    <m/>
    <m/>
    <m/>
    <m/>
    <m/>
    <m/>
    <n v="5"/>
    <n v="5"/>
    <m/>
    <m/>
    <m/>
    <n v="2"/>
    <n v="12"/>
  </r>
  <r>
    <x v="12"/>
    <x v="12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13"/>
    <m/>
    <m/>
    <m/>
    <m/>
    <m/>
    <m/>
    <m/>
    <m/>
    <m/>
    <m/>
    <m/>
    <n v="13"/>
    <m/>
    <n v="13"/>
    <m/>
    <m/>
    <m/>
    <m/>
    <m/>
    <m/>
    <m/>
    <m/>
    <n v="26"/>
  </r>
  <r>
    <x v="12"/>
    <x v="14"/>
    <m/>
    <m/>
    <m/>
    <m/>
    <m/>
    <m/>
    <m/>
    <m/>
    <m/>
    <m/>
    <m/>
    <m/>
    <m/>
    <m/>
    <m/>
    <m/>
    <m/>
    <m/>
    <m/>
    <m/>
    <m/>
    <n v="3"/>
    <n v="3"/>
  </r>
  <r>
    <x v="12"/>
    <x v="15"/>
    <m/>
    <m/>
    <m/>
    <m/>
    <m/>
    <m/>
    <m/>
    <m/>
    <m/>
    <m/>
    <m/>
    <n v="15"/>
    <m/>
    <m/>
    <m/>
    <n v="2"/>
    <n v="2"/>
    <n v="2"/>
    <m/>
    <n v="14"/>
    <m/>
    <m/>
    <n v="35"/>
  </r>
  <r>
    <x v="12"/>
    <x v="16"/>
    <m/>
    <m/>
    <m/>
    <m/>
    <m/>
    <m/>
    <m/>
    <m/>
    <m/>
    <m/>
    <m/>
    <m/>
    <m/>
    <m/>
    <m/>
    <m/>
    <m/>
    <m/>
    <m/>
    <m/>
    <m/>
    <m/>
    <n v="0"/>
  </r>
  <r>
    <x v="12"/>
    <x v="17"/>
    <m/>
    <m/>
    <m/>
    <m/>
    <m/>
    <m/>
    <m/>
    <m/>
    <m/>
    <m/>
    <n v="40"/>
    <m/>
    <m/>
    <m/>
    <m/>
    <m/>
    <m/>
    <m/>
    <m/>
    <m/>
    <m/>
    <n v="1"/>
    <n v="41"/>
  </r>
  <r>
    <x v="12"/>
    <x v="18"/>
    <m/>
    <m/>
    <m/>
    <m/>
    <m/>
    <m/>
    <m/>
    <m/>
    <m/>
    <m/>
    <m/>
    <m/>
    <m/>
    <m/>
    <m/>
    <m/>
    <m/>
    <m/>
    <m/>
    <m/>
    <m/>
    <m/>
    <n v="0"/>
  </r>
  <r>
    <x v="12"/>
    <x v="19"/>
    <n v="3"/>
    <m/>
    <n v="3"/>
    <m/>
    <n v="2"/>
    <m/>
    <n v="4"/>
    <m/>
    <m/>
    <n v="5"/>
    <n v="9"/>
    <m/>
    <m/>
    <n v="10"/>
    <m/>
    <n v="5"/>
    <m/>
    <n v="5"/>
    <n v="17"/>
    <n v="12"/>
    <n v="5"/>
    <n v="5"/>
    <n v="85"/>
  </r>
  <r>
    <x v="12"/>
    <x v="21"/>
    <m/>
    <m/>
    <m/>
    <m/>
    <m/>
    <m/>
    <m/>
    <m/>
    <m/>
    <m/>
    <n v="40"/>
    <m/>
    <m/>
    <m/>
    <m/>
    <n v="5"/>
    <m/>
    <n v="5"/>
    <m/>
    <m/>
    <m/>
    <m/>
    <n v="50"/>
  </r>
  <r>
    <x v="12"/>
    <x v="22"/>
    <m/>
    <m/>
    <m/>
    <m/>
    <m/>
    <m/>
    <m/>
    <m/>
    <m/>
    <m/>
    <m/>
    <m/>
    <m/>
    <m/>
    <m/>
    <m/>
    <n v="5"/>
    <n v="5"/>
    <m/>
    <m/>
    <m/>
    <m/>
    <n v="10"/>
  </r>
  <r>
    <x v="12"/>
    <x v="23"/>
    <n v="5"/>
    <n v="5"/>
    <n v="5"/>
    <n v="5"/>
    <n v="5"/>
    <n v="5"/>
    <m/>
    <m/>
    <m/>
    <m/>
    <m/>
    <m/>
    <m/>
    <m/>
    <m/>
    <m/>
    <m/>
    <m/>
    <m/>
    <m/>
    <m/>
    <n v="10"/>
    <n v="40"/>
  </r>
  <r>
    <x v="12"/>
    <x v="25"/>
    <m/>
    <m/>
    <m/>
    <m/>
    <m/>
    <m/>
    <m/>
    <m/>
    <m/>
    <m/>
    <m/>
    <m/>
    <m/>
    <m/>
    <m/>
    <m/>
    <m/>
    <m/>
    <m/>
    <m/>
    <m/>
    <n v="15"/>
    <n v="15"/>
  </r>
  <r>
    <x v="12"/>
    <x v="26"/>
    <m/>
    <m/>
    <m/>
    <m/>
    <m/>
    <m/>
    <m/>
    <m/>
    <m/>
    <m/>
    <m/>
    <n v="30"/>
    <m/>
    <n v="0"/>
    <n v="30"/>
    <m/>
    <n v="30"/>
    <m/>
    <m/>
    <n v="30"/>
    <m/>
    <m/>
    <n v="120"/>
  </r>
  <r>
    <x v="12"/>
    <x v="65"/>
    <m/>
    <m/>
    <m/>
    <m/>
    <m/>
    <m/>
    <m/>
    <m/>
    <m/>
    <m/>
    <m/>
    <n v="30"/>
    <m/>
    <n v="90"/>
    <n v="30"/>
    <m/>
    <n v="30"/>
    <m/>
    <m/>
    <n v="30"/>
    <m/>
    <m/>
    <n v="210"/>
  </r>
  <r>
    <x v="12"/>
    <x v="27"/>
    <m/>
    <m/>
    <m/>
    <m/>
    <m/>
    <m/>
    <m/>
    <m/>
    <m/>
    <m/>
    <n v="30"/>
    <n v="30"/>
    <m/>
    <n v="30"/>
    <n v="30"/>
    <n v="30"/>
    <n v="30"/>
    <n v="30"/>
    <m/>
    <n v="30"/>
    <m/>
    <n v="30"/>
    <n v="270"/>
  </r>
  <r>
    <x v="12"/>
    <x v="28"/>
    <m/>
    <m/>
    <m/>
    <m/>
    <m/>
    <m/>
    <m/>
    <m/>
    <m/>
    <m/>
    <n v="20"/>
    <m/>
    <m/>
    <m/>
    <m/>
    <n v="5"/>
    <m/>
    <n v="5"/>
    <m/>
    <m/>
    <m/>
    <m/>
    <n v="30"/>
  </r>
  <r>
    <x v="12"/>
    <x v="29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30"/>
    <n v="1"/>
    <n v="23"/>
    <n v="1"/>
    <n v="11"/>
    <n v="6"/>
    <n v="10"/>
    <n v="24"/>
    <n v="47"/>
    <n v="20"/>
    <m/>
    <n v="24"/>
    <m/>
    <n v="15"/>
    <n v="11"/>
    <n v="95"/>
    <n v="17"/>
    <n v="3"/>
    <n v="12"/>
    <n v="5"/>
    <n v="21"/>
    <n v="89"/>
    <n v="25"/>
    <n v="460"/>
  </r>
  <r>
    <x v="12"/>
    <x v="31"/>
    <m/>
    <m/>
    <m/>
    <m/>
    <m/>
    <m/>
    <m/>
    <m/>
    <m/>
    <m/>
    <m/>
    <n v="20"/>
    <m/>
    <m/>
    <m/>
    <n v="5"/>
    <n v="5"/>
    <n v="5"/>
    <m/>
    <m/>
    <m/>
    <m/>
    <n v="35"/>
  </r>
  <r>
    <x v="12"/>
    <x v="32"/>
    <m/>
    <m/>
    <m/>
    <m/>
    <m/>
    <m/>
    <m/>
    <m/>
    <m/>
    <m/>
    <m/>
    <m/>
    <m/>
    <m/>
    <m/>
    <m/>
    <m/>
    <m/>
    <m/>
    <m/>
    <m/>
    <m/>
    <n v="0"/>
  </r>
  <r>
    <x v="12"/>
    <x v="33"/>
    <m/>
    <m/>
    <m/>
    <m/>
    <m/>
    <m/>
    <m/>
    <m/>
    <m/>
    <m/>
    <m/>
    <m/>
    <m/>
    <n v="4"/>
    <n v="4"/>
    <n v="4"/>
    <n v="4"/>
    <n v="2"/>
    <m/>
    <n v="4"/>
    <m/>
    <n v="2"/>
    <n v="24"/>
  </r>
  <r>
    <x v="12"/>
    <x v="34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66"/>
    <m/>
    <m/>
    <m/>
    <m/>
    <m/>
    <m/>
    <m/>
    <m/>
    <m/>
    <m/>
    <m/>
    <m/>
    <m/>
    <m/>
    <m/>
    <m/>
    <m/>
    <m/>
    <m/>
    <m/>
    <m/>
    <m/>
    <n v="0"/>
  </r>
  <r>
    <x v="12"/>
    <x v="36"/>
    <m/>
    <n v="1"/>
    <m/>
    <n v="1"/>
    <m/>
    <m/>
    <m/>
    <m/>
    <m/>
    <m/>
    <n v="5"/>
    <n v="5"/>
    <m/>
    <n v="10"/>
    <n v="22"/>
    <n v="10"/>
    <n v="5"/>
    <n v="5"/>
    <m/>
    <n v="12"/>
    <m/>
    <n v="9"/>
    <n v="85"/>
  </r>
  <r>
    <x v="12"/>
    <x v="37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38"/>
    <m/>
    <m/>
    <m/>
    <m/>
    <m/>
    <m/>
    <m/>
    <m/>
    <m/>
    <m/>
    <m/>
    <m/>
    <m/>
    <m/>
    <m/>
    <m/>
    <m/>
    <m/>
    <m/>
    <m/>
    <m/>
    <m/>
    <n v="0"/>
  </r>
  <r>
    <x v="12"/>
    <x v="39"/>
    <m/>
    <m/>
    <m/>
    <m/>
    <m/>
    <m/>
    <m/>
    <m/>
    <m/>
    <m/>
    <m/>
    <m/>
    <m/>
    <m/>
    <m/>
    <m/>
    <m/>
    <m/>
    <m/>
    <m/>
    <m/>
    <m/>
    <n v="0"/>
  </r>
  <r>
    <x v="12"/>
    <x v="40"/>
    <m/>
    <m/>
    <m/>
    <m/>
    <m/>
    <m/>
    <m/>
    <m/>
    <m/>
    <m/>
    <m/>
    <m/>
    <m/>
    <n v="15"/>
    <n v="15"/>
    <m/>
    <m/>
    <m/>
    <m/>
    <m/>
    <m/>
    <m/>
    <n v="30"/>
  </r>
  <r>
    <x v="12"/>
    <x v="41"/>
    <m/>
    <m/>
    <m/>
    <m/>
    <m/>
    <m/>
    <m/>
    <m/>
    <m/>
    <m/>
    <n v="20"/>
    <n v="20"/>
    <m/>
    <n v="20"/>
    <n v="60"/>
    <n v="20"/>
    <n v="20"/>
    <n v="20"/>
    <m/>
    <n v="20"/>
    <m/>
    <n v="10"/>
    <n v="210"/>
  </r>
  <r>
    <x v="12"/>
    <x v="43"/>
    <m/>
    <m/>
    <m/>
    <m/>
    <m/>
    <m/>
    <m/>
    <m/>
    <m/>
    <m/>
    <m/>
    <n v="30"/>
    <m/>
    <m/>
    <n v="30"/>
    <m/>
    <m/>
    <m/>
    <m/>
    <n v="30"/>
    <m/>
    <m/>
    <n v="90"/>
  </r>
  <r>
    <x v="12"/>
    <x v="44"/>
    <m/>
    <m/>
    <m/>
    <m/>
    <m/>
    <m/>
    <m/>
    <m/>
    <m/>
    <m/>
    <m/>
    <m/>
    <m/>
    <m/>
    <m/>
    <m/>
    <m/>
    <m/>
    <m/>
    <m/>
    <m/>
    <m/>
    <n v="0"/>
  </r>
  <r>
    <x v="12"/>
    <x v="45"/>
    <m/>
    <m/>
    <m/>
    <m/>
    <m/>
    <m/>
    <m/>
    <m/>
    <m/>
    <m/>
    <n v="5"/>
    <n v="5"/>
    <m/>
    <n v="8"/>
    <n v="5"/>
    <n v="5"/>
    <n v="5"/>
    <n v="5"/>
    <m/>
    <n v="5"/>
    <m/>
    <n v="1"/>
    <n v="44"/>
  </r>
  <r>
    <x v="12"/>
    <x v="46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91"/>
    <s v=" "/>
    <m/>
    <m/>
    <m/>
    <m/>
    <m/>
    <m/>
    <m/>
    <m/>
    <m/>
    <n v="10"/>
    <n v="10"/>
    <m/>
    <n v="5"/>
    <n v="5"/>
    <n v="10"/>
    <n v="10"/>
    <n v="10"/>
    <m/>
    <n v="10"/>
    <m/>
    <n v="5"/>
    <n v="75"/>
  </r>
  <r>
    <x v="12"/>
    <x v="92"/>
    <s v=" "/>
    <m/>
    <m/>
    <m/>
    <m/>
    <m/>
    <m/>
    <m/>
    <m/>
    <m/>
    <m/>
    <n v="30"/>
    <m/>
    <m/>
    <m/>
    <m/>
    <m/>
    <m/>
    <m/>
    <m/>
    <m/>
    <m/>
    <n v="30"/>
  </r>
  <r>
    <x v="12"/>
    <x v="93"/>
    <s v=" "/>
    <m/>
    <m/>
    <m/>
    <m/>
    <m/>
    <m/>
    <m/>
    <m/>
    <m/>
    <m/>
    <n v="30"/>
    <m/>
    <m/>
    <m/>
    <m/>
    <m/>
    <m/>
    <m/>
    <m/>
    <m/>
    <m/>
    <n v="30"/>
  </r>
  <r>
    <x v="12"/>
    <x v="94"/>
    <s v=" "/>
    <m/>
    <m/>
    <m/>
    <m/>
    <m/>
    <m/>
    <m/>
    <m/>
    <m/>
    <m/>
    <n v="30"/>
    <m/>
    <m/>
    <m/>
    <m/>
    <m/>
    <m/>
    <m/>
    <m/>
    <m/>
    <m/>
    <n v="30"/>
  </r>
  <r>
    <x v="12"/>
    <x v="95"/>
    <s v=" "/>
    <m/>
    <m/>
    <m/>
    <m/>
    <m/>
    <m/>
    <m/>
    <m/>
    <m/>
    <m/>
    <n v="30"/>
    <m/>
    <m/>
    <m/>
    <m/>
    <m/>
    <m/>
    <m/>
    <m/>
    <m/>
    <m/>
    <n v="30"/>
  </r>
  <r>
    <x v="12"/>
    <x v="96"/>
    <s v=" "/>
    <m/>
    <m/>
    <m/>
    <m/>
    <m/>
    <m/>
    <m/>
    <m/>
    <m/>
    <n v="35"/>
    <m/>
    <m/>
    <n v="4"/>
    <n v="31"/>
    <n v="3"/>
    <m/>
    <m/>
    <m/>
    <m/>
    <m/>
    <n v="3"/>
    <n v="76"/>
  </r>
  <r>
    <x v="12"/>
    <x v="97"/>
    <s v=" "/>
    <m/>
    <m/>
    <m/>
    <m/>
    <m/>
    <m/>
    <m/>
    <m/>
    <m/>
    <m/>
    <m/>
    <m/>
    <m/>
    <m/>
    <m/>
    <m/>
    <m/>
    <m/>
    <n v="30"/>
    <m/>
    <m/>
    <n v="30"/>
  </r>
  <r>
    <x v="12"/>
    <x v="98"/>
    <s v=" "/>
    <m/>
    <m/>
    <m/>
    <m/>
    <m/>
    <n v="2"/>
    <n v="6"/>
    <m/>
    <m/>
    <n v="4"/>
    <n v="6"/>
    <n v="12"/>
    <n v="6"/>
    <n v="4"/>
    <n v="4"/>
    <n v="4"/>
    <n v="4"/>
    <n v="6"/>
    <n v="4"/>
    <n v="6"/>
    <n v="2"/>
    <n v="70"/>
  </r>
  <r>
    <x v="12"/>
    <x v="99"/>
    <s v=" "/>
    <m/>
    <m/>
    <m/>
    <m/>
    <m/>
    <m/>
    <m/>
    <m/>
    <m/>
    <m/>
    <m/>
    <m/>
    <n v="15"/>
    <n v="15"/>
    <m/>
    <m/>
    <m/>
    <m/>
    <m/>
    <m/>
    <n v="15"/>
    <n v="45"/>
  </r>
  <r>
    <x v="12"/>
    <x v="100"/>
    <s v=" "/>
    <m/>
    <m/>
    <m/>
    <m/>
    <m/>
    <m/>
    <m/>
    <m/>
    <m/>
    <m/>
    <n v="20"/>
    <m/>
    <m/>
    <m/>
    <m/>
    <n v="5"/>
    <n v="5"/>
    <m/>
    <m/>
    <m/>
    <m/>
    <n v="30"/>
  </r>
  <r>
    <x v="12"/>
    <x v="101"/>
    <s v=" "/>
    <m/>
    <m/>
    <m/>
    <m/>
    <m/>
    <m/>
    <m/>
    <m/>
    <m/>
    <n v="20"/>
    <m/>
    <m/>
    <m/>
    <m/>
    <n v="5"/>
    <m/>
    <n v="5"/>
    <m/>
    <m/>
    <m/>
    <m/>
    <n v="30"/>
  </r>
  <r>
    <x v="12"/>
    <x v="102"/>
    <s v=" "/>
    <m/>
    <m/>
    <m/>
    <m/>
    <m/>
    <m/>
    <m/>
    <m/>
    <m/>
    <m/>
    <m/>
    <m/>
    <m/>
    <m/>
    <n v="5"/>
    <m/>
    <n v="5"/>
    <m/>
    <m/>
    <m/>
    <m/>
    <n v="10"/>
  </r>
  <r>
    <x v="12"/>
    <x v="103"/>
    <s v=" "/>
    <m/>
    <m/>
    <m/>
    <m/>
    <m/>
    <m/>
    <m/>
    <m/>
    <m/>
    <m/>
    <m/>
    <m/>
    <m/>
    <m/>
    <m/>
    <m/>
    <m/>
    <m/>
    <m/>
    <m/>
    <m/>
    <n v="0"/>
  </r>
  <r>
    <x v="12"/>
    <x v="104"/>
    <s v=" "/>
    <m/>
    <m/>
    <m/>
    <m/>
    <m/>
    <m/>
    <m/>
    <m/>
    <m/>
    <m/>
    <m/>
    <m/>
    <m/>
    <m/>
    <m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 rowPageCount="1" colPageCount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axis="axisPage" multipleItemSelectionAllowed="1" showAll="0">
      <items count="64">
        <item m="1" x="57"/>
        <item m="1" x="58"/>
        <item m="1" x="60"/>
        <item m="1" x="55"/>
        <item h="1" x="0"/>
        <item m="1" x="56"/>
        <item m="1" x="62"/>
        <item m="1" x="61"/>
        <item m="1" x="53"/>
        <item m="1" x="54"/>
        <item h="1" m="1" x="59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t="default"/>
      </items>
    </pivotField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4" hier="-1"/>
  </pageFields>
  <dataFields count="4">
    <dataField name="Sum of Quotas" fld="16" baseField="0" baseItem="0"/>
    <dataField name="Sum of Graduates" fld="19" baseField="0" baseItem="0"/>
    <dataField name="Sum of Fail" fld="20" baseField="0" baseItem="0"/>
    <dataField name="Sum of No Shows" fld="21" baseField="0" baseItem="0"/>
  </dataFields>
  <formats count="1">
    <format dxfId="160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FB959A-D80C-4212-86EA-1672B812F437}" name="PivotTable1" cacheId="2" dataOnRows="1" applyNumberFormats="0" applyBorderFormats="0" applyFontFormats="0" applyPatternFormats="0" applyAlignmentFormats="0" applyWidthHeightFormats="1" dataCaption="Course Title" updatedVersion="8" minRefreshableVersion="3" useAutoFormatting="1" itemPrintTitles="1" createdVersion="6" indent="0" outline="1" outlineData="1" multipleFieldFilters="0">
  <location ref="A3:DC26" firstHeaderRow="1" firstDataRow="2" firstDataCol="1" rowPageCount="1" colPageCount="1"/>
  <pivotFields count="25">
    <pivotField axis="axisPage" showAll="0">
      <items count="73"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14"/>
        <item x="0"/>
        <item x="12"/>
        <item t="default"/>
      </items>
    </pivotField>
    <pivotField axis="axisCol" showAll="0">
      <items count="107">
        <item x="58"/>
        <item x="59"/>
        <item x="60"/>
        <item x="61"/>
        <item x="62"/>
        <item x="63"/>
        <item x="1"/>
        <item x="2"/>
        <item x="3"/>
        <item x="4"/>
        <item x="5"/>
        <item x="6"/>
        <item x="8"/>
        <item x="64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5"/>
        <item x="26"/>
        <item x="65"/>
        <item x="27"/>
        <item x="28"/>
        <item x="29"/>
        <item x="30"/>
        <item x="31"/>
        <item x="32"/>
        <item x="33"/>
        <item x="34"/>
        <item x="66"/>
        <item x="36"/>
        <item x="37"/>
        <item x="38"/>
        <item x="39"/>
        <item x="40"/>
        <item x="41"/>
        <item x="43"/>
        <item x="44"/>
        <item x="45"/>
        <item x="46"/>
        <item x="35"/>
        <item x="42"/>
        <item x="7"/>
        <item x="0"/>
        <item x="24"/>
        <item x="20"/>
        <item x="47"/>
        <item x="48"/>
        <item x="49"/>
        <item x="50"/>
        <item x="51"/>
        <item x="52"/>
        <item x="53"/>
        <item x="54"/>
        <item x="55"/>
        <item x="56"/>
        <item x="57"/>
        <item m="1" x="10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Fields count="1">
    <field x="1"/>
  </colFields>
  <col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colItems>
  <pageFields count="1">
    <pageField fld="0" hier="-1"/>
  </pageFields>
  <dataFields count="22">
    <dataField name="Sum of Asbestos Inspector" fld="2" baseField="1" baseItem="0"/>
    <dataField name="Sum of Asbestos Inspector Refresher" fld="3" baseField="1" baseItem="0"/>
    <dataField name="Sum of Asbestos Management Planner" fld="4" baseField="0" baseItem="0"/>
    <dataField name="Sum of Asbestos Management Planner Refresher" fld="5" baseField="0" baseItem="0"/>
    <dataField name="Sum of Asbestos Supervisor Initial" fld="6" baseField="0" baseItem="0"/>
    <dataField name="Sum of Asbestos Supervisor Refresher" fld="7" baseField="0" baseItem="0"/>
    <dataField name="Sum of Competent Person for Fall Protection Course" fld="8" baseField="0" baseItem="0"/>
    <dataField name="Sum of Confined Space Safety " fld="9" baseField="0" baseItem="0"/>
    <dataField name="Sum of Construction Safety Standards" fld="10" baseField="0" baseItem="0"/>
    <dataField name="Sum of Emergency Asbestos Response Team" fld="11" baseField="0" baseItem="0"/>
    <dataField name="Sum of Facility Response Team Five Day" fld="12" baseField="0" baseItem="0"/>
    <dataField name="Sum of Facility Response Team Three Day" fld="13" baseField="0" baseItem="0"/>
    <dataField name="Sum of Hazardous Substance Incident Response Management" fld="15" baseField="0" baseItem="0"/>
    <dataField name="Sum of Fire Protection &amp; Life Safety" fld="14" baseField="0" baseItem="0"/>
    <dataField name="Sum of Hazardous Substance Incident Response Management  Refresher" fld="16" baseField="0" baseItem="0"/>
    <dataField name="Sum of Incident Command System 300 " fld="17" baseField="0" baseItem="0"/>
    <dataField name="Sum of Incident Command System 300 Refresher" fld="18" baseField="0" baseItem="0"/>
    <dataField name="Sum of Incident Command System 400 " fld="19" baseField="0" baseItem="0"/>
    <dataField name="Sum of Industrial Noise and Hearing Conservation Program" fld="20" baseField="0" baseItem="0"/>
    <dataField name="Sum of Oil Hazardous Substance Spill Response Tabletop Exercise " fld="21" baseField="0" baseItem="0"/>
    <dataField name="Sum of Respiratory Protection Program Management" fld="22" baseField="0" baseItem="0"/>
    <dataField name="Sum of Tank Managers Course" fld="23" baseField="0" baseItem="0"/>
  </dataFields>
  <formats count="38">
    <format dxfId="1395">
      <pivotArea field="-2" type="button" dataOnly="0" labelOnly="1" outline="0" axis="axisRow" fieldPosition="0"/>
    </format>
    <format dxfId="1394">
      <pivotArea dataOnly="0" labelOnly="1" fieldPosition="0">
        <references count="1">
          <reference field="1" count="0"/>
        </references>
      </pivotArea>
    </format>
    <format dxfId="1393">
      <pivotArea dataOnly="0" labelOnly="1" grandCol="1" outline="0" fieldPosition="0"/>
    </format>
    <format dxfId="1392">
      <pivotArea field="-2" type="button" dataOnly="0" labelOnly="1" outline="0" axis="axisRow" fieldPosition="0"/>
    </format>
    <format dxfId="1391">
      <pivotArea field="-2" type="button" dataOnly="0" labelOnly="1" outline="0" axis="axisRow" fieldPosition="0"/>
    </format>
    <format dxfId="1390">
      <pivotArea field="-2" type="button" dataOnly="0" labelOnly="1" outline="0" axis="axisRow" fieldPosition="0"/>
    </format>
    <format dxfId="1389">
      <pivotArea grandCol="1" outline="0" collapsedLevelsAreSubtotals="1" fieldPosition="0"/>
    </format>
    <format dxfId="1388">
      <pivotArea dataOnly="0" labelOnly="1" grandCol="1" outline="0" fieldPosition="0"/>
    </format>
    <format dxfId="1387">
      <pivotArea grandCol="1" outline="0" collapsedLevelsAreSubtotals="1" fieldPosition="0"/>
    </format>
    <format dxfId="1386">
      <pivotArea dataOnly="0" labelOnly="1" grandCol="1" outline="0" fieldPosition="0"/>
    </format>
    <format dxfId="1385">
      <pivotArea grandCol="1" outline="0" collapsedLevelsAreSubtotals="1" fieldPosition="0"/>
    </format>
    <format dxfId="1384">
      <pivotArea dataOnly="0" labelOnly="1" grandCol="1" outline="0" fieldPosition="0"/>
    </format>
    <format dxfId="1383">
      <pivotArea grandCol="1" outline="0" collapsedLevelsAreSubtotals="1" fieldPosition="0"/>
    </format>
    <format dxfId="1382">
      <pivotArea dataOnly="0" labelOnly="1" grandCol="1" outline="0" fieldPosition="0"/>
    </format>
    <format dxfId="1381">
      <pivotArea dataOnly="0" labelOnly="1" fieldPosition="0">
        <references count="1">
          <reference field="1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380">
      <pivotArea outline="0" collapsedLevelsAreSubtotals="1" fieldPosition="0">
        <references count="1">
          <reference field="1" count="0" selected="0"/>
        </references>
      </pivotArea>
    </format>
    <format dxfId="1379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378">
      <pivotArea grandCol="1" outline="0" collapsedLevelsAreSubtotals="1" fieldPosition="0"/>
    </format>
    <format dxfId="1377">
      <pivotArea dataOnly="0" labelOnly="1" grandCol="1" outline="0" fieldPosition="0"/>
    </format>
    <format dxfId="1376">
      <pivotArea dataOnly="0" labelOnly="1" fieldPosition="0">
        <references count="1">
          <reference field="1" count="5">
            <x v="45"/>
            <x v="46"/>
            <x v="47"/>
            <x v="48"/>
            <x v="49"/>
          </reference>
        </references>
      </pivotArea>
    </format>
    <format dxfId="1375">
      <pivotArea grandCol="1" outline="0" collapsedLevelsAreSubtotals="1" fieldPosition="0"/>
    </format>
    <format dxfId="1374">
      <pivotArea dataOnly="0" labelOnly="1" grandCol="1" outline="0" fieldPosition="0"/>
    </format>
    <format dxfId="1373">
      <pivotArea dataOnly="0" labelOnly="1" fieldPosition="0">
        <references count="1">
          <reference field="1" count="4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372">
      <pivotArea collapsedLevelsAreSubtotals="1" fieldPosition="0">
        <references count="1">
          <reference field="4294967294" count="1">
            <x v="6"/>
          </reference>
        </references>
      </pivotArea>
    </format>
    <format dxfId="137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70">
      <pivotArea dataOnly="0" outline="0" fieldPosition="0">
        <references count="1">
          <reference field="4294967294" count="1">
            <x v="14"/>
          </reference>
        </references>
      </pivotArea>
    </format>
    <format dxfId="1369">
      <pivotArea dataOnly="0" outline="0" fieldPosition="0">
        <references count="1">
          <reference field="4294967294" count="1">
            <x v="12"/>
          </reference>
        </references>
      </pivotArea>
    </format>
    <format dxfId="1368">
      <pivotArea collapsedLevelsAreSubtotals="1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367">
      <pivotArea dataOnly="0" labelOnly="1" outline="0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366">
      <pivotArea collapsedLevelsAreSubtotals="1" fieldPosition="0">
        <references count="1">
          <reference field="4294967294" count="1">
            <x v="9"/>
          </reference>
        </references>
      </pivotArea>
    </format>
    <format dxfId="136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364">
      <pivotArea collapsedLevelsAreSubtotals="1" fieldPosition="0">
        <references count="1">
          <reference field="4294967294" count="3">
            <x v="12"/>
            <x v="13"/>
            <x v="14"/>
          </reference>
        </references>
      </pivotArea>
    </format>
    <format dxfId="136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362">
      <pivotArea collapsedLevelsAreSubtotals="1" fieldPosition="0">
        <references count="1">
          <reference field="4294967294" count="2">
            <x v="10"/>
            <x v="11"/>
          </reference>
        </references>
      </pivotArea>
    </format>
    <format dxfId="1361">
      <pivotArea dataOnly="0" labelOnly="1" outline="0" fieldPosition="0">
        <references count="1">
          <reference field="4294967294" count="2">
            <x v="10"/>
            <x v="11"/>
          </reference>
        </references>
      </pivotArea>
    </format>
    <format dxfId="1360">
      <pivotArea dataOnly="0" labelOnly="1" fieldPosition="0">
        <references count="1">
          <reference field="1" count="1">
            <x v="27"/>
          </reference>
        </references>
      </pivotArea>
    </format>
    <format dxfId="1359">
      <pivotArea dataOnly="0" labelOnly="1" fieldPosition="0">
        <references count="1">
          <reference field="1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1358">
      <pivotArea dataOnly="0" labelOnly="1" fieldPosition="0">
        <references count="1">
          <reference field="1" count="11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0F99F6-732A-4D22-BC96-8864BF28522F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G21" firstHeaderRow="0" firstDataRow="1" firstDataCol="1" rowPageCount="1" colPageCount="1"/>
  <pivotFields count="8">
    <pivotField axis="axisPage" multipleItemSelectionAllowed="1" showAll="0" defaultSubtotal="0">
      <items count="13">
        <item x="1"/>
        <item x="2"/>
        <item x="3"/>
        <item x="4"/>
        <item x="5"/>
        <item x="6"/>
        <item x="7"/>
        <item x="8"/>
        <item x="9"/>
        <item x="10"/>
        <item x="11"/>
        <item x="0"/>
        <item x="12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 (Arabian Standard Time)" fld="2" baseField="0" baseItem="0"/>
    <dataField name="Sum of CET/CEST (Central European Standard Time)" fld="3" baseField="0" baseItem="0"/>
    <dataField name="Sum of EST/EDT (Eastern Standard Time)" fld="4" baseField="0" baseItem="0"/>
    <dataField name="Sum of HST (Hawaii Standard Time)" fld="5" baseField="0" baseItem="0"/>
    <dataField name="Sum of JST (Japan Standard Time)" fld="6" baseField="0" baseItem="0"/>
    <dataField name="Sum of PST/PDT (Pacific Standard Time)" fld="7" baseField="0" baseItem="0"/>
  </dataFields>
  <formats count="17">
    <format dxfId="1357">
      <pivotArea type="all" dataOnly="0" outline="0" fieldPosition="0"/>
    </format>
    <format dxfId="1356">
      <pivotArea outline="0" collapsedLevelsAreSubtotals="1" fieldPosition="0"/>
    </format>
    <format dxfId="1355">
      <pivotArea field="1" type="button" dataOnly="0" labelOnly="1" outline="0" axis="axisRow" fieldPosition="0"/>
    </format>
    <format dxfId="1354">
      <pivotArea field="1" type="button" dataOnly="0" labelOnly="1" outline="0" axis="axisRow" fieldPosition="0"/>
    </format>
    <format dxfId="1353">
      <pivotArea field="1" type="button" dataOnly="0" labelOnly="1" outline="0" axis="axisRow" fieldPosition="0"/>
    </format>
    <format dxfId="135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51">
      <pivotArea field="1" type="button" dataOnly="0" labelOnly="1" outline="0" axis="axisRow" fieldPosition="0"/>
    </format>
    <format dxfId="135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9">
      <pivotArea field="1" type="button" dataOnly="0" labelOnly="1" outline="0" axis="axisRow" fieldPosition="0"/>
    </format>
    <format dxfId="134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7">
      <pivotArea field="1" type="button" dataOnly="0" labelOnly="1" outline="0" axis="axisRow" fieldPosition="0"/>
    </format>
    <format dxfId="134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5">
      <pivotArea field="1" type="button" dataOnly="0" labelOnly="1" outline="0" axis="axisRow" fieldPosition="0"/>
    </format>
    <format dxfId="134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3">
      <pivotArea field="1" type="button" dataOnly="0" labelOnly="1" outline="0" axis="axisRow" fieldPosition="0"/>
    </format>
    <format dxfId="13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3112" displayName="Table3112" ref="B5:N43" headerRowDxfId="1634" dataDxfId="1633" totalsRowDxfId="1631" tableBorderDxfId="1632" totalsRowBorderDxfId="1630">
  <autoFilter ref="B5:N43" xr:uid="{00000000-0009-0000-0100-000001000000}"/>
  <sortState xmlns:xlrd2="http://schemas.microsoft.com/office/spreadsheetml/2017/richdata2" ref="B6:Y41">
    <sortCondition ref="D4:D40"/>
  </sortState>
  <tableColumns count="13">
    <tableColumn id="1" xr3:uid="{00000000-0010-0000-0400-000001000000}" name="Courses - Planned vs Need (Active Courses)" totalsRowLabel="Total" dataDxfId="1629" totalsRowDxfId="1628"/>
    <tableColumn id="2" xr3:uid="{00000000-0010-0000-0400-000002000000}" name="CTR" dataDxfId="1627" totalsRowDxfId="1626"/>
    <tableColumn id="3" xr3:uid="{00000000-0010-0000-0400-000003000000}" name="Dept" dataDxfId="1625" totalsRowDxfId="1624"/>
    <tableColumn id="4" xr3:uid="{00000000-0010-0000-0400-000004000000}" name="Course Offerings Todate" totalsRowFunction="sum" dataDxfId="1623" totalsRowDxfId="1622">
      <calculatedColumnFormula>COUNTIFS(Table2[Course Title],Table3112[[#This Row],[Courses - Planned vs Need (Active Courses)]],Table2[Remaining Courses],"0")</calculatedColumnFormula>
    </tableColumn>
    <tableColumn id="5" xr3:uid="{00000000-0010-0000-0400-000005000000}" name="Online" totalsRowFunction="sum" dataDxfId="1621" totalsRowDxfId="1620">
      <calculatedColumnFormula>COUNTIFS(Table2[Course Title],Table3112[[#This Row],[Courses - Planned vs Need (Active Courses)]],Table2[Location],"Global Online",Table2[Remaining Courses],"0")</calculatedColumnFormula>
    </tableColumn>
    <tableColumn id="6" xr3:uid="{00000000-0010-0000-0400-000006000000}" name="Resident" totalsRowFunction="sum" dataDxfId="1619" totalsRowDxfId="1618">
      <calculatedColumnFormula>Table3112[[#This Row],[Course Offerings Todate]]-Table3112[[#This Row],[Online]]</calculatedColumnFormula>
    </tableColumn>
    <tableColumn id="14" xr3:uid="{00000000-0010-0000-0400-00000E000000}" name="Quotas Per Convening" dataDxfId="1617" totalsRowDxfId="1616"/>
    <tableColumn id="9" xr3:uid="{00000000-0010-0000-0400-000009000000}" name="Quotas Provided" dataDxfId="1615" totalsRowDxfId="1614">
      <calculatedColumnFormula>Table3112[[#This Row],[Course Offerings Todate]]*Table3112[[#This Row],[Quotas Per Convening]]</calculatedColumnFormula>
    </tableColumn>
    <tableColumn id="13" xr3:uid="{00000000-0010-0000-0400-00000D000000}" name="Quotas Used" dataDxfId="1613" totalsRowDxfId="1612">
      <calculatedColumnFormula>SUM(Table3112[[#This Row],[Total Grads]]+Table3112[[#This Row],[Fails]]+Table3112[[#This Row],[No Shows]])</calculatedColumnFormula>
    </tableColumn>
    <tableColumn id="10" xr3:uid="{00000000-0010-0000-0400-00000A000000}" name="Total Grads" totalsRowFunction="sum" dataDxfId="1611" totalsRowDxfId="1610">
      <calculatedColumnFormula>SUMIF(Table2[Course Title],Table3112[[#This Row],[Courses - Planned vs Need (Active Courses)]],Table2[Graduates])</calculatedColumnFormula>
    </tableColumn>
    <tableColumn id="7" xr3:uid="{00000000-0010-0000-0400-000007000000}" name="Fails" dataDxfId="1609" totalsRowDxfId="1608">
      <calculatedColumnFormula>SUMIF(Table2[Course Title],Table3112[[#This Row],[Courses - Planned vs Need (Active Courses)]],Table2[Fail])</calculatedColumnFormula>
    </tableColumn>
    <tableColumn id="11" xr3:uid="{00000000-0010-0000-0400-00000B000000}" name="No Shows" totalsRowFunction="sum" dataDxfId="1607">
      <calculatedColumnFormula>SUMIF(Table2[Course Title],Table3112[[#This Row],[Courses - Planned vs Need (Active Courses)]],Table2[No Shows])</calculatedColumnFormula>
    </tableColumn>
    <tableColumn id="12" xr3:uid="{00000000-0010-0000-0400-00000C000000}" name="Walk-ins" totalsRowFunction="sum" dataDxfId="1606">
      <calculatedColumnFormula>SUMIF(Table2[Course Title],Table3112[[#This Row],[Courses - Planned vs Need (Active Courses)]],Table2[Walk-ins])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311" displayName="Table311" ref="B4:AA41" headerRowDxfId="1604" dataDxfId="1603" totalsRowDxfId="1601" tableBorderDxfId="1602" totalsRowBorderDxfId="1600">
  <autoFilter ref="B4:AA41" xr:uid="{00000000-0009-0000-0100-00000A000000}"/>
  <sortState xmlns:xlrd2="http://schemas.microsoft.com/office/spreadsheetml/2017/richdata2" ref="B5:AA41">
    <sortCondition ref="B4:B41"/>
  </sortState>
  <tableColumns count="26">
    <tableColumn id="1" xr3:uid="{00000000-0010-0000-0300-000001000000}" name="Courses - Planned vs Need (Active Courses)" totalsRowLabel="Total" dataDxfId="1599" totalsRowDxfId="1598"/>
    <tableColumn id="2" xr3:uid="{00000000-0010-0000-0300-000002000000}" name="CTR" dataDxfId="1597" totalsRowDxfId="1596"/>
    <tableColumn id="3" xr3:uid="{00000000-0010-0000-0300-000003000000}" name="Dept" dataDxfId="1595" totalsRowDxfId="1594"/>
    <tableColumn id="4" xr3:uid="{00000000-0010-0000-0300-000004000000}" name="Course Offerings" totalsRowFunction="sum" dataDxfId="1593" totalsRowDxfId="1592">
      <calculatedColumnFormula>COUNTIF(Table2[Course Title],Table311[[#This Row],[Courses - Planned vs Need (Active Courses)]])</calculatedColumnFormula>
    </tableColumn>
    <tableColumn id="5" xr3:uid="{00000000-0010-0000-0300-000005000000}" name="Quota per Offering" totalsRowFunction="sum" dataDxfId="1591" totalsRowDxfId="1590"/>
    <tableColumn id="6" xr3:uid="{00000000-0010-0000-0300-000006000000}" name="Planned Quotas" totalsRowFunction="sum" dataDxfId="1589" totalsRowDxfId="1588">
      <calculatedColumnFormula>Table311[[#This Row],[Course Offerings]]*Table311[[#This Row],[Quota per Offering]]</calculatedColumnFormula>
    </tableColumn>
    <tableColumn id="7" xr3:uid="{00000000-0010-0000-0300-000007000000}" name="Fleet Quota Need" totalsRowFunction="sum" dataDxfId="1587"/>
    <tableColumn id="8" xr3:uid="{00000000-0010-0000-0300-000008000000}" name="Difference" totalsRowFunction="sum" dataDxfId="1586" totalsRowDxfId="1585">
      <calculatedColumnFormula>SUM(G5-H5)</calculatedColumnFormula>
    </tableColumn>
    <tableColumn id="9" xr3:uid="{00000000-0010-0000-0300-000009000000}" name="%" totalsRowFunction="average" dataDxfId="1584" totalsRowDxfId="1583" dataCellStyle="Percent">
      <calculatedColumnFormula>SUM(G5/H5)</calculatedColumnFormula>
    </tableColumn>
    <tableColumn id="10" xr3:uid="{00000000-0010-0000-0300-00000A000000}" name="Total Grads" totalsRowFunction="sum" dataDxfId="1582" totalsRowDxfId="1581">
      <calculatedColumnFormula>SUMIF(Table2[Course Title],Table311[[#This Row],[Courses - Planned vs Need (Active Courses)]],Table2[Graduates])</calculatedColumnFormula>
    </tableColumn>
    <tableColumn id="22" xr3:uid="{28CA42B6-D4D4-43E5-B7D1-ED8C085ACFF6}" name="Total Registered" dataDxfId="1580" totalsRowDxfId="1579">
      <calculatedColumnFormula>SUMIF(Table2[Course Title],Table311[[#This Row],[Courses - Planned vs Need (Active Courses)]],Table2[Registered])</calculatedColumnFormula>
    </tableColumn>
    <tableColumn id="25" xr3:uid="{0C2E10DF-0E69-47FB-9063-74F8200FB154}" name="Total Waitlisted" dataDxfId="1578" totalsRowDxfId="1577">
      <calculatedColumnFormula>SUMIF(Table2[Course Title],Table311[[#This Row],[Courses - Planned vs Need (Active Courses)]],Table2[Waitlisted])</calculatedColumnFormula>
    </tableColumn>
    <tableColumn id="26" xr3:uid="{D9C2BAD8-88E1-4594-B8B1-60C41F062128}" name="Total Walk-in" dataDxfId="1576" totalsRowDxfId="1575">
      <calculatedColumnFormula>SUMIF(Table2[Course Title],Table311[[#This Row],[Courses - Planned vs Need (Active Courses)]],Table2[Walk-ins])</calculatedColumnFormula>
    </tableColumn>
    <tableColumn id="11" xr3:uid="{00000000-0010-0000-0300-00000B000000}" name="No Shows" totalsRowFunction="sum" dataDxfId="1574">
      <calculatedColumnFormula>SUMIF(Table2[Course Title],Table311[[#This Row],[Courses - Planned vs Need (Active Courses)]],Table2[No Shows])</calculatedColumnFormula>
    </tableColumn>
    <tableColumn id="12" xr3:uid="{00000000-0010-0000-0300-00000C000000}" name="To date quotas unused (Open quotas+ no shows)" totalsRowFunction="sum" dataDxfId="1573">
      <calculatedColumnFormula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calculatedColumnFormula>
    </tableColumn>
    <tableColumn id="20" xr3:uid="{00000000-0010-0000-0300-000014000000}" name="Sunk Courses due to unused quotas todate" dataDxfId="1572">
      <calculatedColumnFormula>ROUNDDOWN(Table311[[#This Row],[To date quotas unused (Open quotas+ no shows)]]/Table311[[#This Row],[Quota per Offering]],0)</calculatedColumnFormula>
    </tableColumn>
    <tableColumn id="13" xr3:uid="{00000000-0010-0000-0300-00000D000000}" name="Grads needed this FY towards planned quotas" totalsRowFunction="sum" dataDxfId="1571" totalsRowDxfId="1570">
      <calculatedColumnFormula>SUM(G5-K5)</calculatedColumnFormula>
    </tableColumn>
    <tableColumn id="14" xr3:uid="{00000000-0010-0000-0300-00000E000000}" name="# of course completion reports to be processed" totalsRowFunction="sum" dataDxfId="1569" totalsRowDxfId="1568">
      <calculatedColumnFormula>COUNTIFS(Table2[Course Title],Table311[[#This Row],[Courses - Planned vs Need (Active Courses)]],Table2[Roster Status],"1",Table2[Remaining Courses],"0")</calculatedColumnFormula>
    </tableColumn>
    <tableColumn id="15" xr3:uid="{00000000-0010-0000-0300-00000F000000}" name="# of courses remaining" totalsRowFunction="sum" dataDxfId="1567" totalsRowDxfId="1566">
      <calculatedColumnFormula>COUNTIFS(Table2[Course Title],Table311[[#This Row],[Courses - Planned vs Need (Active Courses)]],Table2[Remaining Courses],"1")</calculatedColumnFormula>
    </tableColumn>
    <tableColumn id="16" xr3:uid="{00000000-0010-0000-0300-000010000000}" name="To date % of graduates towards Fleet Need" totalsRowFunction="average" dataDxfId="1565" totalsRowDxfId="1564" dataCellStyle="Percent">
      <calculatedColumnFormula>SUM(K5/H5)</calculatedColumnFormula>
    </tableColumn>
    <tableColumn id="23" xr3:uid="{00000000-0010-0000-0300-000017000000}" name="% of available quotas used" totalsRowFunction="custom" dataDxfId="1563" totalsRowDxfId="1562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300-000015000000}" name="% of available quotas used counting in no shows" dataDxfId="1561" totalsRowDxfId="1560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4" xr3:uid="{00000000-0010-0000-0300-000018000000}" name="Remaining Open Quotas FY25 QTR 1" dataDxfId="1559" totalsRowDxfId="1558" dataCellStyle="Percent"/>
    <tableColumn id="17" xr3:uid="{00000000-0010-0000-0300-000011000000}" name="# of additional grads if all quotas are filled of course results remaining to be processed" totalsRowFunction="sum" dataDxfId="1557" totalsRowDxfId="1556">
      <calculatedColumnFormula>SUM(S5,T5)*F5</calculatedColumnFormula>
    </tableColumn>
    <tableColumn id="18" xr3:uid="{00000000-0010-0000-0300-000012000000}" name="Difference between completed and fleet need of completed, potentially remaining quotas, and processed courses" totalsRowFunction="sum" dataDxfId="1555" totalsRowDxfId="1554">
      <calculatedColumnFormula>Table311[[#This Row],[Fleet Quota Need]]-Table311[[#This Row],[Total Grads]]</calculatedColumnFormula>
    </tableColumn>
    <tableColumn id="19" xr3:uid="{00000000-0010-0000-0300-000013000000}" name="Comments" dataDxfId="1553" totalsRowDxfId="155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A3:AE544" totalsRowCount="1" headerRowDxfId="1551" dataDxfId="1549" totalsRowDxfId="1548" headerRowBorderDxfId="1550">
  <autoFilter ref="A3:AE543" xr:uid="{00000000-0009-0000-0100-000002000000}"/>
  <sortState xmlns:xlrd2="http://schemas.microsoft.com/office/spreadsheetml/2017/richdata2" ref="A4:AE543">
    <sortCondition ref="F3:F543"/>
  </sortState>
  <tableColumns count="31">
    <tableColumn id="1" xr3:uid="{00000000-0010-0000-0500-000001000000}" name="Comments" totalsRowLabel="Total" dataDxfId="1547" totalsRowDxfId="1546"/>
    <tableColumn id="2" xr3:uid="{00000000-0010-0000-0500-000002000000}" name="Course Title" totalsRowFunction="count" dataDxfId="1545" totalsRowDxfId="1544"/>
    <tableColumn id="3" xr3:uid="{00000000-0010-0000-0500-000003000000}" name="CIN" dataDxfId="1543" totalsRowDxfId="1542">
      <calculatedColumnFormula>VLOOKUP(Table2[[#This Row],[Course Title]],'TSD-Data'!$A$1:$E$56,2,FALSE)</calculatedColumnFormula>
    </tableColumn>
    <tableColumn id="4" xr3:uid="{00000000-0010-0000-0500-000004000000}" name="CDP " dataDxfId="1541" totalsRowDxfId="1540">
      <calculatedColumnFormula>VLOOKUP(Table2[[#This Row],[Course Title]],'TSD-Data'!$A$1:$E$56,3,FALSE)</calculatedColumnFormula>
    </tableColumn>
    <tableColumn id="5" xr3:uid="{00000000-0010-0000-0500-000005000000}" name="Location" dataDxfId="1539" totalsRowDxfId="1538"/>
    <tableColumn id="6" xr3:uid="{00000000-0010-0000-0500-000006000000}" name="Start Date" dataDxfId="1537" totalsRowDxfId="1536"/>
    <tableColumn id="7" xr3:uid="{00000000-0010-0000-0500-000007000000}" name="End Date" dataDxfId="1535" totalsRowDxfId="1534"/>
    <tableColumn id="26" xr3:uid="{00000000-0010-0000-0500-00001A000000}" name="Resident Local Start Time of location" dataDxfId="1533" totalsRowDxfId="1532"/>
    <tableColumn id="32" xr3:uid="{00000000-0010-0000-0500-000020000000}" name="EST/EDT Local Live Session Start Time " dataDxfId="1531" totalsRowDxfId="1530"/>
    <tableColumn id="28" xr3:uid="{00000000-0010-0000-0500-00001C000000}" name="PST/PDT Local Live Session Start Time " dataDxfId="1529" totalsRowDxfId="1528"/>
    <tableColumn id="29" xr3:uid="{00000000-0010-0000-0500-00001D000000}" name="AST Local Live Session Start Time " dataDxfId="1527" totalsRowDxfId="1526"/>
    <tableColumn id="30" xr3:uid="{00000000-0010-0000-0500-00001E000000}" name="CET/CEST Local Live Session Start Time " dataDxfId="1525" totalsRowDxfId="1524"/>
    <tableColumn id="27" xr3:uid="{00000000-0010-0000-0500-00001B000000}" name="HST Local Live Session Start Time " dataDxfId="1523" totalsRowDxfId="1522"/>
    <tableColumn id="31" xr3:uid="{00000000-0010-0000-0500-00001F000000}" name="JST Local Live Session Start Time " dataDxfId="1521" totalsRowDxfId="1520"/>
    <tableColumn id="8" xr3:uid="{00000000-0010-0000-0500-000008000000}" name="Primary Instructor" dataDxfId="1519" totalsRowDxfId="1518"/>
    <tableColumn id="9" xr3:uid="{00000000-0010-0000-0500-000009000000}" name="Instructor 2" dataDxfId="1517" totalsRowDxfId="1516"/>
    <tableColumn id="22" xr3:uid="{00000000-0010-0000-0500-000016000000}" name="Quotas" totalsRowFunction="custom" dataDxfId="1515" totalsRowDxfId="1514">
      <calculatedColumnFormula>VLOOKUP(Table2[[#This Row],[Course Title]],'TSD-Data'!$A$1:$E$56,4,FALSE)</calculatedColumnFormula>
      <totalsRowFormula>SUBTOTAL(109,Q4:Q543)</totalsRowFormula>
    </tableColumn>
    <tableColumn id="11" xr3:uid="{00000000-0010-0000-0500-00000B000000}" name="Course Length (Hours)" totalsRowFunction="sum" dataDxfId="1513" totalsRowDxfId="1512">
      <calculatedColumnFormula>VLOOKUP(Table2[[#This Row],[Course Title]],'TSD-Data'!$A$1:$F$53,6,FALSE)</calculatedColumnFormula>
    </tableColumn>
    <tableColumn id="10" xr3:uid="{00000000-0010-0000-0500-00000A000000}" name="Course Length (Days)" totalsRowFunction="sum" dataDxfId="1511" totalsRowDxfId="1510">
      <calculatedColumnFormula>VLOOKUP(Table2[[#This Row],[Course Title]],'TSD-Data'!$A$1:$E$56,5,FALSE)</calculatedColumnFormula>
    </tableColumn>
    <tableColumn id="12" xr3:uid="{21BFFE1C-0DFD-4247-9F4C-40FE9E4167CB}" name="FY25 Need" dataDxfId="1509" totalsRowDxfId="1508"/>
    <tableColumn id="13" xr3:uid="{A721A77A-8D69-4276-9351-50C0DE5E1918}" name="Registered" dataDxfId="1507" totalsRowDxfId="1506"/>
    <tableColumn id="14" xr3:uid="{59F4F846-4AAC-4B1E-BACA-9E42603D1953}" name="Waitlisted" dataDxfId="1505" totalsRowDxfId="1504"/>
    <tableColumn id="16" xr3:uid="{00000000-0010-0000-0500-000010000000}" name="Graduates" totalsRowFunction="custom" dataDxfId="1503" totalsRowDxfId="1502">
      <totalsRowFormula>SUBTOTAL(109,W4:W543)</totalsRowFormula>
    </tableColumn>
    <tableColumn id="17" xr3:uid="{00000000-0010-0000-0500-000011000000}" name="Fail" totalsRowFunction="custom" dataDxfId="1501" totalsRowDxfId="1500">
      <totalsRowFormula>SUBTOTAL(109,X4:X543)</totalsRowFormula>
    </tableColumn>
    <tableColumn id="18" xr3:uid="{00000000-0010-0000-0500-000012000000}" name="No Shows" totalsRowFunction="custom" dataDxfId="1499" totalsRowDxfId="1498">
      <totalsRowFormula>SUBTOTAL(109,Y4:Y543)</totalsRowFormula>
    </tableColumn>
    <tableColumn id="19" xr3:uid="{00000000-0010-0000-0500-000013000000}" name="Walk-ins" totalsRowFunction="custom" dataDxfId="1497" totalsRowDxfId="1496">
      <totalsRowFormula>SUBTOTAL(109,Z4:Z543)</totalsRowFormula>
    </tableColumn>
    <tableColumn id="20" xr3:uid="{00000000-0010-0000-0500-000014000000}" name="Foreign Grads" totalsRowFunction="custom" dataDxfId="1495" totalsRowDxfId="1494">
      <totalsRowFormula>SUBTOTAL(109,AA4:AA543)</totalsRowFormula>
    </tableColumn>
    <tableColumn id="21" xr3:uid="{00000000-0010-0000-0500-000015000000}" name="Roster Received By" totalsRowFunction="count" dataDxfId="1493" totalsRowDxfId="1492"/>
    <tableColumn id="23" xr3:uid="{00000000-0010-0000-0500-000017000000}" name="Roster Due" dataDxfId="1491" totalsRowDxfId="1490">
      <calculatedColumnFormula>Table2[[#This Row],[End Date]]+2-TODAY()</calculatedColumnFormula>
    </tableColumn>
    <tableColumn id="24" xr3:uid="{00000000-0010-0000-0500-000018000000}" name="Roster Status" dataDxfId="1489" totalsRowDxfId="1488">
      <calculatedColumnFormula>IF(ISBLANK(Table2[[#This Row],[Roster Received By]]),1,0)</calculatedColumnFormula>
    </tableColumn>
    <tableColumn id="25" xr3:uid="{00000000-0010-0000-0500-000019000000}" name="Remaining Courses" dataDxfId="1487" totalsRowDxfId="1486">
      <calculatedColumnFormula>IF(Table2[[#This Row],[Start Date]]&gt;TODAY(),1,)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A3118E-C2FF-4301-80AC-51741D84EF66}" name="Table1" displayName="Table1" ref="A1:AP41" totalsRowCount="1" headerRowDxfId="1485" dataDxfId="1483" totalsRowDxfId="1481" headerRowBorderDxfId="1484" tableBorderDxfId="1482" totalsRowBorderDxfId="1480">
  <autoFilter ref="A1:AP40" xr:uid="{00000000-0009-0000-0100-000001000000}">
    <filterColumn colId="0">
      <filters>
        <filter val="Introduction to Naval Safety and Occupational Health Global Online"/>
      </filters>
    </filterColumn>
  </autoFilter>
  <sortState xmlns:xlrd2="http://schemas.microsoft.com/office/spreadsheetml/2017/richdata2" ref="A2:AP40">
    <sortCondition descending="1" ref="W1:W40"/>
  </sortState>
  <tableColumns count="42">
    <tableColumn id="1" xr3:uid="{17E9A491-F303-46D4-9626-F5789E74EBFB}" name="Course" totalsRowLabel="Total" dataDxfId="1479" totalsRowDxfId="1478"/>
    <tableColumn id="21" xr3:uid="{3F408FA1-84CA-42B4-A66B-4E83441F94CF}" name="Dept" dataDxfId="1477" totalsRowDxfId="1476"/>
    <tableColumn id="8" xr3:uid="{75B0462F-FC99-42B5-A144-1224EC3CF5C3}" name="Format" dataDxfId="1475" totalsRowDxfId="1474"/>
    <tableColumn id="2" xr3:uid="{8D1CDBB7-A68E-4656-A962-8E9287C0A615}" name="CIN" dataDxfId="1473" totalsRowDxfId="1472"/>
    <tableColumn id="3" xr3:uid="{F98863FC-AF15-45C1-92B9-3093E66B905B}" name="CDP" dataDxfId="1471" totalsRowDxfId="1470"/>
    <tableColumn id="4" xr3:uid="{C5D9D349-2578-4E82-BA6C-B850B83DD352}" name="FY25 FLT Quota Need" totalsRowFunction="custom" dataDxfId="1469" totalsRowDxfId="1468">
      <totalsRowFormula>SUBTOTAL(109,F2:F40)</totalsRowFormula>
    </tableColumn>
    <tableColumn id="5" xr3:uid="{9C9D76F1-A94D-4E65-B015-FFC93D8A0BC2}" name="Quota Per Course" dataDxfId="1467" totalsRowDxfId="1466"/>
    <tableColumn id="6" xr3:uid="{2491AE2C-D240-4B26-8E7B-072CE81C672A}" name="FY25 Courses Needed" dataDxfId="1465" totalsRowDxfId="1464">
      <calculatedColumnFormula>F2/G2</calculatedColumnFormula>
    </tableColumn>
    <tableColumn id="7" xr3:uid="{B54F2519-AB75-4B98-853B-1A8152218336}" name="FY25Courses Needed Round Up" totalsRowFunction="sum" dataDxfId="1463" totalsRowDxfId="1462">
      <calculatedColumnFormula>ROUNDUP(H2,0)</calculatedColumnFormula>
    </tableColumn>
    <tableColumn id="27" xr3:uid="{518722CE-C396-4881-9475-6C73C3A47644}" name="NSETC Course # projections" totalsRowFunction="custom" dataDxfId="1461" totalsRowDxfId="1460">
      <totalsRowFormula>SUM(J2:J40)</totalsRowFormula>
    </tableColumn>
    <tableColumn id="41" xr3:uid="{8865793B-65E3-40F4-BB8E-4E2C39C482DD}" name="Hours per course" dataDxfId="1459" totalsRowDxfId="1458"/>
    <tableColumn id="40" xr3:uid="{A4F0AF82-AC40-49F7-BC4F-F86BD9BE023F}" name="Total hours for FY25 to instruct course" dataDxfId="1457" totalsRowDxfId="1456">
      <calculatedColumnFormula>SUM(K2*J2)</calculatedColumnFormula>
    </tableColumn>
    <tableColumn id="26" xr3:uid="{056DA4CC-B487-4129-98B1-D0D210E53FC0}" name="NSETC FLT Needs deficit" totalsRowFunction="custom" dataDxfId="1455" totalsRowDxfId="1454">
      <calculatedColumnFormula>SUM(J2-I2)</calculatedColumnFormula>
      <totalsRowFormula>SUM(J41-I41)</totalsRowFormula>
    </tableColumn>
    <tableColumn id="25" xr3:uid="{830A3EBF-0AEF-499A-A8F2-75EAA9919D0A}" name="NSETC % towards fleet need" dataDxfId="1453" totalsRowDxfId="1452">
      <calculatedColumnFormula>SUM(J2*G2/F2)</calculatedColumnFormula>
    </tableColumn>
    <tableColumn id="9" xr3:uid="{28F75B6E-5E40-47DA-B85B-7F7FBC9597BE}" name="Quotas: All Data" totalsRowFunction="sum" dataDxfId="1451" totalsRowDxfId="1450"/>
    <tableColumn id="10" xr3:uid="{D85E66B0-E922-46B3-A032-80B0A7DE86C4}" name="Courses Needed: All Data" totalsRowFunction="sum" dataDxfId="1449" totalsRowDxfId="1448"/>
    <tableColumn id="20" xr3:uid="{B6EC8756-0FE3-465E-9594-ADCDCFD0D9C9}" name="Column1" dataDxfId="1447" totalsRowDxfId="1446"/>
    <tableColumn id="11" xr3:uid="{D8106336-7D78-402B-AE5E-9C9CBD4E06A0}" name="FY24 Total Courses" totalsRowFunction="custom" dataDxfId="1445" totalsRowDxfId="1444">
      <totalsRowFormula>SUM(R2:R40)</totalsRowFormula>
    </tableColumn>
    <tableColumn id="16" xr3:uid="{774C148E-9669-4491-953E-2DABCE77401C}" name="FY24 Quotas Per Course" totalsRowFunction="custom" dataDxfId="1443" totalsRowDxfId="1442">
      <totalsRowFormula>SUM(S2:S40)</totalsRowFormula>
    </tableColumn>
    <tableColumn id="39" xr3:uid="{C2FFA540-A0D1-4881-963E-04226F5671E8}" name="FY24 total courses grad to-date" dataDxfId="1441" totalsRowDxfId="1440"/>
    <tableColumn id="38" xr3:uid="{A156A3BF-8419-4704-9E28-37F81D604B1D}" name="FY24 Grads" totalsRowFunction="custom" dataDxfId="1439" totalsRowDxfId="1438">
      <totalsRowFormula>SUM(U2:U40)</totalsRowFormula>
    </tableColumn>
    <tableColumn id="37" xr3:uid="{9A9B6172-60A5-4AB8-9B0F-D7399CDD2CBF}" name="FY24 Fails" totalsRowFunction="custom" dataDxfId="1437" totalsRowDxfId="1436">
      <totalsRowFormula>SUM(AD2:AD40)</totalsRowFormula>
    </tableColumn>
    <tableColumn id="17" xr3:uid="{45748B26-11B0-4FA7-9816-97D1B5EF5E26}" name="FY24 Average class size" dataDxfId="1435" totalsRowDxfId="1434">
      <calculatedColumnFormula>AVERAGE(U2+V2)/T2</calculatedColumnFormula>
    </tableColumn>
    <tableColumn id="18" xr3:uid="{8C07B26A-8D1B-489E-9CF6-BCA7378AD70A}" name="FY24 FLT Quota Need" totalsRowFunction="custom" dataDxfId="1433" totalsRowDxfId="1432">
      <totalsRowFormula>SUM(X2:X40)</totalsRowFormula>
    </tableColumn>
    <tableColumn id="19" xr3:uid="{C55E6FA2-7BE9-4BA3-94C1-C2B89A603227}" name="FY24 NSETC % towards fleet need" dataDxfId="1431" totalsRowDxfId="1430">
      <calculatedColumnFormula>SUM(U2+V2)/X2</calculatedColumnFormula>
    </tableColumn>
    <tableColumn id="31" xr3:uid="{FF328B56-B055-442E-B83B-A4D49D3C89FE}" name="Column2" dataDxfId="1429" totalsRowDxfId="1428"/>
    <tableColumn id="29" xr3:uid="{ABE3CE00-ADC2-4154-9904-4E0B58499891}" name="FY23 Total Courses" totalsRowFunction="custom" dataDxfId="1427" totalsRowDxfId="1426">
      <totalsRowFormula>SUM(AA2:AA40)</totalsRowFormula>
    </tableColumn>
    <tableColumn id="15" xr3:uid="{5E58208C-1A1B-45E1-A8AF-930468949318}" name="FY23 Quotas Per Course" totalsRowFunction="custom" dataDxfId="1425" totalsRowDxfId="1424">
      <totalsRowFormula>SUM(AB2:AB40)</totalsRowFormula>
    </tableColumn>
    <tableColumn id="14" xr3:uid="{C325CA50-145B-42DA-95A5-CE8566C89794}" name="FY23 Grads" totalsRowFunction="custom" dataDxfId="1423" totalsRowDxfId="1422">
      <totalsRowFormula>SUM(AC2:AC40)</totalsRowFormula>
    </tableColumn>
    <tableColumn id="13" xr3:uid="{7D9C035C-25B2-4463-82ED-E6EB7973B576}" name="FY23 Fails" totalsRowFunction="custom" dataDxfId="1421" totalsRowDxfId="1420">
      <totalsRowFormula>SUM(AL2:AL40)</totalsRowFormula>
    </tableColumn>
    <tableColumn id="12" xr3:uid="{7D924473-2576-4655-89DE-4AE5077D7487}" name="FY23 Average class size" dataDxfId="1419" totalsRowDxfId="1418">
      <calculatedColumnFormula>AVERAGE(AC2+AD2)/AA2</calculatedColumnFormula>
    </tableColumn>
    <tableColumn id="34" xr3:uid="{1EA37877-A651-4831-88BC-B0855F2B56BE}" name="FY23 FLT Quota Need" totalsRowFunction="custom" dataDxfId="1417" totalsRowDxfId="1416">
      <totalsRowFormula>SUM(AF2:AF40)</totalsRowFormula>
    </tableColumn>
    <tableColumn id="33" xr3:uid="{6EED8172-19E6-4CB2-9E46-871861F44BD1}" name="FY23 NSETC % towards fleet need" dataDxfId="1415" totalsRowDxfId="1414">
      <calculatedColumnFormula>SUM(AC2+AD2)/AF2</calculatedColumnFormula>
    </tableColumn>
    <tableColumn id="32" xr3:uid="{FD7AC4DD-F490-4F87-BCD3-EABA6CCB94AC}" name="Column122" dataDxfId="1413" totalsRowDxfId="1412"/>
    <tableColumn id="30" xr3:uid="{EBABABD1-C7AF-42E0-A7A5-372870CA98AD}" name="FY22 Total Courses" totalsRowFunction="sum" dataDxfId="1411" totalsRowDxfId="1410"/>
    <tableColumn id="28" xr3:uid="{286EF9C8-279A-437F-9405-8219D9116D2A}" name="FY22 Quotas Per Course" totalsRowFunction="custom" dataDxfId="1409" totalsRowDxfId="1408">
      <totalsRowFormula>SUM(AJ2:AJ40)</totalsRowFormula>
    </tableColumn>
    <tableColumn id="24" xr3:uid="{2EDD2D5F-F21F-45CA-B188-E8BECD581FA0}" name="FY22 Grads" totalsRowFunction="custom" dataDxfId="1407" totalsRowDxfId="1406">
      <totalsRowFormula>SUM(AK2:AK40)</totalsRowFormula>
    </tableColumn>
    <tableColumn id="36" xr3:uid="{29617C5A-A389-4612-86B7-4F45D3FF9A9F}" name="FY22 Fails" totalsRowFunction="custom" dataDxfId="1405" totalsRowDxfId="1404">
      <totalsRowFormula>SUM(AL2:AL40)</totalsRowFormula>
    </tableColumn>
    <tableColumn id="35" xr3:uid="{D3F196D6-A0C3-44F5-AE94-0079181DF5DC}" name="FY22 Average class size" dataDxfId="1403" totalsRowDxfId="1402"/>
    <tableColumn id="23" xr3:uid="{B55B1D19-F8E0-4398-9C43-9B8A3EE46A05}" name="FY22 FLT Quota Need" totalsRowFunction="custom" dataDxfId="1401" totalsRowDxfId="1400">
      <totalsRowFormula>SUM(AN2:AN40)</totalsRowFormula>
    </tableColumn>
    <tableColumn id="22" xr3:uid="{5E8B28B4-D353-469E-899B-191F68E918BD}" name="FY22 NSETC % towards fleet need" dataDxfId="1399" totalsRowDxfId="1398">
      <calculatedColumnFormula>SUM(AK2+AL2)/AN2</calculatedColumnFormula>
    </tableColumn>
    <tableColumn id="42" xr3:uid="{B5DDA33B-DE64-4491-99AD-2E79B46A7AE3}" name="Course2" totalsRowLabel="Total" dataDxfId="1397" totalsRowDxfId="1396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B422C7-8178-4A6E-A6BE-A72526B3692B}" name="Table6" displayName="Table6" ref="A3:Y15" totalsRowShown="0">
  <autoFilter ref="A3:Y15" xr:uid="{90B422C7-8178-4A6E-A6BE-A72526B3692B}"/>
  <sortState xmlns:xlrd2="http://schemas.microsoft.com/office/spreadsheetml/2017/richdata2" ref="A4:Y15">
    <sortCondition ref="K3:K15"/>
  </sortState>
  <tableColumns count="25">
    <tableColumn id="1" xr3:uid="{3D421DA6-E286-4B67-8246-33AE44F93D2F}" name="Command"/>
    <tableColumn id="2" xr3:uid="{921A1960-5C85-47F7-9734-14D85D21B7C1}" name="Location/Course Title"/>
    <tableColumn id="3" xr3:uid="{91B0E971-9D0F-48B6-A535-6B82B0B56CC0}" name="Asbestos Inspector"/>
    <tableColumn id="4" xr3:uid="{4C4B0716-6733-4F34-9EA0-6EDBA6EAEB43}" name="Asbestos Inspector Refresher"/>
    <tableColumn id="5" xr3:uid="{E977899F-A981-4606-8EFC-275BA329972B}" name="Asbestos Management Planner"/>
    <tableColumn id="6" xr3:uid="{E3F8035B-0CAC-422B-A4E7-60BF4F0AF8A0}" name="Asbestos Management Planner Refresher"/>
    <tableColumn id="7" xr3:uid="{E593043C-2002-4307-8639-EAEF02A5620E}" name="Asbestos Supervisor Initial"/>
    <tableColumn id="8" xr3:uid="{623059BD-D728-4D4A-A480-8DC11999F6C7}" name="Asbestos Supervisor Refresher"/>
    <tableColumn id="9" xr3:uid="{1E03F65C-2F06-482A-88B6-F97E68D0DFF8}" name="Competent Person for Fall Protection Course"/>
    <tableColumn id="10" xr3:uid="{07D3A5B0-0954-40B1-A8B0-A0279674F14D}" name="Confined Space Safety "/>
    <tableColumn id="11" xr3:uid="{E83727AD-5754-4E02-88F9-29DD47D5CA2B}" name="Construction Safety Standards"/>
    <tableColumn id="12" xr3:uid="{E2AEE1AB-461C-4C4B-B2CC-7EBA492E6979}" name="Emergency Asbestos Response Team"/>
    <tableColumn id="13" xr3:uid="{88D2550D-8290-4EB1-B606-37851D750C83}" name="Facility Response Team Five Day"/>
    <tableColumn id="14" xr3:uid="{A4D018A5-676E-4DF3-960E-634DF99D82F2}" name="Facility Response Team Three Day"/>
    <tableColumn id="15" xr3:uid="{51959371-55AE-47CD-BB01-EC7069AC59EA}" name="Fire Protection &amp; Life Safety"/>
    <tableColumn id="16" xr3:uid="{822E7226-EA13-4D29-AD19-AD29B9833EC2}" name="Hazardous Substance Incident Response Management"/>
    <tableColumn id="17" xr3:uid="{70321E44-8FC6-45E3-B220-2F0497B8285E}" name="Hazardous Substance Incident Response Management  Refresher"/>
    <tableColumn id="18" xr3:uid="{6AC8210E-8DBE-47FB-9AF1-E64BE72B883D}" name="Incident Command System 300 "/>
    <tableColumn id="19" xr3:uid="{61262390-9253-4766-A970-CE0BB066ADF2}" name="Incident Command System 300 Refresher"/>
    <tableColumn id="20" xr3:uid="{14EAFBDA-7A22-44F4-BB3E-37469E8EADE4}" name="Incident Command System 400 "/>
    <tableColumn id="21" xr3:uid="{A14D8C2D-AA3E-4CAF-859D-13E872D3F02C}" name="Industrial Noise and Hearing Conservation Program"/>
    <tableColumn id="22" xr3:uid="{8AC9B75B-19E2-4D61-8988-C190853B6A4C}" name="Oil Hazardous Substance Spill Response Tabletop Exercise "/>
    <tableColumn id="23" xr3:uid="{9EF6440F-CE15-4612-B188-20BD6CE9C980}" name="Respiratory Protection Program Management"/>
    <tableColumn id="24" xr3:uid="{3A2B8E6F-9652-4E82-BECC-9FC509EBDCF7}" name="Tank Managers Course"/>
    <tableColumn id="25" xr3:uid="{72BD6C81-8E37-4164-BC51-BBC6EB7319E9}" name="Total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D3AAA6-D87B-4AD0-B345-E17FCDBF3401}" name="Table7" displayName="Table7" ref="A3:Y15" totalsRowShown="0">
  <autoFilter ref="A3:Y15" xr:uid="{F4D3AAA6-D87B-4AD0-B345-E17FCDBF3401}"/>
  <sortState xmlns:xlrd2="http://schemas.microsoft.com/office/spreadsheetml/2017/richdata2" ref="A4:Y15">
    <sortCondition ref="I3:I15"/>
  </sortState>
  <tableColumns count="25">
    <tableColumn id="1" xr3:uid="{E766E59A-8A96-4795-A6BB-730C8F5B3D92}" name="Command"/>
    <tableColumn id="2" xr3:uid="{92536367-24D1-4DFE-896C-975BCBFB7935}" name="Location/Course Title"/>
    <tableColumn id="3" xr3:uid="{35476E06-EEB0-4680-A712-20D90362147B}" name="Asbestos Inspector"/>
    <tableColumn id="4" xr3:uid="{5CF48CA8-321C-46F3-BCB6-297439F12BBB}" name="Asbestos Inspector Refresher"/>
    <tableColumn id="5" xr3:uid="{F2E00528-D4FF-40E8-A17E-D1538CE63758}" name="Asbestos Management Planner"/>
    <tableColumn id="6" xr3:uid="{E1C991AD-491D-4E1E-B8EF-C7884AF716BD}" name="Asbestos Management Planner Refresher"/>
    <tableColumn id="7" xr3:uid="{132A6DCF-684F-4B22-8880-BE73BAD809CE}" name="Asbestos Supervisor Initial"/>
    <tableColumn id="8" xr3:uid="{2BAB1A3F-55A5-44B0-9C9D-547BC149648B}" name="Asbestos Supervisor Refresher"/>
    <tableColumn id="9" xr3:uid="{A28B2E9A-7F80-4DCC-A7D8-761B9D752676}" name="Competent Person for Fall Protection Course"/>
    <tableColumn id="10" xr3:uid="{AC1AE372-2363-46ED-ADD0-5C90973A232B}" name="Confined Space Safety "/>
    <tableColumn id="11" xr3:uid="{CE1EAF60-5EF0-4BE8-8BA7-FFE8622BCDDD}" name="Construction Safety Standards"/>
    <tableColumn id="12" xr3:uid="{0D3E761F-0C28-44A3-AAD2-FD4A13DDDD87}" name="Emergency Asbestos Response Team"/>
    <tableColumn id="13" xr3:uid="{224BA0B1-C48B-4C7B-94B6-EBFED82DC4BB}" name="Facility Response Team Five Day"/>
    <tableColumn id="14" xr3:uid="{3553C414-676A-4C61-AEBB-9264184FBFAD}" name="Facility Response Team Three Day"/>
    <tableColumn id="15" xr3:uid="{5AB617AB-665A-411D-93DB-8F26EA67DADD}" name="Fire Protection &amp; Life Safety"/>
    <tableColumn id="16" xr3:uid="{128A4561-D818-4368-B51E-256E2F660A90}" name="Hazardous Substance Incident Response Management"/>
    <tableColumn id="17" xr3:uid="{094F4E89-A5D1-4650-81F5-D3B427C63428}" name="Hazardous Substance Incident Response Management  Refresher"/>
    <tableColumn id="18" xr3:uid="{24FB481A-1B5D-4A67-A940-92A6419FA7FB}" name="Incident Command System 300 "/>
    <tableColumn id="19" xr3:uid="{02A6E327-1665-4258-9619-4589D41AF807}" name="Incident Command System 300 Refresher"/>
    <tableColumn id="20" xr3:uid="{719AB886-8D3B-4B5B-AE83-55DADCD0442A}" name="Incident Command System 400 "/>
    <tableColumn id="21" xr3:uid="{278FD186-93E5-40EB-8010-BE9AA760A2FC}" name="Industrial Noise and Hearing Conservation Program"/>
    <tableColumn id="22" xr3:uid="{C28E94D3-DFE4-463F-AC43-02B42E4D1A03}" name="Oil Hazardous Substance Spill Response Tabletop Exercise "/>
    <tableColumn id="23" xr3:uid="{33587C8E-A082-433E-9D5B-76276FA572A1}" name="Respiratory Protection Program Management"/>
    <tableColumn id="24" xr3:uid="{D2B92A64-1E79-4B5B-9665-A68EF87B6879}" name="Tank Managers Course"/>
    <tableColumn id="25" xr3:uid="{57AD49A1-B2F2-4975-A748-CE6475F1001E}" name="Total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B62BC-12AB-41C4-B63B-93E766567BDD}" name="Table12" displayName="Table12" ref="A3:H16" totalsRowShown="0">
  <autoFilter ref="A3:H16" xr:uid="{3BDB62BC-12AB-41C4-B63B-93E766567BDD}"/>
  <sortState xmlns:xlrd2="http://schemas.microsoft.com/office/spreadsheetml/2017/richdata2" ref="A4:H16">
    <sortCondition ref="C3:C16"/>
  </sortState>
  <tableColumns count="8">
    <tableColumn id="1" xr3:uid="{69BAA560-E615-4C4C-A6C6-92AD5BEC184D}" name="Command"/>
    <tableColumn id="2" xr3:uid="{B973BD34-E7DF-4943-9A73-B8424CAE24BE}" name="Course Title/Preferred Time Zone"/>
    <tableColumn id="3" xr3:uid="{CF04A1E6-C0C9-4D24-A5A2-F66463CC66B8}" name="AST (Arabian Standard Time)"/>
    <tableColumn id="4" xr3:uid="{0A94480C-449F-4ECB-A8ED-930438B9E7F4}" name="CET/CEST (Central European Standard Time)"/>
    <tableColumn id="5" xr3:uid="{A93F64DD-E57D-4286-BE27-105865660EDE}" name="EST/EDT (Eastern Standard Time)"/>
    <tableColumn id="6" xr3:uid="{B55EBEDB-2D9B-4A47-855C-C4649890C138}" name="HST (Hawaii Standard Time)"/>
    <tableColumn id="7" xr3:uid="{67ABF3DC-D55A-4B8F-9C58-12EE306A5D84}" name="JST (Japan Standard Time)"/>
    <tableColumn id="8" xr3:uid="{B142A742-C3F1-457B-9536-9DF04C44A114}" name="PST/PDT (Pacific Standard Time)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A3C4CD-1AEA-456F-8412-1F06E9A3464F}" name="Table210" displayName="Table210" ref="A3:AA98" totalsRowCount="1" headerRowDxfId="1340" dataDxfId="1338" totalsRowDxfId="1337" headerRowBorderDxfId="1339">
  <autoFilter ref="A3:AA97" xr:uid="{00000000-0009-0000-0100-000002000000}"/>
  <sortState xmlns:xlrd2="http://schemas.microsoft.com/office/spreadsheetml/2017/richdata2" ref="A4:AA97">
    <sortCondition ref="B3:B97"/>
  </sortState>
  <tableColumns count="27">
    <tableColumn id="1" xr3:uid="{BAAFD926-C9A0-428C-B15B-5AE0D4441A78}" name="Comments" totalsRowLabel="Total" dataDxfId="1336" totalsRowDxfId="1335"/>
    <tableColumn id="2" xr3:uid="{C9C57765-0894-4081-B097-E75909F9477E}" name="Course Title" totalsRowFunction="count" dataDxfId="1334" totalsRowDxfId="1333"/>
    <tableColumn id="3" xr3:uid="{9AD2E90B-E624-4AD8-AA66-86C468D308B6}" name="CIN" dataDxfId="1332" totalsRowDxfId="1331"/>
    <tableColumn id="4" xr3:uid="{2059424E-4D38-4A3D-A11E-FB5EAA05A845}" name="CDP " dataDxfId="1330" totalsRowDxfId="1329"/>
    <tableColumn id="5" xr3:uid="{F7F4FA51-D11C-4625-B18C-A9D9123D27AB}" name="Location" dataDxfId="1328" totalsRowDxfId="1327"/>
    <tableColumn id="6" xr3:uid="{5E81E744-317D-463F-9389-C5B09B3DF59A}" name="Start Date" dataDxfId="1326" totalsRowDxfId="1325"/>
    <tableColumn id="7" xr3:uid="{497A73EC-3068-4F85-8286-58EBC84E5760}" name="End Date" dataDxfId="1324" totalsRowDxfId="1323"/>
    <tableColumn id="26" xr3:uid="{38300BF7-BB27-404B-8134-9D9CA61B2979}" name="Resident Local Start Time of location" dataDxfId="1322" totalsRowDxfId="1321"/>
    <tableColumn id="32" xr3:uid="{25F8C40B-A54D-4C3B-8AF7-ED62F5050D03}" name="EST/EDT Local Live Session Start Time " dataDxfId="1320" totalsRowDxfId="1319"/>
    <tableColumn id="28" xr3:uid="{D52CFE58-A040-46A0-87D4-3CF2E58CAD91}" name="PST/PDT Local Live Session Start Time " dataDxfId="1318" totalsRowDxfId="1317"/>
    <tableColumn id="29" xr3:uid="{27BBFDE4-5D64-451B-AE0D-58261BD2FB64}" name="AST Local Live Session Start Time " dataDxfId="1316" totalsRowDxfId="1315"/>
    <tableColumn id="30" xr3:uid="{FE06AA5B-6C4A-4CD0-BD20-35D0B5B2FAB3}" name="CET/CEST Local Live Session Start Time " dataDxfId="1314" totalsRowDxfId="1313"/>
    <tableColumn id="27" xr3:uid="{AFDE156D-3260-4D6D-AF9C-E213438F87FC}" name="HST Local Live Session Start Time " dataDxfId="1312" totalsRowDxfId="1311"/>
    <tableColumn id="31" xr3:uid="{4CB8A3F0-7857-414F-8249-9D81779473BC}" name="JST Local Live Session Start Time " dataDxfId="1310" totalsRowDxfId="1309"/>
    <tableColumn id="8" xr3:uid="{74037211-E78B-4B02-8F45-4BAF18730BA6}" name="Primary Instructor" dataDxfId="1308" totalsRowDxfId="1307"/>
    <tableColumn id="9" xr3:uid="{99231029-F15D-47CD-8C8B-207611B0BFBB}" name="Instructor 2" dataDxfId="1306" totalsRowDxfId="1305"/>
    <tableColumn id="22" xr3:uid="{47D38A33-73A7-4413-BB6A-5C3FB5FBAA12}" name="Quotas" totalsRowFunction="custom" dataDxfId="1304" totalsRowDxfId="1303">
      <totalsRowFormula>SUBTOTAL(109,Q4:Q97)</totalsRowFormula>
    </tableColumn>
    <tableColumn id="10" xr3:uid="{C018C331-9720-40EE-B6A0-B97372963E2F}" name="Course Length (Days)" totalsRowFunction="sum" dataDxfId="1302" totalsRowDxfId="1301"/>
    <tableColumn id="16" xr3:uid="{376DFCC7-8235-4054-B060-C1BE514DC236}" name="Graduates" totalsRowFunction="custom" dataDxfId="1300" totalsRowDxfId="1299">
      <totalsRowFormula>SUBTOTAL(109,S4:S97)</totalsRowFormula>
    </tableColumn>
    <tableColumn id="17" xr3:uid="{3281B6D9-AEA6-4B9E-B002-4AB8024BDB53}" name="Fail" totalsRowFunction="custom" dataDxfId="1298" totalsRowDxfId="1297">
      <totalsRowFormula>SUBTOTAL(109,T4:T97)</totalsRowFormula>
    </tableColumn>
    <tableColumn id="18" xr3:uid="{746F0B67-7804-4CE8-A1B3-410E28E6D21C}" name="No Shows" totalsRowFunction="custom" dataDxfId="1296" totalsRowDxfId="1295">
      <totalsRowFormula>SUBTOTAL(109,U4:U97)</totalsRowFormula>
    </tableColumn>
    <tableColumn id="19" xr3:uid="{4DA2642C-2B8C-4ED7-B8D2-0280EBB93A1A}" name="Walk-ins" totalsRowFunction="custom" dataDxfId="1294" totalsRowDxfId="1293">
      <totalsRowFormula>SUBTOTAL(109,V4:V97)</totalsRowFormula>
    </tableColumn>
    <tableColumn id="20" xr3:uid="{E7FB79F0-1B30-401D-BBEA-45BCD5DDB5D6}" name="Foreign Grads" totalsRowFunction="custom" dataDxfId="1292" totalsRowDxfId="1291">
      <totalsRowFormula>SUBTOTAL(109,W4:W97)</totalsRowFormula>
    </tableColumn>
    <tableColumn id="21" xr3:uid="{3004AB1E-319E-4220-816D-F0FF56E63E83}" name="Roster Received By" totalsRowFunction="count" dataDxfId="1290" totalsRowDxfId="1289"/>
    <tableColumn id="23" xr3:uid="{5E958FDC-F631-4C7F-A94B-08800003986B}" name="Roster Due" dataDxfId="1288" totalsRowDxfId="1287">
      <calculatedColumnFormula>Table210[[#This Row],[End Date]]+2-TODAY()</calculatedColumnFormula>
    </tableColumn>
    <tableColumn id="24" xr3:uid="{E703E1BA-4AC8-480D-855F-DF04885D67E2}" name="Roster Status" dataDxfId="1286" totalsRowDxfId="1285">
      <calculatedColumnFormula>IF(ISBLANK(Table210[[#This Row],[Roster Received By]]),1,0)</calculatedColumnFormula>
    </tableColumn>
    <tableColumn id="25" xr3:uid="{F4B656DB-AFB0-4A51-81AA-302D7743E75A}" name="Remaining Courses" dataDxfId="1284" totalsRowDxfId="1283">
      <calculatedColumnFormula>IF(Table210[[#This Row],[Start Date]]&gt;TODAY(),1,)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6E6F5B-088A-40BF-9C3A-F5C6AB6AA07B}" name="Table25" displayName="Table25" ref="A3:AA459" totalsRowCount="1" headerRowDxfId="1282" dataDxfId="1280" totalsRowDxfId="1279" headerRowBorderDxfId="1281">
  <autoFilter ref="A3:AA458" xr:uid="{00000000-0009-0000-0100-000002000000}">
    <filterColumn colId="1">
      <filters>
        <filter val="Respiratory Protection Program Management"/>
      </filters>
    </filterColumn>
  </autoFilter>
  <sortState xmlns:xlrd2="http://schemas.microsoft.com/office/spreadsheetml/2017/richdata2" ref="A4:AA458">
    <sortCondition ref="E3:E458"/>
  </sortState>
  <tableColumns count="27">
    <tableColumn id="1" xr3:uid="{C2342F55-DFE4-488E-B515-415ECDB9DFEE}" name="Comments" totalsRowLabel="Total" dataDxfId="1278" totalsRowDxfId="1277"/>
    <tableColumn id="2" xr3:uid="{FADA44B4-44D0-4589-ACE3-E057D0EE9ED2}" name="Course Title" totalsRowFunction="count" dataDxfId="1276" totalsRowDxfId="1275"/>
    <tableColumn id="3" xr3:uid="{9036CA69-9069-4D5E-874C-7662361EE35C}" name="CIN" dataDxfId="1274" totalsRowDxfId="1273"/>
    <tableColumn id="4" xr3:uid="{F6D05D52-65CC-46CE-A322-D3833B543092}" name="CDP " dataDxfId="1272" totalsRowDxfId="1271"/>
    <tableColumn id="5" xr3:uid="{84494C77-A354-48DD-A68C-B34126F79399}" name="Location" dataDxfId="1270" totalsRowDxfId="1269"/>
    <tableColumn id="6" xr3:uid="{6B344705-02DB-4A3E-B950-29A59BECB7AE}" name="Start Date" dataDxfId="1268" totalsRowDxfId="1267"/>
    <tableColumn id="7" xr3:uid="{A94CB4AD-FEBF-4542-9853-FE4AFAB695DD}" name="End Date" dataDxfId="1266" totalsRowDxfId="1265"/>
    <tableColumn id="26" xr3:uid="{CEE49FCC-B7FD-48D9-86A7-497778C9B402}" name="Resident Local Start Time of location" dataDxfId="1264" totalsRowDxfId="1263"/>
    <tableColumn id="32" xr3:uid="{28D528AC-46D1-4984-89F5-C8AA57BB3C78}" name="EST/EDT Local Live Session Start Time " dataDxfId="1262" totalsRowDxfId="1261"/>
    <tableColumn id="28" xr3:uid="{CCD46A9A-8C5F-4B65-A2E4-15C78A2EFFDE}" name="PST/PDT Local Live Session Start Time " dataDxfId="1260" totalsRowDxfId="1259"/>
    <tableColumn id="29" xr3:uid="{993A5040-29B2-4086-8997-65ECC5101CE9}" name="AST Local Live Session Start Time " dataDxfId="1258" totalsRowDxfId="1257"/>
    <tableColumn id="30" xr3:uid="{F63275D8-949E-444B-B741-EB3B1B312C30}" name="CET/CEST Local Live Session Start Time " dataDxfId="1256" totalsRowDxfId="1255"/>
    <tableColumn id="27" xr3:uid="{1F2AC858-CEFC-461C-BEB6-3F9F980B98D0}" name="HST Local Live Session Start Time " dataDxfId="1254" totalsRowDxfId="1253"/>
    <tableColumn id="31" xr3:uid="{811944FF-34B9-4111-9789-402790D81347}" name="JST Local Live Session Start Time " dataDxfId="1252" totalsRowDxfId="1251"/>
    <tableColumn id="8" xr3:uid="{26A837A7-512E-4002-A5EA-E17F742A40B3}" name="Primary Instructor" dataDxfId="1250" totalsRowDxfId="1249"/>
    <tableColumn id="9" xr3:uid="{110ADADB-8A5F-413E-9B6D-D3510F201E55}" name="Instructor 2" dataDxfId="1248" totalsRowDxfId="1247"/>
    <tableColumn id="22" xr3:uid="{314E8877-A83D-4F89-9A04-C49FA04A9C00}" name="Quotas" totalsRowFunction="custom" dataDxfId="1246" totalsRowDxfId="1245">
      <totalsRowFormula>SUBTOTAL(109,Q4:Q458)</totalsRowFormula>
    </tableColumn>
    <tableColumn id="10" xr3:uid="{070B6AB2-187B-4D15-8583-80D8D7BAEF51}" name="Course Length (Days)" totalsRowFunction="sum" dataDxfId="1244" totalsRowDxfId="1243"/>
    <tableColumn id="16" xr3:uid="{59EF79D6-4759-4961-B4E4-C84D569CC012}" name="Graduates" totalsRowFunction="custom" dataDxfId="1242" totalsRowDxfId="1241">
      <totalsRowFormula>SUBTOTAL(109,S4:S458)</totalsRowFormula>
    </tableColumn>
    <tableColumn id="17" xr3:uid="{456FDA1F-D6E9-4ADB-8ED7-487AD8006452}" name="Fail" totalsRowFunction="custom" dataDxfId="1240" totalsRowDxfId="1239">
      <totalsRowFormula>SUBTOTAL(109,T4:T458)</totalsRowFormula>
    </tableColumn>
    <tableColumn id="18" xr3:uid="{E99A8EEE-FD20-4520-8338-07DE4C36BB10}" name="No Shows" totalsRowFunction="custom" dataDxfId="1238" totalsRowDxfId="1237">
      <totalsRowFormula>SUBTOTAL(109,U4:U458)</totalsRowFormula>
    </tableColumn>
    <tableColumn id="19" xr3:uid="{F6D0F8D9-B85B-4A04-B855-7C32689CC1D3}" name="Walk-ins" totalsRowFunction="custom" dataDxfId="1236" totalsRowDxfId="1235">
      <totalsRowFormula>SUBTOTAL(109,V4:V458)</totalsRowFormula>
    </tableColumn>
    <tableColumn id="20" xr3:uid="{2972677F-C901-4563-B7AA-465DF536AC9B}" name="Foreign Grads" totalsRowFunction="custom" dataDxfId="1234" totalsRowDxfId="1233">
      <totalsRowFormula>SUBTOTAL(109,W4:W458)</totalsRowFormula>
    </tableColumn>
    <tableColumn id="21" xr3:uid="{998C0827-BA12-4F50-BEA2-964641788D4D}" name="Roster Received By" totalsRowFunction="count" dataDxfId="1232" totalsRowDxfId="1231"/>
    <tableColumn id="23" xr3:uid="{82FA31EB-B1DA-4D72-BC1B-6A746B50E502}" name="Roster Due" dataDxfId="1230" totalsRowDxfId="1229">
      <calculatedColumnFormula>Table25[[#This Row],[End Date]]+2-TODAY()</calculatedColumnFormula>
    </tableColumn>
    <tableColumn id="24" xr3:uid="{06F0B8B2-51E0-478B-A50A-B49B83291699}" name="Roster Status" dataDxfId="1228" totalsRowDxfId="1227">
      <calculatedColumnFormula>IF(ISBLANK(Table25[[#This Row],[Roster Received By]]),1,0)</calculatedColumnFormula>
    </tableColumn>
    <tableColumn id="25" xr3:uid="{2C2F4313-A044-43BA-9248-3798C2B624F2}" name="Remaining Courses" dataDxfId="1226" totalsRowDxfId="1225">
      <calculatedColumnFormula>IF(Table25[[#This Row],[Start Date]]&gt;TODAY(),1,)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C658B-52C9-44EA-956B-750298760CCD}" name="Table24" displayName="Table24" ref="A3:AA459" totalsRowCount="1" headerRowDxfId="1224" dataDxfId="1222" totalsRowDxfId="1221" headerRowBorderDxfId="1223">
  <autoFilter ref="A3:AA458" xr:uid="{00000000-0009-0000-0100-000002000000}"/>
  <sortState xmlns:xlrd2="http://schemas.microsoft.com/office/spreadsheetml/2017/richdata2" ref="A4:AF458">
    <sortCondition ref="F3:F458"/>
  </sortState>
  <tableColumns count="27">
    <tableColumn id="1" xr3:uid="{79149F88-7EB9-4500-98DE-34ACE96F92DF}" name="Comments" totalsRowLabel="Total" dataDxfId="1220" totalsRowDxfId="1219"/>
    <tableColumn id="2" xr3:uid="{F6626155-689F-42BD-B038-A9B6806D808B}" name="Course Title" totalsRowFunction="count" dataDxfId="1218" totalsRowDxfId="1217"/>
    <tableColumn id="3" xr3:uid="{2BC95441-E66A-4135-8D3C-CDB15DB807EB}" name="CIN" dataDxfId="1216" totalsRowDxfId="1215"/>
    <tableColumn id="4" xr3:uid="{5F4B4B93-BD47-404A-8200-98910040B224}" name="CDP " dataDxfId="1214" totalsRowDxfId="1213"/>
    <tableColumn id="5" xr3:uid="{75B93F82-D13A-48E6-A447-867B8BB4C082}" name="Location" dataDxfId="1212" totalsRowDxfId="1211"/>
    <tableColumn id="6" xr3:uid="{86ACFDED-2593-4FC8-81CA-6390274D7A4F}" name="Start Date" dataDxfId="1210" totalsRowDxfId="1209"/>
    <tableColumn id="7" xr3:uid="{A6DA2D01-C088-4F58-8562-2F71A85EC272}" name="End Date" dataDxfId="1208" totalsRowDxfId="1207"/>
    <tableColumn id="26" xr3:uid="{2D89D048-98FA-4BEA-AF58-DD1A02D5E0E9}" name="Resident Local Start Time of location" dataDxfId="1206" totalsRowDxfId="1205"/>
    <tableColumn id="32" xr3:uid="{63F1EBA8-4CC8-40EB-B334-FDEC4434C6F8}" name="EST/EDT Local Live Session Start Time " dataDxfId="1204" totalsRowDxfId="1203"/>
    <tableColumn id="28" xr3:uid="{1D59791F-65C2-4033-BA1D-526F41A66111}" name="PST/PDT Local Live Session Start Time " dataDxfId="1202" totalsRowDxfId="1201"/>
    <tableColumn id="29" xr3:uid="{FDBC9AC7-3DA8-4EDC-B313-6C1EC42A0724}" name="AST Local Live Session Start Time " dataDxfId="1200" totalsRowDxfId="1199"/>
    <tableColumn id="30" xr3:uid="{B4537B98-89A4-4540-9610-33CC67D27420}" name="CET/CEST Local Live Session Start Time " dataDxfId="1198" totalsRowDxfId="1197"/>
    <tableColumn id="27" xr3:uid="{DC4F443E-C5C8-4650-985A-64A74A57F0ED}" name="HST Local Live Session Start Time " dataDxfId="1196" totalsRowDxfId="1195"/>
    <tableColumn id="31" xr3:uid="{A3EC9C9C-E6B5-400C-8DB0-D74AC3C55418}" name="JST Local Live Session Start Time " dataDxfId="1194" totalsRowDxfId="1193"/>
    <tableColumn id="8" xr3:uid="{BD02D554-0329-4AF6-8DCE-00A7A796FA67}" name="Primary Instructor" dataDxfId="1192" totalsRowDxfId="1191"/>
    <tableColumn id="9" xr3:uid="{6D45BB7D-3A95-43F2-8E16-75C8992FC1E6}" name="Instructor 2" dataDxfId="1190" totalsRowDxfId="1189"/>
    <tableColumn id="22" xr3:uid="{FB315DE8-C79B-4703-A2BA-1F6096A58C1C}" name="Quotas" totalsRowFunction="custom" dataDxfId="1188" totalsRowDxfId="1187">
      <totalsRowFormula>SUBTOTAL(109,Q4:Q458)</totalsRowFormula>
    </tableColumn>
    <tableColumn id="10" xr3:uid="{6FA31DB2-CC19-45F3-AC84-953C36C2A2CC}" name="Course Length (Days)" totalsRowFunction="sum" dataDxfId="1186" totalsRowDxfId="1185"/>
    <tableColumn id="16" xr3:uid="{7D216D85-CEB5-4FB8-8CE9-417C5E68CD91}" name="Graduates" totalsRowFunction="custom" dataDxfId="1184" totalsRowDxfId="1183">
      <totalsRowFormula>SUBTOTAL(109,S4:S458)</totalsRowFormula>
    </tableColumn>
    <tableColumn id="17" xr3:uid="{471F56FE-F439-4B07-921D-CBB3611086BE}" name="Fail" totalsRowFunction="custom" dataDxfId="1182" totalsRowDxfId="1181">
      <totalsRowFormula>SUBTOTAL(109,T4:T458)</totalsRowFormula>
    </tableColumn>
    <tableColumn id="18" xr3:uid="{CD9CAB05-4592-4199-97AF-F24CD2C37859}" name="No Shows" totalsRowFunction="custom" dataDxfId="1180" totalsRowDxfId="1179">
      <totalsRowFormula>SUBTOTAL(109,U4:U458)</totalsRowFormula>
    </tableColumn>
    <tableColumn id="19" xr3:uid="{E508046D-5F43-4F5D-ADC6-09456C05B40C}" name="Walk-ins" totalsRowFunction="custom" dataDxfId="1178" totalsRowDxfId="1177">
      <totalsRowFormula>SUBTOTAL(109,V4:V458)</totalsRowFormula>
    </tableColumn>
    <tableColumn id="20" xr3:uid="{16429556-E9E1-4650-9FA8-7E088FD9ED28}" name="Foreign Grads" totalsRowFunction="custom" dataDxfId="1176" totalsRowDxfId="1175">
      <totalsRowFormula>SUBTOTAL(109,W4:W458)</totalsRowFormula>
    </tableColumn>
    <tableColumn id="21" xr3:uid="{0CB98322-C372-4A0A-932D-68FE742BCA16}" name="Roster Received By" totalsRowFunction="count" dataDxfId="1174" totalsRowDxfId="1173"/>
    <tableColumn id="23" xr3:uid="{47BF087B-B81F-40F2-AD60-EE1F11A5135E}" name="Roster Due" dataDxfId="1172" totalsRowDxfId="1171">
      <calculatedColumnFormula>Table24[[#This Row],[End Date]]+2-TODAY()</calculatedColumnFormula>
    </tableColumn>
    <tableColumn id="24" xr3:uid="{402A7A19-6D60-4923-A13A-58BD63FC3167}" name="Roster Status" dataDxfId="1170" totalsRowDxfId="1169">
      <calculatedColumnFormula>IF(ISBLANK(Table24[[#This Row],[Roster Received By]]),1,0)</calculatedColumnFormula>
    </tableColumn>
    <tableColumn id="25" xr3:uid="{BC58C9C5-5716-41F8-BDD7-54CA141C56B2}" name="Remaining Courses" dataDxfId="1168" totalsRowDxfId="1167">
      <calculatedColumnFormula>IF(Table24[[#This Row],[Start Date]]&gt;TODAY(),1,)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2DC828-C589-4D99-87A8-A672DC7588DB}" name="Table29" displayName="Table29" ref="A3:AA163" totalsRowCount="1" headerRowDxfId="1166" dataDxfId="1164" totalsRowDxfId="1163" headerRowBorderDxfId="1165">
  <autoFilter ref="A3:AA162" xr:uid="{00000000-000C-0000-FFFF-FFFF05000000}"/>
  <sortState xmlns:xlrd2="http://schemas.microsoft.com/office/spreadsheetml/2017/richdata2" ref="A4:AA162">
    <sortCondition ref="B3:B162"/>
  </sortState>
  <tableColumns count="27">
    <tableColumn id="1" xr3:uid="{1C63BBBF-F354-4DD8-97A5-E14E8DC06BD5}" name="Comments" totalsRowLabel="Total" dataDxfId="1162" totalsRowDxfId="1161"/>
    <tableColumn id="2" xr3:uid="{EC508BA6-6C72-4335-91E0-3C34E2FA5459}" name="Course Title" totalsRowFunction="count" dataDxfId="1160" totalsRowDxfId="1159"/>
    <tableColumn id="3" xr3:uid="{14C72745-D101-4D90-811B-D00E2A84DB86}" name="CIN" dataDxfId="1158" totalsRowDxfId="1157"/>
    <tableColumn id="4" xr3:uid="{BE43C45C-F539-4156-A513-F6F46D511BBF}" name="CDP " dataDxfId="1156" totalsRowDxfId="1155"/>
    <tableColumn id="5" xr3:uid="{EEA99D01-363C-402D-84CA-D2BA8060717B}" name="Location" dataDxfId="1154" totalsRowDxfId="1153"/>
    <tableColumn id="6" xr3:uid="{93912A40-5270-402E-9EB6-B7175BE72777}" name="5/5/2025" dataDxfId="1152" totalsRowDxfId="1151"/>
    <tableColumn id="7" xr3:uid="{D8270151-992F-4341-8241-43E92185F552}" name="5/9/2025" dataDxfId="1150" totalsRowDxfId="1149"/>
    <tableColumn id="26" xr3:uid="{D5E0F6FC-5AB0-4179-8C79-410B617C8137}" name="Resident Local Start Time of location" dataDxfId="1148" totalsRowDxfId="1147"/>
    <tableColumn id="32" xr3:uid="{DA8C4426-E87C-408D-AABA-5BE1F2F0E858}" name="EST/EDT Local Live Session Start Time " dataDxfId="1146" totalsRowDxfId="1145"/>
    <tableColumn id="28" xr3:uid="{52767868-9CC6-449B-9860-D651EE14A705}" name="PST/PDT Local Live Session Start Time " dataDxfId="1144" totalsRowDxfId="1143"/>
    <tableColumn id="29" xr3:uid="{BF01AB4E-5396-4307-BCD9-799BF9B3EDE9}" name="AST Local Live Session Start Time " dataDxfId="1142" totalsRowDxfId="1141"/>
    <tableColumn id="30" xr3:uid="{4F050953-EEEB-4365-8396-3D078FE84B26}" name="CET/CEST Local Live Session Start Time " dataDxfId="1140" totalsRowDxfId="1139"/>
    <tableColumn id="27" xr3:uid="{06592FA7-19AC-4CFE-B34A-B515EE59458F}" name="HST Local Live Session Start Time " dataDxfId="1138" totalsRowDxfId="1137"/>
    <tableColumn id="31" xr3:uid="{9A334D73-E6D4-4AAA-8B87-D2750573D432}" name="JST Local Live Session Start Time " dataDxfId="1136" totalsRowDxfId="1135"/>
    <tableColumn id="8" xr3:uid="{D50F1A1A-BAD0-4C81-B1AE-79BB42BAE0AB}" name="Primary Instructor" dataDxfId="1134" totalsRowDxfId="1133"/>
    <tableColumn id="9" xr3:uid="{44080DAF-27C5-42A6-B324-B71AA7B2D720}" name="Instructor 2" dataDxfId="1132" totalsRowDxfId="1131"/>
    <tableColumn id="22" xr3:uid="{1F2F7EA8-BFBA-4C90-9472-5AC738C1BDC9}" name="Quotas" totalsRowFunction="custom" dataDxfId="1130" totalsRowDxfId="1129">
      <totalsRowFormula>SUBTOTAL(109,Q4:Q162)</totalsRowFormula>
    </tableColumn>
    <tableColumn id="10" xr3:uid="{9682ED1C-EBEE-42D9-873B-DC07BF105003}" name="Course Length (Days)" totalsRowFunction="sum" dataDxfId="1128" totalsRowDxfId="1127"/>
    <tableColumn id="16" xr3:uid="{89EB158D-8004-44B7-BD60-DA7F8BD931E3}" name="Graduates" totalsRowFunction="custom" dataDxfId="1126" totalsRowDxfId="1125">
      <totalsRowFormula>SUBTOTAL(109,S4:S162)</totalsRowFormula>
    </tableColumn>
    <tableColumn id="17" xr3:uid="{5CE7BB19-592D-4A30-A3FC-93CB553BECF1}" name="Fail" totalsRowFunction="custom" dataDxfId="1124" totalsRowDxfId="1123">
      <totalsRowFormula>SUBTOTAL(109,T4:T162)</totalsRowFormula>
    </tableColumn>
    <tableColumn id="18" xr3:uid="{E969121D-9457-4E40-8774-BE009C76FE20}" name="No Shows" totalsRowFunction="custom" dataDxfId="1122" totalsRowDxfId="1121">
      <totalsRowFormula>SUBTOTAL(109,U4:U162)</totalsRowFormula>
    </tableColumn>
    <tableColumn id="19" xr3:uid="{59CBB9DB-0E58-45F1-949F-1DDBB3492686}" name="Walk-ins" totalsRowFunction="custom" dataDxfId="1120" totalsRowDxfId="1119">
      <totalsRowFormula>SUBTOTAL(109,V4:V162)</totalsRowFormula>
    </tableColumn>
    <tableColumn id="20" xr3:uid="{2F720BE5-6E9B-485D-A6F1-A12B193EFF55}" name="Foreign Grads" totalsRowFunction="custom" dataDxfId="1118" totalsRowDxfId="1117">
      <totalsRowFormula>SUBTOTAL(109,W4:W162)</totalsRowFormula>
    </tableColumn>
    <tableColumn id="21" xr3:uid="{2BA7E8B0-27F0-4CD2-A350-2024873826D4}" name="Roster Received By" totalsRowFunction="count" dataDxfId="1116" totalsRowDxfId="1115"/>
    <tableColumn id="23" xr3:uid="{8823BE56-DA54-47E0-89A0-59A877FAB73F}" name="Roster Due" dataDxfId="1114" totalsRowDxfId="1113">
      <calculatedColumnFormula>Table29[[#This Row],[5/9/2025]]+2-TODAY()</calculatedColumnFormula>
    </tableColumn>
    <tableColumn id="24" xr3:uid="{E18F92EF-46B0-4D15-B0E4-51F4BD1CF898}" name="Roster Status" dataDxfId="1112" totalsRowDxfId="1111">
      <calculatedColumnFormula>IF(ISBLANK(Table29[[#This Row],[Roster Received By]]),1,0)</calculatedColumnFormula>
    </tableColumn>
    <tableColumn id="25" xr3:uid="{BBFDC5C5-2741-4D98-92A9-5CAF33C3723D}" name="Remaining Courses" dataDxfId="1110" totalsRowDxfId="1109">
      <calculatedColumnFormula>IF(Table29[[#This Row],[5/5/2025]]&gt;TODAY(),1,)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2:AB44"/>
  <sheetViews>
    <sheetView zoomScale="90" zoomScaleNormal="90" workbookViewId="0">
      <selection activeCell="P33" sqref="P33"/>
    </sheetView>
  </sheetViews>
  <sheetFormatPr defaultRowHeight="15" x14ac:dyDescent="0.25"/>
  <cols>
    <col min="2" max="2" width="73.42578125" bestFit="1" customWidth="1"/>
    <col min="20" max="20" width="10.85546875" customWidth="1"/>
    <col min="26" max="26" width="7.140625" customWidth="1"/>
  </cols>
  <sheetData>
    <row r="2" spans="2:28" x14ac:dyDescent="0.25">
      <c r="B2" s="3" t="s">
        <v>0</v>
      </c>
      <c r="C2" s="17"/>
      <c r="D2" s="17"/>
      <c r="E2" s="17"/>
      <c r="F2" s="17"/>
      <c r="G2" s="3"/>
      <c r="H2" s="3"/>
      <c r="I2" s="3"/>
      <c r="J2" s="3"/>
      <c r="K2" s="17"/>
      <c r="L2" s="17"/>
      <c r="M2" s="17"/>
      <c r="N2" s="17"/>
    </row>
    <row r="3" spans="2:28" ht="15.75" thickBot="1" x14ac:dyDescent="0.3">
      <c r="B3" s="89" t="e">
        <f ca="1">ModDate()</f>
        <v>#NAME?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28" ht="15.75" x14ac:dyDescent="0.25">
      <c r="B4" s="400" t="s">
        <v>1</v>
      </c>
      <c r="C4" s="401"/>
      <c r="D4" s="401"/>
      <c r="E4" s="401"/>
      <c r="F4" s="401"/>
      <c r="G4" s="401"/>
      <c r="H4" s="385"/>
      <c r="I4" s="385"/>
      <c r="J4" s="385"/>
      <c r="K4" s="402"/>
      <c r="L4" s="403"/>
      <c r="M4" s="404"/>
      <c r="N4" s="404"/>
    </row>
    <row r="5" spans="2:28" ht="60" x14ac:dyDescent="0.25">
      <c r="B5" s="90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75" t="s">
        <v>8</v>
      </c>
      <c r="I5" s="75" t="s">
        <v>9</v>
      </c>
      <c r="J5" s="75" t="s">
        <v>10</v>
      </c>
      <c r="K5" s="76" t="s">
        <v>11</v>
      </c>
      <c r="L5" s="77" t="s">
        <v>12</v>
      </c>
      <c r="M5" s="78" t="s">
        <v>13</v>
      </c>
      <c r="N5" s="78" t="s">
        <v>14</v>
      </c>
    </row>
    <row r="6" spans="2:28" ht="15.75" x14ac:dyDescent="0.25">
      <c r="B6" s="91" t="s">
        <v>15</v>
      </c>
      <c r="C6" s="39"/>
      <c r="D6" s="39" t="s">
        <v>16</v>
      </c>
      <c r="E6" s="39">
        <f ca="1">COUNTIFS(Table2[Course Title],Table3112[[#This Row],[Courses - Planned vs Need (Active Courses)]],Table2[Remaining Courses],"0")</f>
        <v>0</v>
      </c>
      <c r="F6" s="79">
        <f ca="1">COUNTIFS(Table2[Course Title],Table3112[[#This Row],[Courses - Planned vs Need (Active Courses)]],Table2[Location],"Global Online",Table2[Remaining Courses],"0")</f>
        <v>0</v>
      </c>
      <c r="G6" s="39">
        <f ca="1">Table3112[[#This Row],[Course Offerings Todate]]-Table3112[[#This Row],[Online]]</f>
        <v>0</v>
      </c>
      <c r="H6" s="53">
        <v>45</v>
      </c>
      <c r="I6" s="39">
        <f ca="1">Table3112[[#This Row],[Course Offerings Todate]]*Table3112[[#This Row],[Quotas Per Convening]]</f>
        <v>0</v>
      </c>
      <c r="J6" s="39">
        <f>SUM(Table3112[[#This Row],[Total Grads]]+Table3112[[#This Row],[Fails]]+Table3112[[#This Row],[No Shows]])</f>
        <v>0</v>
      </c>
      <c r="K6" s="39">
        <f>SUMIF(Table2[Course Title],Table3112[[#This Row],[Courses - Planned vs Need (Active Courses)]],Table2[Graduates])</f>
        <v>0</v>
      </c>
      <c r="L6" s="39">
        <f>SUMIF(Table2[Course Title],Table3112[[#This Row],[Courses - Planned vs Need (Active Courses)]],Table2[Fail])</f>
        <v>0</v>
      </c>
      <c r="M6" s="39">
        <f>SUMIF(Table2[Course Title],Table3112[[#This Row],[Courses - Planned vs Need (Active Courses)]],Table2[No Shows])</f>
        <v>0</v>
      </c>
      <c r="N6" s="39">
        <f>SUMIF(Table2[Course Title],Table3112[[#This Row],[Courses - Planned vs Need (Active Courses)]],Table2[Walk-ins])</f>
        <v>0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2:28" ht="57" customHeight="1" x14ac:dyDescent="0.25">
      <c r="B7" s="92" t="s">
        <v>17</v>
      </c>
      <c r="C7" s="39" t="s">
        <v>18</v>
      </c>
      <c r="D7" s="39" t="s">
        <v>16</v>
      </c>
      <c r="E7" s="39">
        <f ca="1">COUNTIFS(Table2[Course Title],Table3112[[#This Row],[Courses - Planned vs Need (Active Courses)]],Table2[Remaining Courses],"0")</f>
        <v>0</v>
      </c>
      <c r="F7" s="79">
        <f>COUNTIFS(Table2[Course Title],Table3112[[#This Row],[Courses - Planned vs Need (Active Courses)]],Table2[Location],"Global Online",Table2[Remaining Courses],"0")</f>
        <v>0</v>
      </c>
      <c r="G7" s="39">
        <f ca="1">Table3112[[#This Row],[Course Offerings Todate]]-Table3112[[#This Row],[Online]]</f>
        <v>0</v>
      </c>
      <c r="H7" s="37">
        <v>40</v>
      </c>
      <c r="I7" s="39">
        <f ca="1">Table3112[[#This Row],[Course Offerings Todate]]*Table3112[[#This Row],[Quotas Per Convening]]</f>
        <v>0</v>
      </c>
      <c r="J7" s="39">
        <f>SUM(Table3112[[#This Row],[Total Grads]]+Table3112[[#This Row],[Fails]]+Table3112[[#This Row],[No Shows]])</f>
        <v>0</v>
      </c>
      <c r="K7" s="39">
        <f>SUMIF(Table2[Course Title],Table3112[[#This Row],[Courses - Planned vs Need (Active Courses)]],Table2[Graduates])</f>
        <v>0</v>
      </c>
      <c r="L7" s="39">
        <f>SUMIF(Table2[Course Title],Table3112[[#This Row],[Courses - Planned vs Need (Active Courses)]],Table2[Fail])</f>
        <v>0</v>
      </c>
      <c r="M7" s="39">
        <f>SUMIF(Table2[Course Title],Table3112[[#This Row],[Courses - Planned vs Need (Active Courses)]],Table2[No Shows])</f>
        <v>0</v>
      </c>
      <c r="N7" s="39">
        <f>SUMIF(Table2[Course Title],Table3112[[#This Row],[Courses - Planned vs Need (Active Courses)]],Table2[Walk-ins])</f>
        <v>0</v>
      </c>
      <c r="O7" s="80"/>
      <c r="P7" s="95" t="s">
        <v>19</v>
      </c>
      <c r="Q7" s="95" t="s">
        <v>6</v>
      </c>
      <c r="R7" s="95" t="s">
        <v>7</v>
      </c>
      <c r="S7" s="95" t="s">
        <v>9</v>
      </c>
      <c r="T7" s="96" t="s">
        <v>20</v>
      </c>
      <c r="U7" s="95" t="s">
        <v>21</v>
      </c>
      <c r="V7" s="95" t="s">
        <v>22</v>
      </c>
      <c r="W7" s="95" t="s">
        <v>12</v>
      </c>
      <c r="X7" s="95" t="s">
        <v>23</v>
      </c>
      <c r="Y7" s="95" t="s">
        <v>24</v>
      </c>
      <c r="Z7" s="95" t="s">
        <v>25</v>
      </c>
      <c r="AA7" s="95" t="s">
        <v>26</v>
      </c>
      <c r="AB7" s="95" t="s">
        <v>27</v>
      </c>
    </row>
    <row r="8" spans="2:28" ht="15.75" x14ac:dyDescent="0.25">
      <c r="B8" s="92" t="s">
        <v>28</v>
      </c>
      <c r="C8" s="39" t="s">
        <v>18</v>
      </c>
      <c r="D8" s="39" t="s">
        <v>16</v>
      </c>
      <c r="E8" s="39">
        <f ca="1">COUNTIFS(Table2[Course Title],Table3112[[#This Row],[Courses - Planned vs Need (Active Courses)]],Table2[Remaining Courses],"0")</f>
        <v>0</v>
      </c>
      <c r="F8" s="79">
        <f>COUNTIFS(Table2[Course Title],Table3112[[#This Row],[Courses - Planned vs Need (Active Courses)]],Table2[Location],"Global Online",Table2[Remaining Courses],"0")</f>
        <v>0</v>
      </c>
      <c r="G8" s="39">
        <f ca="1">Table3112[[#This Row],[Course Offerings Todate]]-Table3112[[#This Row],[Online]]</f>
        <v>0</v>
      </c>
      <c r="H8" s="37">
        <v>40</v>
      </c>
      <c r="I8" s="39">
        <f ca="1">Table3112[[#This Row],[Course Offerings Todate]]*Table3112[[#This Row],[Quotas Per Convening]]</f>
        <v>0</v>
      </c>
      <c r="J8" s="39">
        <f>SUM(Table3112[[#This Row],[Total Grads]]+Table3112[[#This Row],[Fails]]+Table3112[[#This Row],[No Shows]])</f>
        <v>0</v>
      </c>
      <c r="K8" s="39">
        <f>SUMIF(Table2[Course Title],Table3112[[#This Row],[Courses - Planned vs Need (Active Courses)]],Table2[Graduates])</f>
        <v>0</v>
      </c>
      <c r="L8" s="39">
        <f>SUMIF(Table2[Course Title],Table3112[[#This Row],[Courses - Planned vs Need (Active Courses)]],Table2[Fail])</f>
        <v>0</v>
      </c>
      <c r="M8" s="39">
        <f>SUMIF(Table2[Course Title],Table3112[[#This Row],[Courses - Planned vs Need (Active Courses)]],Table2[No Shows])</f>
        <v>0</v>
      </c>
      <c r="N8" s="39">
        <f>SUMIF(Table2[Course Title],Table3112[[#This Row],[Courses - Planned vs Need (Active Courses)]],Table2[Walk-ins])</f>
        <v>0</v>
      </c>
      <c r="O8" s="80"/>
      <c r="P8" s="81" t="s">
        <v>16</v>
      </c>
      <c r="Q8" s="82">
        <f ca="1">SUM(F6:F15)</f>
        <v>0</v>
      </c>
      <c r="R8" s="82">
        <f ca="1">SUM(G6:G15)</f>
        <v>0</v>
      </c>
      <c r="S8" s="82">
        <f ca="1">SUM(I6:I15)</f>
        <v>0</v>
      </c>
      <c r="T8" s="82">
        <f>SUM(J6:J15)</f>
        <v>0</v>
      </c>
      <c r="U8" s="82">
        <f>SUM(K6:K15)</f>
        <v>0</v>
      </c>
      <c r="V8" s="87" t="e">
        <f>U8/T8</f>
        <v>#DIV/0!</v>
      </c>
      <c r="W8" s="82">
        <f t="shared" ref="W8" si="0">SUM(L6:L15)</f>
        <v>0</v>
      </c>
      <c r="X8" s="87" t="e">
        <f>W8/T8</f>
        <v>#DIV/0!</v>
      </c>
      <c r="Y8" s="82">
        <f>SUM(M6:M15)</f>
        <v>0</v>
      </c>
      <c r="Z8" s="87" t="e">
        <f>Y8/T8</f>
        <v>#DIV/0!</v>
      </c>
      <c r="AA8" s="82">
        <f>SUM(N6:N15)</f>
        <v>0</v>
      </c>
      <c r="AB8" s="88" t="e">
        <f>AA8/T8</f>
        <v>#DIV/0!</v>
      </c>
    </row>
    <row r="9" spans="2:28" ht="15.75" x14ac:dyDescent="0.25">
      <c r="B9" s="92" t="s">
        <v>29</v>
      </c>
      <c r="C9" s="39" t="s">
        <v>18</v>
      </c>
      <c r="D9" s="39" t="s">
        <v>16</v>
      </c>
      <c r="E9" s="39">
        <f ca="1">COUNTIFS(Table2[Course Title],Table3112[[#This Row],[Courses - Planned vs Need (Active Courses)]],Table2[Remaining Courses],"0")</f>
        <v>0</v>
      </c>
      <c r="F9" s="79">
        <f>COUNTIFS(Table2[Course Title],Table3112[[#This Row],[Courses - Planned vs Need (Active Courses)]],Table2[Location],"Global Online",Table2[Remaining Courses],"0")</f>
        <v>0</v>
      </c>
      <c r="G9" s="39">
        <f ca="1">Table3112[[#This Row],[Course Offerings Todate]]-Table3112[[#This Row],[Online]]</f>
        <v>0</v>
      </c>
      <c r="H9" s="37">
        <v>25</v>
      </c>
      <c r="I9" s="39">
        <f ca="1">Table3112[[#This Row],[Course Offerings Todate]]*Table3112[[#This Row],[Quotas Per Convening]]</f>
        <v>0</v>
      </c>
      <c r="J9" s="39">
        <f>SUM(Table3112[[#This Row],[Total Grads]]+Table3112[[#This Row],[Fails]]+Table3112[[#This Row],[No Shows]])</f>
        <v>0</v>
      </c>
      <c r="K9" s="39">
        <f>SUMIF(Table2[Course Title],Table3112[[#This Row],[Courses - Planned vs Need (Active Courses)]],Table2[Graduates])</f>
        <v>0</v>
      </c>
      <c r="L9" s="39">
        <f>SUMIF(Table2[Course Title],Table3112[[#This Row],[Courses - Planned vs Need (Active Courses)]],Table2[Fail])</f>
        <v>0</v>
      </c>
      <c r="M9" s="39">
        <f>SUMIF(Table2[Course Title],Table3112[[#This Row],[Courses - Planned vs Need (Active Courses)]],Table2[No Shows])</f>
        <v>0</v>
      </c>
      <c r="N9" s="39">
        <f>SUMIF(Table2[Course Title],Table3112[[#This Row],[Courses - Planned vs Need (Active Courses)]],Table2[Walk-ins])</f>
        <v>0</v>
      </c>
      <c r="O9" s="80"/>
      <c r="P9" s="81" t="s">
        <v>30</v>
      </c>
      <c r="Q9" s="82">
        <f ca="1">SUM(F18:F43)</f>
        <v>0</v>
      </c>
      <c r="R9" s="82">
        <f ca="1">SUM(G18:G43)</f>
        <v>0</v>
      </c>
      <c r="S9" s="82">
        <f ca="1">SUM(I18:I43)</f>
        <v>0</v>
      </c>
      <c r="T9" s="82">
        <f>SUM(J18:J43)</f>
        <v>0</v>
      </c>
      <c r="U9" s="82">
        <f>SUM(K18:K43)</f>
        <v>0</v>
      </c>
      <c r="V9" s="87" t="e">
        <f>U9/T9</f>
        <v>#DIV/0!</v>
      </c>
      <c r="W9" s="82">
        <f t="shared" ref="W9" si="1">SUM(L18:L43)</f>
        <v>0</v>
      </c>
      <c r="X9" s="87" t="e">
        <f>W9/T9</f>
        <v>#DIV/0!</v>
      </c>
      <c r="Y9" s="82">
        <f>SUM(M18:M43)</f>
        <v>0</v>
      </c>
      <c r="Z9" s="87" t="e">
        <f>Y9/T9</f>
        <v>#DIV/0!</v>
      </c>
      <c r="AA9" s="82">
        <f>SUM(N18:N43)</f>
        <v>0</v>
      </c>
      <c r="AB9" s="97" t="e">
        <f>AA9/T9</f>
        <v>#DIV/0!</v>
      </c>
    </row>
    <row r="10" spans="2:28" ht="15.75" x14ac:dyDescent="0.25">
      <c r="B10" s="92" t="s">
        <v>31</v>
      </c>
      <c r="C10" s="39" t="s">
        <v>18</v>
      </c>
      <c r="D10" s="39" t="s">
        <v>16</v>
      </c>
      <c r="E10" s="39">
        <f ca="1">COUNTIFS(Table2[Course Title],Table3112[[#This Row],[Courses - Planned vs Need (Active Courses)]],Table2[Remaining Courses],"0")</f>
        <v>0</v>
      </c>
      <c r="F10" s="79">
        <f ca="1">COUNTIFS(Table2[Course Title],Table3112[[#This Row],[Courses - Planned vs Need (Active Courses)]],Table2[Location],"Global Online",Table2[Remaining Courses],"0")</f>
        <v>0</v>
      </c>
      <c r="G10" s="39">
        <f ca="1">Table3112[[#This Row],[Course Offerings Todate]]-Table3112[[#This Row],[Online]]</f>
        <v>0</v>
      </c>
      <c r="H10" s="37">
        <v>30</v>
      </c>
      <c r="I10" s="39">
        <f ca="1">Table3112[[#This Row],[Course Offerings Todate]]*Table3112[[#This Row],[Quotas Per Convening]]</f>
        <v>0</v>
      </c>
      <c r="J10" s="39">
        <f>SUM(Table3112[[#This Row],[Total Grads]]+Table3112[[#This Row],[Fails]]+Table3112[[#This Row],[No Shows]])</f>
        <v>0</v>
      </c>
      <c r="K10" s="39">
        <f>SUMIF(Table2[Course Title],Table3112[[#This Row],[Courses - Planned vs Need (Active Courses)]],Table2[Graduates])</f>
        <v>0</v>
      </c>
      <c r="L10" s="39">
        <f>SUMIF(Table2[Course Title],Table3112[[#This Row],[Courses - Planned vs Need (Active Courses)]],Table2[Fail])</f>
        <v>0</v>
      </c>
      <c r="M10" s="39">
        <f>SUMIF(Table2[Course Title],Table3112[[#This Row],[Courses - Planned vs Need (Active Courses)]],Table2[No Shows])</f>
        <v>0</v>
      </c>
      <c r="N10" s="39">
        <f>SUMIF(Table2[Course Title],Table3112[[#This Row],[Courses - Planned vs Need (Active Courses)]],Table2[Walk-ins])</f>
        <v>0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</row>
    <row r="11" spans="2:28" ht="15.75" x14ac:dyDescent="0.25">
      <c r="B11" s="92" t="s">
        <v>32</v>
      </c>
      <c r="C11" s="39" t="s">
        <v>18</v>
      </c>
      <c r="D11" s="39" t="s">
        <v>16</v>
      </c>
      <c r="E11" s="39">
        <f ca="1">COUNTIFS(Table2[Course Title],Table3112[[#This Row],[Courses - Planned vs Need (Active Courses)]],Table2[Remaining Courses],"0")</f>
        <v>0</v>
      </c>
      <c r="F11" s="79">
        <f>COUNTIFS(Table2[Course Title],Table3112[[#This Row],[Courses - Planned vs Need (Active Courses)]],Table2[Location],"Global Online",Table2[Remaining Courses],"0")</f>
        <v>0</v>
      </c>
      <c r="G11" s="39">
        <f ca="1">Table3112[[#This Row],[Course Offerings Todate]]-Table3112[[#This Row],[Online]]</f>
        <v>0</v>
      </c>
      <c r="H11" s="37">
        <v>30</v>
      </c>
      <c r="I11" s="39">
        <f ca="1">Table3112[[#This Row],[Course Offerings Todate]]*Table3112[[#This Row],[Quotas Per Convening]]</f>
        <v>0</v>
      </c>
      <c r="J11" s="39">
        <f>SUM(Table3112[[#This Row],[Total Grads]]+Table3112[[#This Row],[Fails]]+Table3112[[#This Row],[No Shows]])</f>
        <v>0</v>
      </c>
      <c r="K11" s="39">
        <f>SUMIF(Table2[Course Title],Table3112[[#This Row],[Courses - Planned vs Need (Active Courses)]],Table2[Graduates])</f>
        <v>0</v>
      </c>
      <c r="L11" s="39">
        <f>SUMIF(Table2[Course Title],Table3112[[#This Row],[Courses - Planned vs Need (Active Courses)]],Table2[Fail])</f>
        <v>0</v>
      </c>
      <c r="M11" s="39">
        <f>SUMIF(Table2[Course Title],Table3112[[#This Row],[Courses - Planned vs Need (Active Courses)]],Table2[No Shows])</f>
        <v>0</v>
      </c>
      <c r="N11" s="39">
        <f>SUMIF(Table2[Course Title],Table3112[[#This Row],[Courses - Planned vs Need (Active Courses)]],Table2[Walk-ins])</f>
        <v>0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2:28" ht="15.75" x14ac:dyDescent="0.25">
      <c r="B12" s="92" t="s">
        <v>33</v>
      </c>
      <c r="C12" s="39" t="s">
        <v>18</v>
      </c>
      <c r="D12" s="39" t="s">
        <v>16</v>
      </c>
      <c r="E12" s="39">
        <f ca="1">COUNTIFS(Table2[Course Title],Table3112[[#This Row],[Courses - Planned vs Need (Active Courses)]],Table2[Remaining Courses],"0")</f>
        <v>0</v>
      </c>
      <c r="F12" s="79">
        <f>COUNTIFS(Table2[Course Title],Table3112[[#This Row],[Courses - Planned vs Need (Active Courses)]],Table2[Location],"Global Online",Table2[Remaining Courses],"0")</f>
        <v>0</v>
      </c>
      <c r="G12" s="39">
        <f ca="1">Table3112[[#This Row],[Course Offerings Todate]]-Table3112[[#This Row],[Online]]</f>
        <v>0</v>
      </c>
      <c r="H12" s="37">
        <v>30</v>
      </c>
      <c r="I12" s="39">
        <f ca="1">Table3112[[#This Row],[Course Offerings Todate]]*Table3112[[#This Row],[Quotas Per Convening]]</f>
        <v>0</v>
      </c>
      <c r="J12" s="39">
        <f>SUM(Table3112[[#This Row],[Total Grads]]+Table3112[[#This Row],[Fails]]+Table3112[[#This Row],[No Shows]])</f>
        <v>0</v>
      </c>
      <c r="K12" s="39">
        <f>SUMIF(Table2[Course Title],Table3112[[#This Row],[Courses - Planned vs Need (Active Courses)]],Table2[Graduates])</f>
        <v>0</v>
      </c>
      <c r="L12" s="39">
        <f>SUMIF(Table2[Course Title],Table3112[[#This Row],[Courses - Planned vs Need (Active Courses)]],Table2[Fail])</f>
        <v>0</v>
      </c>
      <c r="M12" s="39">
        <f>SUMIF(Table2[Course Title],Table3112[[#This Row],[Courses - Planned vs Need (Active Courses)]],Table2[No Shows])</f>
        <v>0</v>
      </c>
      <c r="N12" s="39">
        <f>SUMIF(Table2[Course Title],Table3112[[#This Row],[Courses - Planned vs Need (Active Courses)]],Table2[Walk-ins])</f>
        <v>0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</row>
    <row r="13" spans="2:28" ht="15.75" x14ac:dyDescent="0.25">
      <c r="B13" s="92" t="s">
        <v>34</v>
      </c>
      <c r="C13" s="39" t="s">
        <v>18</v>
      </c>
      <c r="D13" s="39" t="s">
        <v>16</v>
      </c>
      <c r="E13" s="39">
        <f ca="1">COUNTIFS(Table2[Course Title],Table3112[[#This Row],[Courses - Planned vs Need (Active Courses)]],Table2[Remaining Courses],"0")</f>
        <v>0</v>
      </c>
      <c r="F13" s="79">
        <f>COUNTIFS(Table2[Course Title],Table3112[[#This Row],[Courses - Planned vs Need (Active Courses)]],Table2[Location],"Global Online",Table2[Remaining Courses],"0")</f>
        <v>0</v>
      </c>
      <c r="G13" s="39">
        <f ca="1">Table3112[[#This Row],[Course Offerings Todate]]-Table3112[[#This Row],[Online]]</f>
        <v>0</v>
      </c>
      <c r="H13" s="37">
        <v>30</v>
      </c>
      <c r="I13" s="39">
        <f ca="1">Table3112[[#This Row],[Course Offerings Todate]]*Table3112[[#This Row],[Quotas Per Convening]]</f>
        <v>0</v>
      </c>
      <c r="J13" s="39">
        <f>SUM(Table3112[[#This Row],[Total Grads]]+Table3112[[#This Row],[Fails]]+Table3112[[#This Row],[No Shows]])</f>
        <v>0</v>
      </c>
      <c r="K13" s="39">
        <f>SUMIF(Table2[Course Title],Table3112[[#This Row],[Courses - Planned vs Need (Active Courses)]],Table2[Graduates])</f>
        <v>0</v>
      </c>
      <c r="L13" s="39">
        <f>SUMIF(Table2[Course Title],Table3112[[#This Row],[Courses - Planned vs Need (Active Courses)]],Table2[Fail])</f>
        <v>0</v>
      </c>
      <c r="M13" s="39">
        <f>SUMIF(Table2[Course Title],Table3112[[#This Row],[Courses - Planned vs Need (Active Courses)]],Table2[No Shows])</f>
        <v>0</v>
      </c>
      <c r="N13" s="39">
        <f>SUMIF(Table2[Course Title],Table3112[[#This Row],[Courses - Planned vs Need (Active Courses)]],Table2[Walk-ins])</f>
        <v>0</v>
      </c>
    </row>
    <row r="14" spans="2:28" ht="15.75" x14ac:dyDescent="0.25">
      <c r="B14" s="92" t="s">
        <v>35</v>
      </c>
      <c r="C14" s="39" t="s">
        <v>18</v>
      </c>
      <c r="D14" s="39" t="s">
        <v>16</v>
      </c>
      <c r="E14" s="39">
        <f ca="1">COUNTIFS(Table2[Course Title],Table3112[[#This Row],[Courses - Planned vs Need (Active Courses)]],Table2[Remaining Courses],"0")</f>
        <v>0</v>
      </c>
      <c r="F14" s="79">
        <f>COUNTIFS(Table2[Course Title],Table3112[[#This Row],[Courses - Planned vs Need (Active Courses)]],Table2[Location],"Global Online",Table2[Remaining Courses],"0")</f>
        <v>0</v>
      </c>
      <c r="G14" s="39">
        <f ca="1">Table3112[[#This Row],[Course Offerings Todate]]-Table3112[[#This Row],[Online]]</f>
        <v>0</v>
      </c>
      <c r="H14" s="37">
        <v>25</v>
      </c>
      <c r="I14" s="39">
        <f ca="1">Table3112[[#This Row],[Course Offerings Todate]]*Table3112[[#This Row],[Quotas Per Convening]]</f>
        <v>0</v>
      </c>
      <c r="J14" s="39">
        <f>SUM(Table3112[[#This Row],[Total Grads]]+Table3112[[#This Row],[Fails]]+Table3112[[#This Row],[No Shows]])</f>
        <v>0</v>
      </c>
      <c r="K14" s="39">
        <f>SUMIF(Table2[Course Title],Table3112[[#This Row],[Courses - Planned vs Need (Active Courses)]],Table2[Graduates])</f>
        <v>0</v>
      </c>
      <c r="L14" s="39">
        <f>SUMIF(Table2[Course Title],Table3112[[#This Row],[Courses - Planned vs Need (Active Courses)]],Table2[Fail])</f>
        <v>0</v>
      </c>
      <c r="M14" s="39">
        <f>SUMIF(Table2[Course Title],Table3112[[#This Row],[Courses - Planned vs Need (Active Courses)]],Table2[No Shows])</f>
        <v>0</v>
      </c>
      <c r="N14" s="39">
        <f>SUMIF(Table2[Course Title],Table3112[[#This Row],[Courses - Planned vs Need (Active Courses)]],Table2[Walk-ins])</f>
        <v>0</v>
      </c>
    </row>
    <row r="15" spans="2:28" ht="15.75" x14ac:dyDescent="0.25">
      <c r="B15" s="92" t="s">
        <v>36</v>
      </c>
      <c r="C15" s="39" t="s">
        <v>18</v>
      </c>
      <c r="D15" s="39" t="s">
        <v>16</v>
      </c>
      <c r="E15" s="39">
        <f ca="1">COUNTIFS(Table2[Course Title],Table3112[[#This Row],[Courses - Planned vs Need (Active Courses)]],Table2[Remaining Courses],"0")</f>
        <v>0</v>
      </c>
      <c r="F15" s="79">
        <f>COUNTIFS(Table2[Course Title],Table3112[[#This Row],[Courses - Planned vs Need (Active Courses)]],Table2[Location],"Global Online",Table2[Remaining Courses],"0")</f>
        <v>0</v>
      </c>
      <c r="G15" s="39">
        <f ca="1">Table3112[[#This Row],[Course Offerings Todate]]-Table3112[[#This Row],[Online]]</f>
        <v>0</v>
      </c>
      <c r="H15" s="37">
        <v>25</v>
      </c>
      <c r="I15" s="39">
        <f ca="1">Table3112[[#This Row],[Course Offerings Todate]]*Table3112[[#This Row],[Quotas Per Convening]]</f>
        <v>0</v>
      </c>
      <c r="J15" s="39">
        <f>SUM(Table3112[[#This Row],[Total Grads]]+Table3112[[#This Row],[Fails]]+Table3112[[#This Row],[No Shows]])</f>
        <v>0</v>
      </c>
      <c r="K15" s="39">
        <f>SUMIF(Table2[Course Title],Table3112[[#This Row],[Courses - Planned vs Need (Active Courses)]],Table2[Graduates])</f>
        <v>0</v>
      </c>
      <c r="L15" s="39">
        <f>SUMIF(Table2[Course Title],Table3112[[#This Row],[Courses - Planned vs Need (Active Courses)]],Table2[Fail])</f>
        <v>0</v>
      </c>
      <c r="M15" s="39">
        <f>SUMIF(Table2[Course Title],Table3112[[#This Row],[Courses - Planned vs Need (Active Courses)]],Table2[No Shows])</f>
        <v>0</v>
      </c>
      <c r="N15" s="39">
        <f>SUMIF(Table2[Course Title],Table3112[[#This Row],[Courses - Planned vs Need (Active Courses)]],Table2[Walk-ins])</f>
        <v>0</v>
      </c>
    </row>
    <row r="16" spans="2:28" ht="15.75" x14ac:dyDescent="0.25">
      <c r="B16" s="83"/>
      <c r="C16" s="83"/>
      <c r="D16" s="83"/>
      <c r="E16" s="39">
        <f>COUNTIFS(Table2[Course Title],Table3112[[#This Row],[Courses - Planned vs Need (Active Courses)]],Table2[Remaining Courses],"0")</f>
        <v>0</v>
      </c>
      <c r="F16" s="79">
        <f>COUNTIFS(Table2[Course Title],Table3112[[#This Row],[Courses - Planned vs Need (Active Courses)]],Table2[Location],"Global Online",Table2[Remaining Courses],"0")</f>
        <v>0</v>
      </c>
      <c r="G16" s="83"/>
      <c r="H16" s="83"/>
      <c r="I16" s="83"/>
      <c r="J16" s="84"/>
      <c r="K16" s="39">
        <f>SUMIF(Table2[Course Title],Table3112[[#This Row],[Courses - Planned vs Need (Active Courses)]],Table2[Graduates])</f>
        <v>0</v>
      </c>
      <c r="L16" s="39">
        <f>SUMIF(Table2[Course Title],Table3112[[#This Row],[Courses - Planned vs Need (Active Courses)]],Table2[Fail])</f>
        <v>0</v>
      </c>
      <c r="M16" s="39">
        <f>SUMIF(Table2[Course Title],Table3112[[#This Row],[Courses - Planned vs Need (Active Courses)]],Table2[No Shows])</f>
        <v>0</v>
      </c>
      <c r="N16" s="39">
        <f>SUMIF(Table2[Course Title],Table3112[[#This Row],[Courses - Planned vs Need (Active Courses)]],Table2[Walk-ins])</f>
        <v>0</v>
      </c>
    </row>
    <row r="17" spans="2:14" ht="15.75" x14ac:dyDescent="0.25">
      <c r="B17" s="93" t="s">
        <v>30</v>
      </c>
      <c r="C17" s="83"/>
      <c r="D17" s="83"/>
      <c r="E17" s="39">
        <f>COUNTIFS(Table2[Course Title],Table3112[[#This Row],[Courses - Planned vs Need (Active Courses)]],Table2[Remaining Courses],"0")</f>
        <v>0</v>
      </c>
      <c r="F17" s="79">
        <f>COUNTIFS(Table2[Course Title],Table3112[[#This Row],[Courses - Planned vs Need (Active Courses)]],Table2[Location],"Global Online",Table2[Remaining Courses],"0")</f>
        <v>0</v>
      </c>
      <c r="G17" s="83"/>
      <c r="H17" s="83"/>
      <c r="I17" s="83"/>
      <c r="J17" s="84"/>
      <c r="K17" s="39">
        <f>SUMIF(Table2[Course Title],Table3112[[#This Row],[Courses - Planned vs Need (Active Courses)]],Table2[Graduates])</f>
        <v>0</v>
      </c>
      <c r="L17" s="39">
        <f>SUMIF(Table2[Course Title],Table3112[[#This Row],[Courses - Planned vs Need (Active Courses)]],Table2[Fail])</f>
        <v>0</v>
      </c>
      <c r="M17" s="39">
        <f>SUMIF(Table2[Course Title],Table3112[[#This Row],[Courses - Planned vs Need (Active Courses)]],Table2[No Shows])</f>
        <v>0</v>
      </c>
      <c r="N17" s="39">
        <f>SUMIF(Table2[Course Title],Table3112[[#This Row],[Courses - Planned vs Need (Active Courses)]],Table2[Walk-ins])</f>
        <v>0</v>
      </c>
    </row>
    <row r="18" spans="2:14" ht="15.75" x14ac:dyDescent="0.25">
      <c r="B18" s="91" t="s">
        <v>37</v>
      </c>
      <c r="C18" s="39"/>
      <c r="D18" s="39" t="s">
        <v>30</v>
      </c>
      <c r="E18" s="39">
        <f ca="1">COUNTIFS(Table2[Course Title],Table3112[[#This Row],[Courses - Planned vs Need (Active Courses)]],Table2[Remaining Courses],"0")</f>
        <v>0</v>
      </c>
      <c r="F18" s="79">
        <f ca="1">COUNTIFS(Table2[Course Title],Table3112[[#This Row],[Courses - Planned vs Need (Active Courses)]],Table2[Location],"Global Online",Table2[Remaining Courses],"0")</f>
        <v>0</v>
      </c>
      <c r="G18" s="39">
        <f ca="1">Table3112[[#This Row],[Course Offerings Todate]]-Table3112[[#This Row],[Online]]</f>
        <v>0</v>
      </c>
      <c r="H18" s="37">
        <v>45</v>
      </c>
      <c r="I18" s="39">
        <f ca="1">Table3112[[#This Row],[Course Offerings Todate]]*Table3112[[#This Row],[Quotas Per Convening]]</f>
        <v>0</v>
      </c>
      <c r="J18" s="39">
        <f>SUM(Table3112[[#This Row],[Total Grads]]+Table3112[[#This Row],[Fails]]+Table3112[[#This Row],[No Shows]])</f>
        <v>0</v>
      </c>
      <c r="K18" s="39">
        <f>SUMIF(Table2[Course Title],Table3112[[#This Row],[Courses - Planned vs Need (Active Courses)]],Table2[Graduates])</f>
        <v>0</v>
      </c>
      <c r="L18" s="39">
        <f>SUMIF(Table2[Course Title],Table3112[[#This Row],[Courses - Planned vs Need (Active Courses)]],Table2[Fail])</f>
        <v>0</v>
      </c>
      <c r="M18" s="39">
        <f>SUMIF(Table2[Course Title],Table3112[[#This Row],[Courses - Planned vs Need (Active Courses)]],Table2[No Shows])</f>
        <v>0</v>
      </c>
      <c r="N18" s="39">
        <f>SUMIF(Table2[Course Title],Table3112[[#This Row],[Courses - Planned vs Need (Active Courses)]],Table2[Walk-ins])</f>
        <v>0</v>
      </c>
    </row>
    <row r="19" spans="2:14" ht="15.75" x14ac:dyDescent="0.25">
      <c r="B19" s="91" t="s">
        <v>38</v>
      </c>
      <c r="C19" s="39"/>
      <c r="D19" s="39" t="s">
        <v>30</v>
      </c>
      <c r="E19" s="39">
        <f ca="1">COUNTIFS(Table2[Course Title],Table3112[[#This Row],[Courses - Planned vs Need (Active Courses)]],Table2[Remaining Courses],"0")</f>
        <v>0</v>
      </c>
      <c r="F19" s="79">
        <f ca="1">COUNTIFS(Table2[Course Title],Table3112[[#This Row],[Courses - Planned vs Need (Active Courses)]],Table2[Location],"Global Online",Table2[Remaining Courses],"0")</f>
        <v>0</v>
      </c>
      <c r="G19" s="39">
        <f ca="1">Table3112[[#This Row],[Course Offerings Todate]]-Table3112[[#This Row],[Online]]</f>
        <v>0</v>
      </c>
      <c r="H19" s="37">
        <v>45</v>
      </c>
      <c r="I19" s="39">
        <f ca="1">Table3112[[#This Row],[Course Offerings Todate]]*Table3112[[#This Row],[Quotas Per Convening]]</f>
        <v>0</v>
      </c>
      <c r="J19" s="39">
        <f>SUM(Table3112[[#This Row],[Total Grads]]+Table3112[[#This Row],[Fails]]+Table3112[[#This Row],[No Shows]])</f>
        <v>0</v>
      </c>
      <c r="K19" s="39">
        <f>SUMIF(Table2[Course Title],Table3112[[#This Row],[Courses - Planned vs Need (Active Courses)]],Table2[Graduates])</f>
        <v>0</v>
      </c>
      <c r="L19" s="39">
        <f>SUMIF(Table2[Course Title],Table3112[[#This Row],[Courses - Planned vs Need (Active Courses)]],Table2[Fail])</f>
        <v>0</v>
      </c>
      <c r="M19" s="39">
        <f>SUMIF(Table2[Course Title],Table3112[[#This Row],[Courses - Planned vs Need (Active Courses)]],Table2[No Shows])</f>
        <v>0</v>
      </c>
      <c r="N19" s="39">
        <f>SUMIF(Table2[Course Title],Table3112[[#This Row],[Courses - Planned vs Need (Active Courses)]],Table2[Walk-ins])</f>
        <v>0</v>
      </c>
    </row>
    <row r="20" spans="2:14" ht="15.75" x14ac:dyDescent="0.25">
      <c r="B20" s="91" t="s">
        <v>39</v>
      </c>
      <c r="C20" s="39"/>
      <c r="D20" s="39" t="s">
        <v>30</v>
      </c>
      <c r="E20" s="39">
        <f ca="1">COUNTIFS(Table2[Course Title],Table3112[[#This Row],[Courses - Planned vs Need (Active Courses)]],Table2[Remaining Courses],"0")</f>
        <v>0</v>
      </c>
      <c r="F20" s="79">
        <f ca="1">COUNTIFS(Table2[Course Title],Table3112[[#This Row],[Courses - Planned vs Need (Active Courses)]],Table2[Location],"Global Online",Table2[Remaining Courses],"0")</f>
        <v>0</v>
      </c>
      <c r="G20" s="39">
        <f ca="1">Table3112[[#This Row],[Course Offerings Todate]]-Table3112[[#This Row],[Online]]</f>
        <v>0</v>
      </c>
      <c r="H20" s="37">
        <v>30</v>
      </c>
      <c r="I20" s="39">
        <f ca="1">Table3112[[#This Row],[Course Offerings Todate]]*Table3112[[#This Row],[Quotas Per Convening]]</f>
        <v>0</v>
      </c>
      <c r="J20" s="39">
        <f>SUM(Table3112[[#This Row],[Total Grads]]+Table3112[[#This Row],[Fails]]+Table3112[[#This Row],[No Shows]])</f>
        <v>0</v>
      </c>
      <c r="K20" s="39">
        <f>SUMIF(Table2[Course Title],Table3112[[#This Row],[Courses - Planned vs Need (Active Courses)]],Table2[Graduates])</f>
        <v>0</v>
      </c>
      <c r="L20" s="39">
        <f>SUMIF(Table2[Course Title],Table3112[[#This Row],[Courses - Planned vs Need (Active Courses)]],Table2[Fail])</f>
        <v>0</v>
      </c>
      <c r="M20" s="39">
        <f>SUMIF(Table2[Course Title],Table3112[[#This Row],[Courses - Planned vs Need (Active Courses)]],Table2[No Shows])</f>
        <v>0</v>
      </c>
      <c r="N20" s="39">
        <f>SUMIF(Table2[Course Title],Table3112[[#This Row],[Courses - Planned vs Need (Active Courses)]],Table2[Walk-ins])</f>
        <v>0</v>
      </c>
    </row>
    <row r="21" spans="2:14" ht="15.75" x14ac:dyDescent="0.25">
      <c r="B21" s="91" t="s">
        <v>40</v>
      </c>
      <c r="C21" s="39"/>
      <c r="D21" s="39" t="s">
        <v>30</v>
      </c>
      <c r="E21" s="39">
        <f ca="1">COUNTIFS(Table2[Course Title],Table3112[[#This Row],[Courses - Planned vs Need (Active Courses)]],Table2[Remaining Courses],"0")</f>
        <v>0</v>
      </c>
      <c r="F21" s="79">
        <f ca="1">COUNTIFS(Table2[Course Title],Table3112[[#This Row],[Courses - Planned vs Need (Active Courses)]],Table2[Location],"Global Online",Table2[Remaining Courses],"0")</f>
        <v>0</v>
      </c>
      <c r="G21" s="39">
        <f ca="1">Table3112[[#This Row],[Course Offerings Todate]]-Table3112[[#This Row],[Online]]</f>
        <v>0</v>
      </c>
      <c r="H21" s="37">
        <v>100</v>
      </c>
      <c r="I21" s="39">
        <f ca="1">Table3112[[#This Row],[Course Offerings Todate]]*Table3112[[#This Row],[Quotas Per Convening]]</f>
        <v>0</v>
      </c>
      <c r="J21" s="39">
        <f>SUM(Table3112[[#This Row],[Total Grads]]+Table3112[[#This Row],[Fails]]+Table3112[[#This Row],[No Shows]])</f>
        <v>0</v>
      </c>
      <c r="K21" s="39">
        <f>SUMIF(Table2[Course Title],Table3112[[#This Row],[Courses - Planned vs Need (Active Courses)]],Table2[Graduates])</f>
        <v>0</v>
      </c>
      <c r="L21" s="39">
        <f>SUMIF(Table2[Course Title],Table3112[[#This Row],[Courses - Planned vs Need (Active Courses)]],Table2[Fail])</f>
        <v>0</v>
      </c>
      <c r="M21" s="39">
        <f>SUMIF(Table2[Course Title],Table3112[[#This Row],[Courses - Planned vs Need (Active Courses)]],Table2[No Shows])</f>
        <v>0</v>
      </c>
      <c r="N21" s="39">
        <f>SUMIF(Table2[Course Title],Table3112[[#This Row],[Courses - Planned vs Need (Active Courses)]],Table2[Walk-ins])</f>
        <v>0</v>
      </c>
    </row>
    <row r="22" spans="2:14" ht="15.75" x14ac:dyDescent="0.25">
      <c r="B22" s="91" t="s">
        <v>41</v>
      </c>
      <c r="C22" s="39"/>
      <c r="D22" s="39" t="s">
        <v>30</v>
      </c>
      <c r="E22" s="39">
        <f>COUNTIFS(Table2[Course Title],Table3112[[#This Row],[Courses - Planned vs Need (Active Courses)]],Table2[Remaining Courses],"0")</f>
        <v>0</v>
      </c>
      <c r="F22" s="79">
        <f>COUNTIFS(Table2[Course Title],Table3112[[#This Row],[Courses - Planned vs Need (Active Courses)]],Table2[Location],"Global Online",Table2[Remaining Courses],"0")</f>
        <v>0</v>
      </c>
      <c r="G22" s="39">
        <f>Table3112[[#This Row],[Course Offerings Todate]]-Table3112[[#This Row],[Online]]</f>
        <v>0</v>
      </c>
      <c r="H22" s="37">
        <v>25</v>
      </c>
      <c r="I22" s="39">
        <f>Table3112[[#This Row],[Course Offerings Todate]]*Table3112[[#This Row],[Quotas Per Convening]]</f>
        <v>0</v>
      </c>
      <c r="J22" s="39">
        <f>SUM(Table3112[[#This Row],[Total Grads]]+Table3112[[#This Row],[Fails]]+Table3112[[#This Row],[No Shows]])</f>
        <v>0</v>
      </c>
      <c r="K22" s="39">
        <f>SUMIF(Table2[Course Title],Table3112[[#This Row],[Courses - Planned vs Need (Active Courses)]],Table2[Graduates])</f>
        <v>0</v>
      </c>
      <c r="L22" s="39">
        <f>SUMIF(Table2[Course Title],Table3112[[#This Row],[Courses - Planned vs Need (Active Courses)]],Table2[Fail])</f>
        <v>0</v>
      </c>
      <c r="M22" s="39">
        <f>SUMIF(Table2[Course Title],Table3112[[#This Row],[Courses - Planned vs Need (Active Courses)]],Table2[No Shows])</f>
        <v>0</v>
      </c>
      <c r="N22" s="39">
        <f>SUMIF(Table2[Course Title],Table3112[[#This Row],[Courses - Planned vs Need (Active Courses)]],Table2[Walk-ins])</f>
        <v>0</v>
      </c>
    </row>
    <row r="23" spans="2:14" ht="15.75" x14ac:dyDescent="0.25">
      <c r="B23" s="91" t="s">
        <v>42</v>
      </c>
      <c r="C23" s="39"/>
      <c r="D23" s="39" t="s">
        <v>30</v>
      </c>
      <c r="E23" s="39">
        <f ca="1">COUNTIFS(Table2[Course Title],Table3112[[#This Row],[Courses - Planned vs Need (Active Courses)]],Table2[Remaining Courses],"0")</f>
        <v>0</v>
      </c>
      <c r="F23" s="79">
        <f ca="1">COUNTIFS(Table2[Course Title],Table3112[[#This Row],[Courses - Planned vs Need (Active Courses)]],Table2[Location],"Global Online",Table2[Remaining Courses],"0")</f>
        <v>0</v>
      </c>
      <c r="G23" s="39">
        <f ca="1">Table3112[[#This Row],[Course Offerings Todate]]-Table3112[[#This Row],[Online]]</f>
        <v>0</v>
      </c>
      <c r="H23" s="37">
        <v>30</v>
      </c>
      <c r="I23" s="39">
        <f ca="1">Table3112[[#This Row],[Course Offerings Todate]]*Table3112[[#This Row],[Quotas Per Convening]]</f>
        <v>0</v>
      </c>
      <c r="J23" s="39">
        <f>SUM(Table3112[[#This Row],[Total Grads]]+Table3112[[#This Row],[Fails]]+Table3112[[#This Row],[No Shows]])</f>
        <v>0</v>
      </c>
      <c r="K23" s="39">
        <f>SUMIF(Table2[Course Title],Table3112[[#This Row],[Courses - Planned vs Need (Active Courses)]],Table2[Graduates])</f>
        <v>0</v>
      </c>
      <c r="L23" s="39">
        <f>SUMIF(Table2[Course Title],Table3112[[#This Row],[Courses - Planned vs Need (Active Courses)]],Table2[Fail])</f>
        <v>0</v>
      </c>
      <c r="M23" s="39">
        <f>SUMIF(Table2[Course Title],Table3112[[#This Row],[Courses - Planned vs Need (Active Courses)]],Table2[No Shows])</f>
        <v>0</v>
      </c>
      <c r="N23" s="39">
        <f>SUMIF(Table2[Course Title],Table3112[[#This Row],[Courses - Planned vs Need (Active Courses)]],Table2[Walk-ins])</f>
        <v>0</v>
      </c>
    </row>
    <row r="24" spans="2:14" ht="15.75" x14ac:dyDescent="0.25">
      <c r="B24" s="91" t="s">
        <v>43</v>
      </c>
      <c r="C24" s="39"/>
      <c r="D24" s="39" t="s">
        <v>30</v>
      </c>
      <c r="E24" s="39">
        <f>COUNTIFS(Table2[Course Title],Table3112[[#This Row],[Courses - Planned vs Need (Active Courses)]],Table2[Remaining Courses],"0")</f>
        <v>0</v>
      </c>
      <c r="F24" s="79">
        <f>COUNTIFS(Table2[Course Title],Table3112[[#This Row],[Courses - Planned vs Need (Active Courses)]],Table2[Location],"Global Online",Table2[Remaining Courses],"0")</f>
        <v>0</v>
      </c>
      <c r="G24" s="39">
        <f>Table3112[[#This Row],[Course Offerings Todate]]-Table3112[[#This Row],[Online]]</f>
        <v>0</v>
      </c>
      <c r="H24" s="37">
        <v>25</v>
      </c>
      <c r="I24" s="39">
        <f>Table3112[[#This Row],[Course Offerings Todate]]*Table3112[[#This Row],[Quotas Per Convening]]</f>
        <v>0</v>
      </c>
      <c r="J24" s="39">
        <f>SUM(Table3112[[#This Row],[Total Grads]]+Table3112[[#This Row],[Fails]]+Table3112[[#This Row],[No Shows]])</f>
        <v>0</v>
      </c>
      <c r="K24" s="39">
        <f>SUMIF(Table2[Course Title],Table3112[[#This Row],[Courses - Planned vs Need (Active Courses)]],Table2[Graduates])</f>
        <v>0</v>
      </c>
      <c r="L24" s="39">
        <f>SUMIF(Table2[Course Title],Table3112[[#This Row],[Courses - Planned vs Need (Active Courses)]],Table2[Fail])</f>
        <v>0</v>
      </c>
      <c r="M24" s="39">
        <f>SUMIF(Table2[Course Title],Table3112[[#This Row],[Courses - Planned vs Need (Active Courses)]],Table2[No Shows])</f>
        <v>0</v>
      </c>
      <c r="N24" s="39">
        <f>SUMIF(Table2[Course Title],Table3112[[#This Row],[Courses - Planned vs Need (Active Courses)]],Table2[Walk-ins])</f>
        <v>0</v>
      </c>
    </row>
    <row r="25" spans="2:14" ht="15.75" x14ac:dyDescent="0.25">
      <c r="B25" s="91" t="s">
        <v>44</v>
      </c>
      <c r="C25" s="39"/>
      <c r="D25" s="39" t="s">
        <v>30</v>
      </c>
      <c r="E25" s="39">
        <f ca="1">COUNTIFS(Table2[Course Title],Table3112[[#This Row],[Courses - Planned vs Need (Active Courses)]],Table2[Remaining Courses],"0")</f>
        <v>0</v>
      </c>
      <c r="F25" s="79">
        <f ca="1">COUNTIFS(Table2[Course Title],Table3112[[#This Row],[Courses - Planned vs Need (Active Courses)]],Table2[Location],"Global Online",Table2[Remaining Courses],"0")</f>
        <v>0</v>
      </c>
      <c r="G25" s="39">
        <f ca="1">Table3112[[#This Row],[Course Offerings Todate]]-Table3112[[#This Row],[Online]]</f>
        <v>0</v>
      </c>
      <c r="H25" s="37">
        <v>30</v>
      </c>
      <c r="I25" s="39">
        <f ca="1">Table3112[[#This Row],[Course Offerings Todate]]*Table3112[[#This Row],[Quotas Per Convening]]</f>
        <v>0</v>
      </c>
      <c r="J25" s="39">
        <f>SUM(Table3112[[#This Row],[Total Grads]]+Table3112[[#This Row],[Fails]]+Table3112[[#This Row],[No Shows]])</f>
        <v>0</v>
      </c>
      <c r="K25" s="39">
        <f>SUMIF(Table2[Course Title],Table3112[[#This Row],[Courses - Planned vs Need (Active Courses)]],Table2[Graduates])</f>
        <v>0</v>
      </c>
      <c r="L25" s="39">
        <f>SUMIF(Table2[Course Title],Table3112[[#This Row],[Courses - Planned vs Need (Active Courses)]],Table2[Fail])</f>
        <v>0</v>
      </c>
      <c r="M25" s="39">
        <f>SUMIF(Table2[Course Title],Table3112[[#This Row],[Courses - Planned vs Need (Active Courses)]],Table2[No Shows])</f>
        <v>0</v>
      </c>
      <c r="N25" s="39">
        <f>SUMIF(Table2[Course Title],Table3112[[#This Row],[Courses - Planned vs Need (Active Courses)]],Table2[Walk-ins])</f>
        <v>0</v>
      </c>
    </row>
    <row r="26" spans="2:14" ht="15.75" x14ac:dyDescent="0.25">
      <c r="B26" s="91" t="s">
        <v>45</v>
      </c>
      <c r="C26" s="39"/>
      <c r="D26" s="39" t="s">
        <v>30</v>
      </c>
      <c r="E26" s="39">
        <f ca="1">COUNTIFS(Table2[Course Title],Table3112[[#This Row],[Courses - Planned vs Need (Active Courses)]],Table2[Remaining Courses],"0")</f>
        <v>0</v>
      </c>
      <c r="F26" s="79">
        <f>COUNTIFS(Table2[Course Title],Table3112[[#This Row],[Courses - Planned vs Need (Active Courses)]],Table2[Location],"Global Online",Table2[Remaining Courses],"0")</f>
        <v>0</v>
      </c>
      <c r="G26" s="39">
        <f ca="1">Table3112[[#This Row],[Course Offerings Todate]]-Table3112[[#This Row],[Online]]</f>
        <v>0</v>
      </c>
      <c r="H26" s="37">
        <v>25</v>
      </c>
      <c r="I26" s="39">
        <f ca="1">Table3112[[#This Row],[Course Offerings Todate]]*Table3112[[#This Row],[Quotas Per Convening]]</f>
        <v>0</v>
      </c>
      <c r="J26" s="39">
        <f>SUM(Table3112[[#This Row],[Total Grads]]+Table3112[[#This Row],[Fails]]+Table3112[[#This Row],[No Shows]])</f>
        <v>0</v>
      </c>
      <c r="K26" s="39">
        <f>SUMIF(Table2[Course Title],Table3112[[#This Row],[Courses - Planned vs Need (Active Courses)]],Table2[Graduates])</f>
        <v>0</v>
      </c>
      <c r="L26" s="39">
        <f>SUMIF(Table2[Course Title],Table3112[[#This Row],[Courses - Planned vs Need (Active Courses)]],Table2[Fail])</f>
        <v>0</v>
      </c>
      <c r="M26" s="39">
        <f>SUMIF(Table2[Course Title],Table3112[[#This Row],[Courses - Planned vs Need (Active Courses)]],Table2[No Shows])</f>
        <v>0</v>
      </c>
      <c r="N26" s="39">
        <f>SUMIF(Table2[Course Title],Table3112[[#This Row],[Courses - Planned vs Need (Active Courses)]],Table2[Walk-ins])</f>
        <v>0</v>
      </c>
    </row>
    <row r="27" spans="2:14" ht="15.75" x14ac:dyDescent="0.25">
      <c r="B27" s="91" t="s">
        <v>46</v>
      </c>
      <c r="C27" s="39"/>
      <c r="D27" s="39" t="s">
        <v>30</v>
      </c>
      <c r="E27" s="39">
        <f ca="1">COUNTIFS(Table2[Course Title],Table3112[[#This Row],[Courses - Planned vs Need (Active Courses)]],Table2[Remaining Courses],"0")</f>
        <v>0</v>
      </c>
      <c r="F27" s="79">
        <f ca="1">COUNTIFS(Table2[Course Title],Table3112[[#This Row],[Courses - Planned vs Need (Active Courses)]],Table2[Location],"Global Online",Table2[Remaining Courses],"0")</f>
        <v>0</v>
      </c>
      <c r="G27" s="39">
        <f ca="1">Table3112[[#This Row],[Course Offerings Todate]]-Table3112[[#This Row],[Online]]</f>
        <v>0</v>
      </c>
      <c r="H27" s="37">
        <v>30</v>
      </c>
      <c r="I27" s="39">
        <f ca="1">Table3112[[#This Row],[Course Offerings Todate]]*Table3112[[#This Row],[Quotas Per Convening]]</f>
        <v>0</v>
      </c>
      <c r="J27" s="39">
        <f>SUM(Table3112[[#This Row],[Total Grads]]+Table3112[[#This Row],[Fails]]+Table3112[[#This Row],[No Shows]])</f>
        <v>0</v>
      </c>
      <c r="K27" s="39">
        <f>SUMIF(Table2[Course Title],Table3112[[#This Row],[Courses - Planned vs Need (Active Courses)]],Table2[Graduates])</f>
        <v>0</v>
      </c>
      <c r="L27" s="39">
        <f>SUMIF(Table2[Course Title],Table3112[[#This Row],[Courses - Planned vs Need (Active Courses)]],Table2[Fail])</f>
        <v>0</v>
      </c>
      <c r="M27" s="39">
        <f>SUMIF(Table2[Course Title],Table3112[[#This Row],[Courses - Planned vs Need (Active Courses)]],Table2[No Shows])</f>
        <v>0</v>
      </c>
      <c r="N27" s="39">
        <f>SUMIF(Table2[Course Title],Table3112[[#This Row],[Courses - Planned vs Need (Active Courses)]],Table2[Walk-ins])</f>
        <v>0</v>
      </c>
    </row>
    <row r="28" spans="2:14" ht="15.75" x14ac:dyDescent="0.25">
      <c r="B28" s="92" t="s">
        <v>47</v>
      </c>
      <c r="C28" s="39" t="s">
        <v>18</v>
      </c>
      <c r="D28" s="39" t="s">
        <v>30</v>
      </c>
      <c r="E28" s="39">
        <f ca="1">COUNTIFS(Table2[Course Title],Table3112[[#This Row],[Courses - Planned vs Need (Active Courses)]],Table2[Remaining Courses],"0")</f>
        <v>0</v>
      </c>
      <c r="F28" s="79">
        <f ca="1">COUNTIFS(Table2[Course Title],Table3112[[#This Row],[Courses - Planned vs Need (Active Courses)]],Table2[Location],"Global Online",Table2[Remaining Courses],"0")</f>
        <v>0</v>
      </c>
      <c r="G28" s="39">
        <f ca="1">Table3112[[#This Row],[Course Offerings Todate]]-Table3112[[#This Row],[Online]]</f>
        <v>0</v>
      </c>
      <c r="H28" s="37">
        <v>25</v>
      </c>
      <c r="I28" s="39">
        <f ca="1">Table3112[[#This Row],[Course Offerings Todate]]*Table3112[[#This Row],[Quotas Per Convening]]</f>
        <v>0</v>
      </c>
      <c r="J28" s="39">
        <f>SUM(Table3112[[#This Row],[Total Grads]]+Table3112[[#This Row],[Fails]]+Table3112[[#This Row],[No Shows]])</f>
        <v>0</v>
      </c>
      <c r="K28" s="39">
        <f>SUMIF(Table2[Course Title],Table3112[[#This Row],[Courses - Planned vs Need (Active Courses)]],Table2[Graduates])</f>
        <v>0</v>
      </c>
      <c r="L28" s="39">
        <f>SUMIF(Table2[Course Title],Table3112[[#This Row],[Courses - Planned vs Need (Active Courses)]],Table2[Fail])</f>
        <v>0</v>
      </c>
      <c r="M28" s="39">
        <f>SUMIF(Table2[Course Title],Table3112[[#This Row],[Courses - Planned vs Need (Active Courses)]],Table2[No Shows])</f>
        <v>0</v>
      </c>
      <c r="N28" s="39">
        <f>SUMIF(Table2[Course Title],Table3112[[#This Row],[Courses - Planned vs Need (Active Courses)]],Table2[Walk-ins])</f>
        <v>0</v>
      </c>
    </row>
    <row r="29" spans="2:14" ht="15.75" x14ac:dyDescent="0.25">
      <c r="B29" s="91" t="s">
        <v>48</v>
      </c>
      <c r="C29" s="39"/>
      <c r="D29" s="39" t="s">
        <v>30</v>
      </c>
      <c r="E29" s="39">
        <f ca="1">COUNTIFS(Table2[Course Title],Table3112[[#This Row],[Courses - Planned vs Need (Active Courses)]],Table2[Remaining Courses],"0")</f>
        <v>0</v>
      </c>
      <c r="F29" s="79">
        <f>COUNTIFS(Table2[Course Title],Table3112[[#This Row],[Courses - Planned vs Need (Active Courses)]],Table2[Location],"Global Online",Table2[Remaining Courses],"0")</f>
        <v>0</v>
      </c>
      <c r="G29" s="39">
        <f ca="1">Table3112[[#This Row],[Course Offerings Todate]]-Table3112[[#This Row],[Online]]</f>
        <v>0</v>
      </c>
      <c r="H29" s="37">
        <v>25</v>
      </c>
      <c r="I29" s="39">
        <f ca="1">Table3112[[#This Row],[Course Offerings Todate]]*Table3112[[#This Row],[Quotas Per Convening]]</f>
        <v>0</v>
      </c>
      <c r="J29" s="39">
        <f>SUM(Table3112[[#This Row],[Total Grads]]+Table3112[[#This Row],[Fails]]+Table3112[[#This Row],[No Shows]])</f>
        <v>0</v>
      </c>
      <c r="K29" s="39">
        <f>SUMIF(Table2[Course Title],Table3112[[#This Row],[Courses - Planned vs Need (Active Courses)]],Table2[Graduates])</f>
        <v>0</v>
      </c>
      <c r="L29" s="39">
        <f>SUMIF(Table2[Course Title],Table3112[[#This Row],[Courses - Planned vs Need (Active Courses)]],Table2[Fail])</f>
        <v>0</v>
      </c>
      <c r="M29" s="39">
        <f>SUMIF(Table2[Course Title],Table3112[[#This Row],[Courses - Planned vs Need (Active Courses)]],Table2[No Shows])</f>
        <v>0</v>
      </c>
      <c r="N29" s="39">
        <f>SUMIF(Table2[Course Title],Table3112[[#This Row],[Courses - Planned vs Need (Active Courses)]],Table2[Walk-ins])</f>
        <v>0</v>
      </c>
    </row>
    <row r="30" spans="2:14" ht="15.75" x14ac:dyDescent="0.25">
      <c r="B30" s="91" t="s">
        <v>49</v>
      </c>
      <c r="C30" s="39"/>
      <c r="D30" s="39" t="s">
        <v>30</v>
      </c>
      <c r="E30" s="39">
        <f ca="1">COUNTIFS(Table2[Course Title],Table3112[[#This Row],[Courses - Planned vs Need (Active Courses)]],Table2[Remaining Courses],"0")</f>
        <v>0</v>
      </c>
      <c r="F30" s="79">
        <f>COUNTIFS(Table2[Course Title],Table3112[[#This Row],[Courses - Planned vs Need (Active Courses)]],Table2[Location],"Global Online",Table2[Remaining Courses],"0")</f>
        <v>0</v>
      </c>
      <c r="G30" s="39">
        <f ca="1">Table3112[[#This Row],[Course Offerings Todate]]-Table3112[[#This Row],[Online]]</f>
        <v>0</v>
      </c>
      <c r="H30" s="37">
        <v>25</v>
      </c>
      <c r="I30" s="39">
        <f ca="1">Table3112[[#This Row],[Course Offerings Todate]]*Table3112[[#This Row],[Quotas Per Convening]]</f>
        <v>0</v>
      </c>
      <c r="J30" s="39">
        <f>SUM(Table3112[[#This Row],[Total Grads]]+Table3112[[#This Row],[Fails]]+Table3112[[#This Row],[No Shows]])</f>
        <v>0</v>
      </c>
      <c r="K30" s="39">
        <f>SUMIF(Table2[Course Title],Table3112[[#This Row],[Courses - Planned vs Need (Active Courses)]],Table2[Graduates])</f>
        <v>0</v>
      </c>
      <c r="L30" s="39">
        <f>SUMIF(Table2[Course Title],Table3112[[#This Row],[Courses - Planned vs Need (Active Courses)]],Table2[Fail])</f>
        <v>0</v>
      </c>
      <c r="M30" s="39">
        <f>SUMIF(Table2[Course Title],Table3112[[#This Row],[Courses - Planned vs Need (Active Courses)]],Table2[No Shows])</f>
        <v>0</v>
      </c>
      <c r="N30" s="39">
        <f>SUMIF(Table2[Course Title],Table3112[[#This Row],[Courses - Planned vs Need (Active Courses)]],Table2[Walk-ins])</f>
        <v>0</v>
      </c>
    </row>
    <row r="31" spans="2:14" ht="15.75" x14ac:dyDescent="0.25">
      <c r="B31" s="91" t="s">
        <v>50</v>
      </c>
      <c r="C31" s="39"/>
      <c r="D31" s="39" t="s">
        <v>30</v>
      </c>
      <c r="E31" s="39">
        <f ca="1">COUNTIFS(Table2[Course Title],Table3112[[#This Row],[Courses - Planned vs Need (Active Courses)]],Table2[Remaining Courses],"0")</f>
        <v>0</v>
      </c>
      <c r="F31" s="79">
        <f ca="1">COUNTIFS(Table2[Course Title],Table3112[[#This Row],[Courses - Planned vs Need (Active Courses)]],Table2[Location],"Global Online",Table2[Remaining Courses],"0")</f>
        <v>0</v>
      </c>
      <c r="G31" s="39">
        <f ca="1">Table3112[[#This Row],[Course Offerings Todate]]-Table3112[[#This Row],[Online]]</f>
        <v>0</v>
      </c>
      <c r="H31" s="37">
        <v>40</v>
      </c>
      <c r="I31" s="39">
        <f ca="1">Table3112[[#This Row],[Course Offerings Todate]]*Table3112[[#This Row],[Quotas Per Convening]]</f>
        <v>0</v>
      </c>
      <c r="J31" s="39">
        <f>SUM(Table3112[[#This Row],[Total Grads]]+Table3112[[#This Row],[Fails]]+Table3112[[#This Row],[No Shows]])</f>
        <v>0</v>
      </c>
      <c r="K31" s="39">
        <f>SUMIF(Table2[Course Title],Table3112[[#This Row],[Courses - Planned vs Need (Active Courses)]],Table2[Graduates])</f>
        <v>0</v>
      </c>
      <c r="L31" s="39">
        <f>SUMIF(Table2[Course Title],Table3112[[#This Row],[Courses - Planned vs Need (Active Courses)]],Table2[Fail])</f>
        <v>0</v>
      </c>
      <c r="M31" s="39">
        <f>SUMIF(Table2[Course Title],Table3112[[#This Row],[Courses - Planned vs Need (Active Courses)]],Table2[No Shows])</f>
        <v>0</v>
      </c>
      <c r="N31" s="39">
        <f>SUMIF(Table2[Course Title],Table3112[[#This Row],[Courses - Planned vs Need (Active Courses)]],Table2[Walk-ins])</f>
        <v>0</v>
      </c>
    </row>
    <row r="32" spans="2:14" ht="15.75" x14ac:dyDescent="0.25">
      <c r="B32" s="91" t="s">
        <v>51</v>
      </c>
      <c r="C32" s="39"/>
      <c r="D32" s="39" t="s">
        <v>30</v>
      </c>
      <c r="E32" s="39">
        <f ca="1">COUNTIFS(Table2[Course Title],Table3112[[#This Row],[Courses - Planned vs Need (Active Courses)]],Table2[Remaining Courses],"0")</f>
        <v>0</v>
      </c>
      <c r="F32" s="79">
        <f ca="1">COUNTIFS(Table2[Course Title],Table3112[[#This Row],[Courses - Planned vs Need (Active Courses)]],Table2[Location],"Global Online",Table2[Remaining Courses],"0")</f>
        <v>0</v>
      </c>
      <c r="G32" s="39">
        <f ca="1">Table3112[[#This Row],[Course Offerings Todate]]-Table3112[[#This Row],[Online]]</f>
        <v>0</v>
      </c>
      <c r="H32" s="37">
        <v>30</v>
      </c>
      <c r="I32" s="39">
        <f ca="1">Table3112[[#This Row],[Course Offerings Todate]]*Table3112[[#This Row],[Quotas Per Convening]]</f>
        <v>0</v>
      </c>
      <c r="J32" s="39">
        <f>SUM(Table3112[[#This Row],[Total Grads]]+Table3112[[#This Row],[Fails]]+Table3112[[#This Row],[No Shows]])</f>
        <v>0</v>
      </c>
      <c r="K32" s="39">
        <f>SUMIF(Table2[Course Title],Table3112[[#This Row],[Courses - Planned vs Need (Active Courses)]],Table2[Graduates])</f>
        <v>0</v>
      </c>
      <c r="L32" s="39">
        <f>SUMIF(Table2[Course Title],Table3112[[#This Row],[Courses - Planned vs Need (Active Courses)]],Table2[Fail])</f>
        <v>0</v>
      </c>
      <c r="M32" s="39">
        <f>SUMIF(Table2[Course Title],Table3112[[#This Row],[Courses - Planned vs Need (Active Courses)]],Table2[No Shows])</f>
        <v>0</v>
      </c>
      <c r="N32" s="39">
        <f>SUMIF(Table2[Course Title],Table3112[[#This Row],[Courses - Planned vs Need (Active Courses)]],Table2[Walk-ins])</f>
        <v>0</v>
      </c>
    </row>
    <row r="33" spans="2:14" ht="15.75" x14ac:dyDescent="0.25">
      <c r="B33" s="91" t="s">
        <v>52</v>
      </c>
      <c r="C33" s="39"/>
      <c r="D33" s="39" t="s">
        <v>30</v>
      </c>
      <c r="E33" s="39">
        <f ca="1">COUNTIFS(Table2[Course Title],Table3112[[#This Row],[Courses - Planned vs Need (Active Courses)]],Table2[Remaining Courses],"0")</f>
        <v>0</v>
      </c>
      <c r="F33" s="79">
        <f ca="1">COUNTIFS(Table2[Course Title],Table3112[[#This Row],[Courses - Planned vs Need (Active Courses)]],Table2[Location],"Global Online",Table2[Remaining Courses],"0")</f>
        <v>0</v>
      </c>
      <c r="G33" s="39">
        <f ca="1">Table3112[[#This Row],[Course Offerings Todate]]-Table3112[[#This Row],[Online]]</f>
        <v>0</v>
      </c>
      <c r="H33" s="37">
        <v>30</v>
      </c>
      <c r="I33" s="39">
        <f ca="1">Table3112[[#This Row],[Course Offerings Todate]]*Table3112[[#This Row],[Quotas Per Convening]]</f>
        <v>0</v>
      </c>
      <c r="J33" s="39">
        <f>SUM(Table3112[[#This Row],[Total Grads]]+Table3112[[#This Row],[Fails]]+Table3112[[#This Row],[No Shows]])</f>
        <v>0</v>
      </c>
      <c r="K33" s="39">
        <f>SUMIF(Table2[Course Title],Table3112[[#This Row],[Courses - Planned vs Need (Active Courses)]],Table2[Graduates])</f>
        <v>0</v>
      </c>
      <c r="L33" s="39">
        <f>SUMIF(Table2[Course Title],Table3112[[#This Row],[Courses - Planned vs Need (Active Courses)]],Table2[Fail])</f>
        <v>0</v>
      </c>
      <c r="M33" s="39">
        <f>SUMIF(Table2[Course Title],Table3112[[#This Row],[Courses - Planned vs Need (Active Courses)]],Table2[No Shows])</f>
        <v>0</v>
      </c>
      <c r="N33" s="39">
        <f>SUMIF(Table2[Course Title],Table3112[[#This Row],[Courses - Planned vs Need (Active Courses)]],Table2[Walk-ins])</f>
        <v>0</v>
      </c>
    </row>
    <row r="34" spans="2:14" ht="15.75" x14ac:dyDescent="0.25">
      <c r="B34" s="91" t="s">
        <v>53</v>
      </c>
      <c r="C34" s="39"/>
      <c r="D34" s="39" t="s">
        <v>30</v>
      </c>
      <c r="E34" s="39">
        <f ca="1">COUNTIFS(Table2[Course Title],Table3112[[#This Row],[Courses - Planned vs Need (Active Courses)]],Table2[Remaining Courses],"0")</f>
        <v>0</v>
      </c>
      <c r="F34" s="79">
        <f>COUNTIFS(Table2[Course Title],Table3112[[#This Row],[Courses - Planned vs Need (Active Courses)]],Table2[Location],"Global Online",Table2[Remaining Courses],"0")</f>
        <v>0</v>
      </c>
      <c r="G34" s="39">
        <f ca="1">Table3112[[#This Row],[Course Offerings Todate]]-Table3112[[#This Row],[Online]]</f>
        <v>0</v>
      </c>
      <c r="H34" s="37">
        <v>30</v>
      </c>
      <c r="I34" s="39">
        <f ca="1">Table3112[[#This Row],[Course Offerings Todate]]*Table3112[[#This Row],[Quotas Per Convening]]</f>
        <v>0</v>
      </c>
      <c r="J34" s="39">
        <f>SUM(Table3112[[#This Row],[Total Grads]]+Table3112[[#This Row],[Fails]]+Table3112[[#This Row],[No Shows]])</f>
        <v>0</v>
      </c>
      <c r="K34" s="39">
        <f>SUMIF(Table2[Course Title],Table3112[[#This Row],[Courses - Planned vs Need (Active Courses)]],Table2[Graduates])</f>
        <v>0</v>
      </c>
      <c r="L34" s="39">
        <f>SUMIF(Table2[Course Title],Table3112[[#This Row],[Courses - Planned vs Need (Active Courses)]],Table2[Fail])</f>
        <v>0</v>
      </c>
      <c r="M34" s="39">
        <f>SUMIF(Table2[Course Title],Table3112[[#This Row],[Courses - Planned vs Need (Active Courses)]],Table2[No Shows])</f>
        <v>0</v>
      </c>
      <c r="N34" s="39">
        <f>SUMIF(Table2[Course Title],Table3112[[#This Row],[Courses - Planned vs Need (Active Courses)]],Table2[Walk-ins])</f>
        <v>0</v>
      </c>
    </row>
    <row r="35" spans="2:14" ht="15.75" x14ac:dyDescent="0.25">
      <c r="B35" s="91" t="s">
        <v>54</v>
      </c>
      <c r="C35" s="39"/>
      <c r="D35" s="39" t="s">
        <v>30</v>
      </c>
      <c r="E35" s="39">
        <f ca="1">COUNTIFS(Table2[Course Title],Table3112[[#This Row],[Courses - Planned vs Need (Active Courses)]],Table2[Remaining Courses],"0")</f>
        <v>0</v>
      </c>
      <c r="F35" s="79">
        <f ca="1">COUNTIFS(Table2[Course Title],Table3112[[#This Row],[Courses - Planned vs Need (Active Courses)]],Table2[Location],"Global Online",Table2[Remaining Courses],"0")</f>
        <v>0</v>
      </c>
      <c r="G35" s="39">
        <f ca="1">Table3112[[#This Row],[Course Offerings Todate]]-Table3112[[#This Row],[Online]]</f>
        <v>0</v>
      </c>
      <c r="H35" s="37">
        <v>25</v>
      </c>
      <c r="I35" s="39">
        <f ca="1">Table3112[[#This Row],[Course Offerings Todate]]*Table3112[[#This Row],[Quotas Per Convening]]</f>
        <v>0</v>
      </c>
      <c r="J35" s="39">
        <f>SUM(Table3112[[#This Row],[Total Grads]]+Table3112[[#This Row],[Fails]]+Table3112[[#This Row],[No Shows]])</f>
        <v>0</v>
      </c>
      <c r="K35" s="39">
        <f>SUMIF(Table2[Course Title],Table3112[[#This Row],[Courses - Planned vs Need (Active Courses)]],Table2[Graduates])</f>
        <v>0</v>
      </c>
      <c r="L35" s="39">
        <f>SUMIF(Table2[Course Title],Table3112[[#This Row],[Courses - Planned vs Need (Active Courses)]],Table2[Fail])</f>
        <v>0</v>
      </c>
      <c r="M35" s="39">
        <f>SUMIF(Table2[Course Title],Table3112[[#This Row],[Courses - Planned vs Need (Active Courses)]],Table2[No Shows])</f>
        <v>0</v>
      </c>
      <c r="N35" s="39">
        <f>SUMIF(Table2[Course Title],Table3112[[#This Row],[Courses - Planned vs Need (Active Courses)]],Table2[Walk-ins])</f>
        <v>0</v>
      </c>
    </row>
    <row r="36" spans="2:14" ht="15.75" x14ac:dyDescent="0.25">
      <c r="B36" s="92" t="s">
        <v>55</v>
      </c>
      <c r="C36" s="39" t="s">
        <v>18</v>
      </c>
      <c r="D36" s="39" t="s">
        <v>30</v>
      </c>
      <c r="E36" s="39">
        <f ca="1">COUNTIFS(Table2[Course Title],Table3112[[#This Row],[Courses - Planned vs Need (Active Courses)]],Table2[Remaining Courses],"0")</f>
        <v>0</v>
      </c>
      <c r="F36" s="79">
        <f>COUNTIFS(Table2[Course Title],Table3112[[#This Row],[Courses - Planned vs Need (Active Courses)]],Table2[Location],"Global Online",Table2[Remaining Courses],"0")</f>
        <v>0</v>
      </c>
      <c r="G36" s="39">
        <f ca="1">Table3112[[#This Row],[Course Offerings Todate]]-Table3112[[#This Row],[Online]]</f>
        <v>0</v>
      </c>
      <c r="H36" s="37">
        <v>25</v>
      </c>
      <c r="I36" s="39">
        <f ca="1">Table3112[[#This Row],[Course Offerings Todate]]*Table3112[[#This Row],[Quotas Per Convening]]</f>
        <v>0</v>
      </c>
      <c r="J36" s="39">
        <f>SUM(Table3112[[#This Row],[Total Grads]]+Table3112[[#This Row],[Fails]]+Table3112[[#This Row],[No Shows]])</f>
        <v>0</v>
      </c>
      <c r="K36" s="39">
        <f>SUMIF(Table2[Course Title],Table3112[[#This Row],[Courses - Planned vs Need (Active Courses)]],Table2[Graduates])</f>
        <v>0</v>
      </c>
      <c r="L36" s="39">
        <f>SUMIF(Table2[Course Title],Table3112[[#This Row],[Courses - Planned vs Need (Active Courses)]],Table2[Fail])</f>
        <v>0</v>
      </c>
      <c r="M36" s="39">
        <f>SUMIF(Table2[Course Title],Table3112[[#This Row],[Courses - Planned vs Need (Active Courses)]],Table2[No Shows])</f>
        <v>0</v>
      </c>
      <c r="N36" s="39">
        <f>SUMIF(Table2[Course Title],Table3112[[#This Row],[Courses - Planned vs Need (Active Courses)]],Table2[Walk-ins])</f>
        <v>0</v>
      </c>
    </row>
    <row r="37" spans="2:14" ht="15.75" x14ac:dyDescent="0.25">
      <c r="B37" s="92" t="s">
        <v>56</v>
      </c>
      <c r="C37" s="39" t="s">
        <v>18</v>
      </c>
      <c r="D37" s="39" t="s">
        <v>30</v>
      </c>
      <c r="E37" s="39">
        <f ca="1">COUNTIFS(Table2[Course Title],Table3112[[#This Row],[Courses - Planned vs Need (Active Courses)]],Table2[Remaining Courses],"0")</f>
        <v>0</v>
      </c>
      <c r="F37" s="79">
        <f>COUNTIFS(Table2[Course Title],Table3112[[#This Row],[Courses - Planned vs Need (Active Courses)]],Table2[Location],"Global Online",Table2[Remaining Courses],"0")</f>
        <v>0</v>
      </c>
      <c r="G37" s="39">
        <f ca="1">Table3112[[#This Row],[Course Offerings Todate]]-Table3112[[#This Row],[Online]]</f>
        <v>0</v>
      </c>
      <c r="H37" s="37">
        <v>35</v>
      </c>
      <c r="I37" s="39">
        <f ca="1">Table3112[[#This Row],[Course Offerings Todate]]*Table3112[[#This Row],[Quotas Per Convening]]</f>
        <v>0</v>
      </c>
      <c r="J37" s="39">
        <f>SUM(Table3112[[#This Row],[Total Grads]]+Table3112[[#This Row],[Fails]]+Table3112[[#This Row],[No Shows]])</f>
        <v>0</v>
      </c>
      <c r="K37" s="39">
        <f>SUMIF(Table2[Course Title],Table3112[[#This Row],[Courses - Planned vs Need (Active Courses)]],Table2[Graduates])</f>
        <v>0</v>
      </c>
      <c r="L37" s="39">
        <f>SUMIF(Table2[Course Title],Table3112[[#This Row],[Courses - Planned vs Need (Active Courses)]],Table2[Fail])</f>
        <v>0</v>
      </c>
      <c r="M37" s="39">
        <f>SUMIF(Table2[Course Title],Table3112[[#This Row],[Courses - Planned vs Need (Active Courses)]],Table2[No Shows])</f>
        <v>0</v>
      </c>
      <c r="N37" s="39">
        <f>SUMIF(Table2[Course Title],Table3112[[#This Row],[Courses - Planned vs Need (Active Courses)]],Table2[Walk-ins])</f>
        <v>0</v>
      </c>
    </row>
    <row r="38" spans="2:14" ht="15.75" x14ac:dyDescent="0.25">
      <c r="B38" s="91" t="s">
        <v>57</v>
      </c>
      <c r="C38" s="39"/>
      <c r="D38" s="39" t="s">
        <v>30</v>
      </c>
      <c r="E38" s="39">
        <f ca="1">COUNTIFS(Table2[Course Title],Table3112[[#This Row],[Courses - Planned vs Need (Active Courses)]],Table2[Remaining Courses],"0")</f>
        <v>0</v>
      </c>
      <c r="F38" s="79">
        <f ca="1">COUNTIFS(Table2[Course Title],Table3112[[#This Row],[Courses - Planned vs Need (Active Courses)]],Table2[Location],"Global Online",Table2[Remaining Courses],"0")</f>
        <v>0</v>
      </c>
      <c r="G38" s="39">
        <f ca="1">Table3112[[#This Row],[Course Offerings Todate]]-Table3112[[#This Row],[Online]]</f>
        <v>0</v>
      </c>
      <c r="H38" s="37">
        <v>45</v>
      </c>
      <c r="I38" s="39">
        <f ca="1">Table3112[[#This Row],[Course Offerings Todate]]*Table3112[[#This Row],[Quotas Per Convening]]</f>
        <v>0</v>
      </c>
      <c r="J38" s="39">
        <f>SUM(Table3112[[#This Row],[Total Grads]]+Table3112[[#This Row],[Fails]]+Table3112[[#This Row],[No Shows]])</f>
        <v>0</v>
      </c>
      <c r="K38" s="39">
        <f>SUMIF(Table2[Course Title],Table3112[[#This Row],[Courses - Planned vs Need (Active Courses)]],Table2[Graduates])</f>
        <v>0</v>
      </c>
      <c r="L38" s="39">
        <f>SUMIF(Table2[Course Title],Table3112[[#This Row],[Courses - Planned vs Need (Active Courses)]],Table2[Fail])</f>
        <v>0</v>
      </c>
      <c r="M38" s="39">
        <f>SUMIF(Table2[Course Title],Table3112[[#This Row],[Courses - Planned vs Need (Active Courses)]],Table2[No Shows])</f>
        <v>0</v>
      </c>
      <c r="N38" s="39">
        <f>SUMIF(Table2[Course Title],Table3112[[#This Row],[Courses - Planned vs Need (Active Courses)]],Table2[Walk-ins])</f>
        <v>0</v>
      </c>
    </row>
    <row r="39" spans="2:14" ht="15.75" x14ac:dyDescent="0.25">
      <c r="B39" s="92" t="s">
        <v>58</v>
      </c>
      <c r="C39" s="39" t="s">
        <v>18</v>
      </c>
      <c r="D39" s="39" t="s">
        <v>30</v>
      </c>
      <c r="E39" s="39">
        <f ca="1">COUNTIFS(Table2[Course Title],Table3112[[#This Row],[Courses - Planned vs Need (Active Courses)]],Table2[Remaining Courses],"0")</f>
        <v>0</v>
      </c>
      <c r="F39" s="79">
        <f>COUNTIFS(Table2[Course Title],Table3112[[#This Row],[Courses - Planned vs Need (Active Courses)]],Table2[Location],"Global Online",Table2[Remaining Courses],"0")</f>
        <v>0</v>
      </c>
      <c r="G39" s="39">
        <f ca="1">Table3112[[#This Row],[Course Offerings Todate]]-Table3112[[#This Row],[Online]]</f>
        <v>0</v>
      </c>
      <c r="H39" s="37">
        <v>30</v>
      </c>
      <c r="I39" s="39">
        <f ca="1">Table3112[[#This Row],[Course Offerings Todate]]*Table3112[[#This Row],[Quotas Per Convening]]</f>
        <v>0</v>
      </c>
      <c r="J39" s="39">
        <f>SUM(Table3112[[#This Row],[Total Grads]]+Table3112[[#This Row],[Fails]]+Table3112[[#This Row],[No Shows]])</f>
        <v>0</v>
      </c>
      <c r="K39" s="39">
        <f>SUMIF(Table2[Course Title],Table3112[[#This Row],[Courses - Planned vs Need (Active Courses)]],Table2[Graduates])</f>
        <v>0</v>
      </c>
      <c r="L39" s="39">
        <f>SUMIF(Table2[Course Title],Table3112[[#This Row],[Courses - Planned vs Need (Active Courses)]],Table2[Fail])</f>
        <v>0</v>
      </c>
      <c r="M39" s="39">
        <f>SUMIF(Table2[Course Title],Table3112[[#This Row],[Courses - Planned vs Need (Active Courses)]],Table2[No Shows])</f>
        <v>0</v>
      </c>
      <c r="N39" s="39">
        <f>SUMIF(Table2[Course Title],Table3112[[#This Row],[Courses - Planned vs Need (Active Courses)]],Table2[Walk-ins])</f>
        <v>0</v>
      </c>
    </row>
    <row r="40" spans="2:14" ht="15.75" x14ac:dyDescent="0.25">
      <c r="B40" s="91" t="s">
        <v>38</v>
      </c>
      <c r="C40" s="39"/>
      <c r="D40" s="39" t="s">
        <v>30</v>
      </c>
      <c r="E40" s="39">
        <f ca="1">COUNTIFS(Table2[Course Title],Table3112[[#This Row],[Courses - Planned vs Need (Active Courses)]],Table2[Remaining Courses],"0")</f>
        <v>0</v>
      </c>
      <c r="F40" s="79">
        <f ca="1">COUNTIFS(Table2[Course Title],Table3112[[#This Row],[Courses - Planned vs Need (Active Courses)]],Table2[Location],"Global Online",Table2[Remaining Courses],"0")</f>
        <v>0</v>
      </c>
      <c r="G40" s="39">
        <f ca="1">Table3112[[#This Row],[Course Offerings Todate]]-Table3112[[#This Row],[Online]]</f>
        <v>0</v>
      </c>
      <c r="H40" s="37">
        <v>45</v>
      </c>
      <c r="I40" s="39">
        <f ca="1">Table3112[[#This Row],[Course Offerings Todate]]*Table3112[[#This Row],[Quotas Per Convening]]</f>
        <v>0</v>
      </c>
      <c r="J40" s="39">
        <f>SUM(Table3112[[#This Row],[Total Grads]]+Table3112[[#This Row],[Fails]]+Table3112[[#This Row],[No Shows]])</f>
        <v>0</v>
      </c>
      <c r="K40" s="39">
        <f>SUMIF(Table2[Course Title],Table3112[[#This Row],[Courses - Planned vs Need (Active Courses)]],Table2[Graduates])</f>
        <v>0</v>
      </c>
      <c r="L40" s="39">
        <f>SUMIF(Table2[Course Title],Table3112[[#This Row],[Courses - Planned vs Need (Active Courses)]],Table2[Fail])</f>
        <v>0</v>
      </c>
      <c r="M40" s="39">
        <f>SUMIF(Table2[Course Title],Table3112[[#This Row],[Courses - Planned vs Need (Active Courses)]],Table2[No Shows])</f>
        <v>0</v>
      </c>
      <c r="N40" s="39">
        <f>SUMIF(Table2[Course Title],Table3112[[#This Row],[Courses - Planned vs Need (Active Courses)]],Table2[Walk-ins])</f>
        <v>0</v>
      </c>
    </row>
    <row r="41" spans="2:14" ht="15.75" x14ac:dyDescent="0.25">
      <c r="B41" s="91" t="s">
        <v>59</v>
      </c>
      <c r="C41" s="39"/>
      <c r="D41" s="39" t="s">
        <v>30</v>
      </c>
      <c r="E41" s="39">
        <f ca="1">COUNTIFS(Table2[Course Title],Table3112[[#This Row],[Courses - Planned vs Need (Active Courses)]],Table2[Remaining Courses],"0")</f>
        <v>0</v>
      </c>
      <c r="F41" s="79">
        <f ca="1">COUNTIFS(Table2[Course Title],Table3112[[#This Row],[Courses - Planned vs Need (Active Courses)]],Table2[Location],"Global Online",Table2[Remaining Courses],"0")</f>
        <v>0</v>
      </c>
      <c r="G41" s="39">
        <f ca="1">Table3112[[#This Row],[Course Offerings Todate]]-Table3112[[#This Row],[Online]]</f>
        <v>0</v>
      </c>
      <c r="H41" s="37">
        <v>45</v>
      </c>
      <c r="I41" s="39">
        <f ca="1">Table3112[[#This Row],[Course Offerings Todate]]*Table3112[[#This Row],[Quotas Per Convening]]</f>
        <v>0</v>
      </c>
      <c r="J41" s="39">
        <f>SUM(Table3112[[#This Row],[Total Grads]]+Table3112[[#This Row],[Fails]]+Table3112[[#This Row],[No Shows]])</f>
        <v>0</v>
      </c>
      <c r="K41" s="39">
        <f>SUMIF(Table2[Course Title],Table3112[[#This Row],[Courses - Planned vs Need (Active Courses)]],Table2[Graduates])</f>
        <v>0</v>
      </c>
      <c r="L41" s="39">
        <f>SUMIF(Table2[Course Title],Table3112[[#This Row],[Courses - Planned vs Need (Active Courses)]],Table2[Fail])</f>
        <v>0</v>
      </c>
      <c r="M41" s="39">
        <f>SUMIF(Table2[Course Title],Table3112[[#This Row],[Courses - Planned vs Need (Active Courses)]],Table2[No Shows])</f>
        <v>0</v>
      </c>
      <c r="N41" s="39">
        <f>SUMIF(Table2[Course Title],Table3112[[#This Row],[Courses - Planned vs Need (Active Courses)]],Table2[Walk-ins])</f>
        <v>0</v>
      </c>
    </row>
    <row r="42" spans="2:14" ht="15.75" x14ac:dyDescent="0.25">
      <c r="B42" s="92" t="s">
        <v>60</v>
      </c>
      <c r="C42" s="39" t="s">
        <v>18</v>
      </c>
      <c r="D42" s="39" t="s">
        <v>30</v>
      </c>
      <c r="E42" s="39">
        <f ca="1">COUNTIFS(Table2[Course Title],Table3112[[#This Row],[Courses - Planned vs Need (Active Courses)]],Table2[Remaining Courses],"0")</f>
        <v>0</v>
      </c>
      <c r="F42" s="79">
        <f ca="1">COUNTIFS(Table2[Course Title],Table3112[[#This Row],[Courses - Planned vs Need (Active Courses)]],Table2[Location],"Global Online",Table2[Remaining Courses],"0")</f>
        <v>0</v>
      </c>
      <c r="G42" s="39">
        <f ca="1">Table3112[[#This Row],[Course Offerings Todate]]-Table3112[[#This Row],[Online]]</f>
        <v>0</v>
      </c>
      <c r="H42" s="37">
        <v>30</v>
      </c>
      <c r="I42" s="39">
        <f ca="1">Table3112[[#This Row],[Course Offerings Todate]]*Table3112[[#This Row],[Quotas Per Convening]]</f>
        <v>0</v>
      </c>
      <c r="J42" s="39">
        <f>SUM(Table3112[[#This Row],[Total Grads]]+Table3112[[#This Row],[Fails]]+Table3112[[#This Row],[No Shows]])</f>
        <v>0</v>
      </c>
      <c r="K42" s="39">
        <f>SUMIF(Table2[Course Title],Table3112[[#This Row],[Courses - Planned vs Need (Active Courses)]],Table2[Graduates])</f>
        <v>0</v>
      </c>
      <c r="L42" s="39">
        <f>SUMIF(Table2[Course Title],Table3112[[#This Row],[Courses - Planned vs Need (Active Courses)]],Table2[Fail])</f>
        <v>0</v>
      </c>
      <c r="M42" s="39">
        <f>SUMIF(Table2[Course Title],Table3112[[#This Row],[Courses - Planned vs Need (Active Courses)]],Table2[No Shows])</f>
        <v>0</v>
      </c>
      <c r="N42" s="39">
        <f>SUMIF(Table2[Course Title],Table3112[[#This Row],[Courses - Planned vs Need (Active Courses)]],Table2[Walk-ins])</f>
        <v>0</v>
      </c>
    </row>
    <row r="43" spans="2:14" ht="15.75" x14ac:dyDescent="0.25">
      <c r="B43" s="91" t="s">
        <v>61</v>
      </c>
      <c r="C43" s="39"/>
      <c r="D43" s="39" t="s">
        <v>30</v>
      </c>
      <c r="E43" s="39">
        <f ca="1">COUNTIFS(Table2[Course Title],Table3112[[#This Row],[Courses - Planned vs Need (Active Courses)]],Table2[Remaining Courses],"0")</f>
        <v>0</v>
      </c>
      <c r="F43" s="79">
        <f ca="1">COUNTIFS(Table2[Course Title],Table3112[[#This Row],[Courses - Planned vs Need (Active Courses)]],Table2[Location],"Global Online",Table2[Remaining Courses],"0")</f>
        <v>0</v>
      </c>
      <c r="G43" s="39">
        <f ca="1">Table3112[[#This Row],[Course Offerings Todate]]-Table3112[[#This Row],[Online]]</f>
        <v>0</v>
      </c>
      <c r="H43" s="37">
        <v>45</v>
      </c>
      <c r="I43" s="39">
        <f ca="1">Table3112[[#This Row],[Course Offerings Todate]]*Table3112[[#This Row],[Quotas Per Convening]]</f>
        <v>0</v>
      </c>
      <c r="J43" s="39">
        <f>SUM(Table3112[[#This Row],[Total Grads]]+Table3112[[#This Row],[Fails]]+Table3112[[#This Row],[No Shows]])</f>
        <v>0</v>
      </c>
      <c r="K43" s="39">
        <f>SUMIF(Table2[Course Title],Table3112[[#This Row],[Courses - Planned vs Need (Active Courses)]],Table2[Graduates])</f>
        <v>0</v>
      </c>
      <c r="L43" s="39">
        <f>SUMIF(Table2[Course Title],Table3112[[#This Row],[Courses - Planned vs Need (Active Courses)]],Table2[Fail])</f>
        <v>0</v>
      </c>
      <c r="M43" s="39">
        <f>SUMIF(Table2[Course Title],Table3112[[#This Row],[Courses - Planned vs Need (Active Courses)]],Table2[No Shows])</f>
        <v>0</v>
      </c>
      <c r="N43" s="39">
        <f>SUMIF(Table2[Course Title],Table3112[[#This Row],[Courses - Planned vs Need (Active Courses)]],Table2[Walk-ins])</f>
        <v>0</v>
      </c>
    </row>
    <row r="44" spans="2:14" ht="15.75" x14ac:dyDescent="0.25">
      <c r="B44" s="94" t="s">
        <v>62</v>
      </c>
      <c r="C44" s="85"/>
      <c r="D44" s="85"/>
      <c r="E44" s="85">
        <f ca="1">SUM(Table3112[Course Offerings Todate])</f>
        <v>0</v>
      </c>
      <c r="F44" s="86">
        <f ca="1">SUM(Table3112[Online])</f>
        <v>0</v>
      </c>
      <c r="G44" s="86">
        <f ca="1">SUM(Table3112[Resident])</f>
        <v>0</v>
      </c>
      <c r="H44" s="86"/>
      <c r="I44" s="86"/>
      <c r="J44" s="86"/>
      <c r="K44" s="86">
        <f>SUM(Table3112[Total Grads])</f>
        <v>0</v>
      </c>
      <c r="L44" s="86">
        <f>SUBTOTAL(109,Table3112[Fails])</f>
        <v>0</v>
      </c>
      <c r="M44" s="86">
        <f>SUM(Table3112[No Shows])</f>
        <v>0</v>
      </c>
      <c r="N44" s="86">
        <f>SUM(Table3112[Walk-ins])</f>
        <v>0</v>
      </c>
    </row>
  </sheetData>
  <mergeCells count="2">
    <mergeCell ref="B4:G4"/>
    <mergeCell ref="K4:N4"/>
  </mergeCells>
  <conditionalFormatting sqref="C6:G6 I6:M6 C7:D15 G7:G15 I7:I15 E7:F43 J7:M43 C18:D43 G18:G43 I18:I43">
    <cfRule type="cellIs" dxfId="1108" priority="3" operator="lessThan">
      <formula>0</formula>
    </cfRule>
  </conditionalFormatting>
  <conditionalFormatting sqref="H6:H15">
    <cfRule type="cellIs" dxfId="1107" priority="2" operator="lessThan">
      <formula>0</formula>
    </cfRule>
  </conditionalFormatting>
  <conditionalFormatting sqref="H18:H43">
    <cfRule type="cellIs" dxfId="1106" priority="1" operator="lessThan">
      <formula>0</formula>
    </cfRule>
  </conditionalFormatting>
  <dataValidations count="1">
    <dataValidation type="list" allowBlank="1" showInputMessage="1" showErrorMessage="1" sqref="B6:B15 B18:B43" xr:uid="{00000000-0002-0000-0A00-000000000000}">
      <formula1>Class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</sheetPr>
  <dimension ref="A1:M98"/>
  <sheetViews>
    <sheetView zoomScale="70" zoomScaleNormal="70" workbookViewId="0">
      <selection activeCell="L17" sqref="L17"/>
    </sheetView>
  </sheetViews>
  <sheetFormatPr defaultColWidth="8.7109375" defaultRowHeight="15" x14ac:dyDescent="0.25"/>
  <cols>
    <col min="1" max="1" width="70.28515625" bestFit="1" customWidth="1"/>
    <col min="2" max="2" width="11.28515625" bestFit="1" customWidth="1"/>
    <col min="3" max="3" width="8.7109375" style="1"/>
    <col min="7" max="7" width="14.42578125" bestFit="1" customWidth="1"/>
    <col min="8" max="9" width="12" bestFit="1" customWidth="1"/>
    <col min="10" max="10" width="13.28515625" bestFit="1" customWidth="1"/>
    <col min="11" max="11" width="24.7109375" bestFit="1" customWidth="1"/>
    <col min="12" max="12" width="24" bestFit="1" customWidth="1"/>
    <col min="13" max="13" width="18.28515625" bestFit="1" customWidth="1"/>
  </cols>
  <sheetData>
    <row r="1" spans="1:13" x14ac:dyDescent="0.25">
      <c r="A1" s="7" t="s">
        <v>63</v>
      </c>
      <c r="B1" s="7" t="s">
        <v>64</v>
      </c>
      <c r="C1" s="8" t="s">
        <v>65</v>
      </c>
      <c r="D1" t="s">
        <v>66</v>
      </c>
      <c r="E1" t="s">
        <v>67</v>
      </c>
      <c r="F1" t="s">
        <v>68</v>
      </c>
      <c r="G1" s="7" t="s">
        <v>69</v>
      </c>
      <c r="H1" s="7" t="s">
        <v>70</v>
      </c>
      <c r="I1" s="7" t="s">
        <v>71</v>
      </c>
      <c r="J1" s="7" t="s">
        <v>72</v>
      </c>
      <c r="K1" s="7" t="s">
        <v>73</v>
      </c>
      <c r="L1" s="7" t="s">
        <v>74</v>
      </c>
      <c r="M1" s="7" t="s">
        <v>75</v>
      </c>
    </row>
    <row r="2" spans="1:13" x14ac:dyDescent="0.25">
      <c r="A2" t="s">
        <v>76</v>
      </c>
      <c r="B2" t="s">
        <v>77</v>
      </c>
      <c r="C2" s="1" t="s">
        <v>78</v>
      </c>
      <c r="D2">
        <v>20</v>
      </c>
      <c r="E2">
        <v>2</v>
      </c>
      <c r="F2">
        <v>16</v>
      </c>
      <c r="G2" s="147" t="s">
        <v>79</v>
      </c>
      <c r="J2" t="s">
        <v>80</v>
      </c>
      <c r="K2" t="s">
        <v>81</v>
      </c>
      <c r="M2" t="s">
        <v>82</v>
      </c>
    </row>
    <row r="3" spans="1:13" x14ac:dyDescent="0.25">
      <c r="A3" t="s">
        <v>15</v>
      </c>
      <c r="B3" t="s">
        <v>83</v>
      </c>
      <c r="C3" s="1" t="s">
        <v>84</v>
      </c>
      <c r="D3">
        <v>45</v>
      </c>
      <c r="E3">
        <v>2</v>
      </c>
      <c r="F3">
        <v>16</v>
      </c>
      <c r="G3" s="147" t="s">
        <v>85</v>
      </c>
      <c r="J3" t="s">
        <v>7</v>
      </c>
      <c r="K3" t="s">
        <v>86</v>
      </c>
      <c r="M3" t="s">
        <v>87</v>
      </c>
    </row>
    <row r="4" spans="1:13" x14ac:dyDescent="0.25">
      <c r="A4" t="s">
        <v>88</v>
      </c>
      <c r="B4" t="s">
        <v>89</v>
      </c>
      <c r="C4" s="1">
        <v>3878</v>
      </c>
      <c r="D4">
        <v>25</v>
      </c>
      <c r="E4">
        <v>3</v>
      </c>
      <c r="F4">
        <v>24</v>
      </c>
      <c r="G4" s="147" t="s">
        <v>90</v>
      </c>
      <c r="K4" t="s">
        <v>91</v>
      </c>
      <c r="M4" t="s">
        <v>92</v>
      </c>
    </row>
    <row r="5" spans="1:13" x14ac:dyDescent="0.25">
      <c r="A5" t="s">
        <v>42</v>
      </c>
      <c r="B5" t="s">
        <v>93</v>
      </c>
      <c r="C5" s="1">
        <v>3879</v>
      </c>
      <c r="D5">
        <v>30</v>
      </c>
      <c r="E5">
        <v>0.5</v>
      </c>
      <c r="F5">
        <v>4</v>
      </c>
      <c r="G5" s="147" t="s">
        <v>94</v>
      </c>
      <c r="K5" t="s">
        <v>95</v>
      </c>
      <c r="M5" t="s">
        <v>96</v>
      </c>
    </row>
    <row r="6" spans="1:13" x14ac:dyDescent="0.25">
      <c r="A6" t="s">
        <v>97</v>
      </c>
      <c r="B6" t="s">
        <v>98</v>
      </c>
      <c r="C6" s="1">
        <v>3882</v>
      </c>
      <c r="D6">
        <v>25</v>
      </c>
      <c r="E6">
        <v>2</v>
      </c>
      <c r="F6">
        <v>16</v>
      </c>
      <c r="K6" t="s">
        <v>99</v>
      </c>
      <c r="M6" t="s">
        <v>100</v>
      </c>
    </row>
    <row r="7" spans="1:13" x14ac:dyDescent="0.25">
      <c r="A7" t="s">
        <v>44</v>
      </c>
      <c r="B7" t="s">
        <v>101</v>
      </c>
      <c r="C7" s="1">
        <v>3888</v>
      </c>
      <c r="D7">
        <v>30</v>
      </c>
      <c r="E7">
        <v>0.5</v>
      </c>
      <c r="F7">
        <v>4</v>
      </c>
      <c r="K7" t="s">
        <v>102</v>
      </c>
      <c r="M7" t="s">
        <v>103</v>
      </c>
    </row>
    <row r="8" spans="1:13" x14ac:dyDescent="0.25">
      <c r="A8" t="s">
        <v>45</v>
      </c>
      <c r="B8" t="s">
        <v>104</v>
      </c>
      <c r="C8" s="1" t="s">
        <v>105</v>
      </c>
      <c r="D8">
        <v>25</v>
      </c>
      <c r="E8">
        <v>5</v>
      </c>
      <c r="F8">
        <v>40</v>
      </c>
      <c r="G8" s="148" t="s">
        <v>79</v>
      </c>
      <c r="K8" t="s">
        <v>106</v>
      </c>
      <c r="M8" t="s">
        <v>107</v>
      </c>
    </row>
    <row r="9" spans="1:13" x14ac:dyDescent="0.25">
      <c r="A9" t="s">
        <v>46</v>
      </c>
      <c r="B9" t="s">
        <v>108</v>
      </c>
      <c r="C9" s="1" t="s">
        <v>109</v>
      </c>
      <c r="D9">
        <v>30</v>
      </c>
      <c r="E9">
        <v>1</v>
      </c>
      <c r="F9">
        <v>8</v>
      </c>
      <c r="G9" s="148" t="s">
        <v>110</v>
      </c>
      <c r="K9" t="s">
        <v>111</v>
      </c>
      <c r="M9" t="s">
        <v>112</v>
      </c>
    </row>
    <row r="10" spans="1:13" x14ac:dyDescent="0.25">
      <c r="A10" t="s">
        <v>113</v>
      </c>
      <c r="B10" t="s">
        <v>114</v>
      </c>
      <c r="C10" s="1" t="s">
        <v>115</v>
      </c>
      <c r="D10">
        <v>30</v>
      </c>
      <c r="E10">
        <v>3</v>
      </c>
      <c r="F10">
        <v>24</v>
      </c>
      <c r="G10" s="148" t="s">
        <v>116</v>
      </c>
      <c r="K10" t="s">
        <v>111</v>
      </c>
      <c r="M10" t="s">
        <v>117</v>
      </c>
    </row>
    <row r="11" spans="1:13" x14ac:dyDescent="0.25">
      <c r="A11" t="s">
        <v>37</v>
      </c>
      <c r="B11" t="s">
        <v>118</v>
      </c>
      <c r="C11" s="1" t="s">
        <v>119</v>
      </c>
      <c r="D11">
        <v>45</v>
      </c>
      <c r="E11">
        <v>3</v>
      </c>
      <c r="F11">
        <v>24</v>
      </c>
      <c r="G11" s="148" t="s">
        <v>120</v>
      </c>
      <c r="K11" t="s">
        <v>121</v>
      </c>
    </row>
    <row r="12" spans="1:13" x14ac:dyDescent="0.25">
      <c r="A12" t="s">
        <v>47</v>
      </c>
      <c r="B12" t="s">
        <v>122</v>
      </c>
      <c r="C12" s="1" t="s">
        <v>123</v>
      </c>
      <c r="D12">
        <v>25</v>
      </c>
      <c r="E12">
        <v>5</v>
      </c>
      <c r="F12">
        <v>40</v>
      </c>
      <c r="G12" s="148" t="s">
        <v>124</v>
      </c>
      <c r="K12" t="s">
        <v>125</v>
      </c>
    </row>
    <row r="13" spans="1:13" x14ac:dyDescent="0.25">
      <c r="A13" t="s">
        <v>56</v>
      </c>
      <c r="B13" t="s">
        <v>126</v>
      </c>
      <c r="C13" s="1" t="s">
        <v>127</v>
      </c>
      <c r="D13">
        <v>35</v>
      </c>
      <c r="E13">
        <v>5</v>
      </c>
      <c r="F13">
        <v>30</v>
      </c>
      <c r="K13" t="s">
        <v>128</v>
      </c>
    </row>
    <row r="14" spans="1:13" x14ac:dyDescent="0.25">
      <c r="A14" t="s">
        <v>129</v>
      </c>
      <c r="B14" t="s">
        <v>130</v>
      </c>
      <c r="C14" s="1" t="s">
        <v>131</v>
      </c>
      <c r="D14">
        <v>30</v>
      </c>
      <c r="E14">
        <v>4</v>
      </c>
      <c r="F14">
        <v>32</v>
      </c>
      <c r="K14" t="s">
        <v>132</v>
      </c>
    </row>
    <row r="15" spans="1:13" x14ac:dyDescent="0.25">
      <c r="A15" t="s">
        <v>48</v>
      </c>
      <c r="B15" t="s">
        <v>133</v>
      </c>
      <c r="C15" s="1" t="s">
        <v>134</v>
      </c>
      <c r="D15">
        <v>25</v>
      </c>
      <c r="E15">
        <v>2</v>
      </c>
      <c r="F15">
        <v>16</v>
      </c>
      <c r="G15" s="149" t="s">
        <v>135</v>
      </c>
      <c r="K15" t="s">
        <v>136</v>
      </c>
    </row>
    <row r="16" spans="1:13" x14ac:dyDescent="0.25">
      <c r="A16" t="s">
        <v>17</v>
      </c>
      <c r="B16" t="s">
        <v>137</v>
      </c>
      <c r="C16" s="1">
        <v>3682</v>
      </c>
      <c r="D16">
        <v>40</v>
      </c>
      <c r="E16">
        <v>5</v>
      </c>
      <c r="F16">
        <v>40</v>
      </c>
      <c r="G16" s="149" t="s">
        <v>138</v>
      </c>
      <c r="K16" t="s">
        <v>139</v>
      </c>
    </row>
    <row r="17" spans="1:11" x14ac:dyDescent="0.25">
      <c r="A17" t="s">
        <v>28</v>
      </c>
      <c r="B17" t="s">
        <v>140</v>
      </c>
      <c r="C17" s="1">
        <v>3683</v>
      </c>
      <c r="D17">
        <v>40</v>
      </c>
      <c r="E17">
        <v>3</v>
      </c>
      <c r="F17">
        <v>24</v>
      </c>
      <c r="G17" s="149" t="s">
        <v>141</v>
      </c>
      <c r="K17" t="s">
        <v>142</v>
      </c>
    </row>
    <row r="18" spans="1:11" x14ac:dyDescent="0.25">
      <c r="A18" t="s">
        <v>57</v>
      </c>
      <c r="B18" t="s">
        <v>143</v>
      </c>
      <c r="C18" s="1" t="s">
        <v>144</v>
      </c>
      <c r="D18">
        <v>45</v>
      </c>
      <c r="E18">
        <v>3</v>
      </c>
      <c r="F18">
        <v>24</v>
      </c>
      <c r="G18" s="149" t="s">
        <v>145</v>
      </c>
      <c r="K18" t="s">
        <v>146</v>
      </c>
    </row>
    <row r="19" spans="1:11" x14ac:dyDescent="0.25">
      <c r="A19" t="s">
        <v>55</v>
      </c>
      <c r="B19" t="s">
        <v>147</v>
      </c>
      <c r="C19" s="1" t="s">
        <v>148</v>
      </c>
      <c r="D19">
        <v>25</v>
      </c>
      <c r="E19">
        <v>5</v>
      </c>
      <c r="F19">
        <v>40</v>
      </c>
      <c r="G19" s="149" t="s">
        <v>149</v>
      </c>
      <c r="K19" t="s">
        <v>150</v>
      </c>
    </row>
    <row r="20" spans="1:11" x14ac:dyDescent="0.25">
      <c r="A20" t="s">
        <v>151</v>
      </c>
      <c r="B20" t="s">
        <v>147</v>
      </c>
      <c r="C20" s="1" t="s">
        <v>148</v>
      </c>
      <c r="D20">
        <v>25</v>
      </c>
      <c r="E20">
        <v>5</v>
      </c>
      <c r="F20">
        <v>40</v>
      </c>
      <c r="G20" s="149" t="s">
        <v>152</v>
      </c>
      <c r="K20" t="s">
        <v>153</v>
      </c>
    </row>
    <row r="21" spans="1:11" x14ac:dyDescent="0.25">
      <c r="A21" t="s">
        <v>58</v>
      </c>
      <c r="B21" t="s">
        <v>154</v>
      </c>
      <c r="C21" s="1" t="s">
        <v>155</v>
      </c>
      <c r="D21">
        <v>30</v>
      </c>
      <c r="E21">
        <v>4</v>
      </c>
      <c r="F21">
        <v>32</v>
      </c>
      <c r="G21" s="149" t="s">
        <v>156</v>
      </c>
      <c r="K21" t="s">
        <v>157</v>
      </c>
    </row>
    <row r="22" spans="1:11" x14ac:dyDescent="0.25">
      <c r="A22" t="s">
        <v>38</v>
      </c>
      <c r="B22" t="s">
        <v>158</v>
      </c>
      <c r="C22" s="1" t="s">
        <v>159</v>
      </c>
      <c r="D22">
        <v>45</v>
      </c>
      <c r="E22" s="80">
        <v>4</v>
      </c>
      <c r="F22">
        <v>30</v>
      </c>
      <c r="G22" s="149" t="s">
        <v>160</v>
      </c>
      <c r="K22" t="s">
        <v>161</v>
      </c>
    </row>
    <row r="23" spans="1:11" x14ac:dyDescent="0.25">
      <c r="A23" t="s">
        <v>162</v>
      </c>
      <c r="B23" t="s">
        <v>163</v>
      </c>
      <c r="C23" s="1" t="s">
        <v>164</v>
      </c>
      <c r="D23">
        <v>30</v>
      </c>
      <c r="E23">
        <v>3</v>
      </c>
      <c r="F23">
        <v>24</v>
      </c>
      <c r="K23" t="s">
        <v>80</v>
      </c>
    </row>
    <row r="24" spans="1:11" x14ac:dyDescent="0.25">
      <c r="A24" t="s">
        <v>165</v>
      </c>
      <c r="B24" t="s">
        <v>166</v>
      </c>
      <c r="C24" s="1" t="s">
        <v>167</v>
      </c>
      <c r="D24">
        <v>45</v>
      </c>
      <c r="E24">
        <v>3</v>
      </c>
      <c r="F24">
        <v>24</v>
      </c>
      <c r="K24" t="s">
        <v>168</v>
      </c>
    </row>
    <row r="25" spans="1:11" x14ac:dyDescent="0.25">
      <c r="A25" t="s">
        <v>29</v>
      </c>
      <c r="B25" t="s">
        <v>169</v>
      </c>
      <c r="C25" s="34" t="s">
        <v>170</v>
      </c>
      <c r="D25">
        <v>25</v>
      </c>
      <c r="E25">
        <v>3</v>
      </c>
      <c r="F25">
        <v>24</v>
      </c>
      <c r="G25" s="150" t="s">
        <v>171</v>
      </c>
      <c r="K25" t="s">
        <v>172</v>
      </c>
    </row>
    <row r="26" spans="1:11" x14ac:dyDescent="0.25">
      <c r="A26" t="s">
        <v>31</v>
      </c>
      <c r="B26" t="s">
        <v>173</v>
      </c>
      <c r="C26" s="1" t="s">
        <v>174</v>
      </c>
      <c r="D26">
        <v>30</v>
      </c>
      <c r="E26">
        <v>1</v>
      </c>
      <c r="F26">
        <v>8</v>
      </c>
      <c r="G26" s="150" t="s">
        <v>175</v>
      </c>
      <c r="K26" t="s">
        <v>176</v>
      </c>
    </row>
    <row r="27" spans="1:11" x14ac:dyDescent="0.25">
      <c r="A27" t="s">
        <v>32</v>
      </c>
      <c r="B27" t="s">
        <v>177</v>
      </c>
      <c r="C27" s="1" t="s">
        <v>178</v>
      </c>
      <c r="D27">
        <v>30</v>
      </c>
      <c r="E27">
        <v>2</v>
      </c>
      <c r="F27">
        <v>16</v>
      </c>
      <c r="G27" s="150" t="s">
        <v>179</v>
      </c>
      <c r="K27" t="s">
        <v>180</v>
      </c>
    </row>
    <row r="28" spans="1:11" x14ac:dyDescent="0.25">
      <c r="A28" t="s">
        <v>33</v>
      </c>
      <c r="B28" t="s">
        <v>181</v>
      </c>
      <c r="C28" s="1" t="s">
        <v>182</v>
      </c>
      <c r="D28">
        <v>30</v>
      </c>
      <c r="E28">
        <v>1</v>
      </c>
      <c r="F28">
        <v>8</v>
      </c>
      <c r="G28" s="150" t="s">
        <v>90</v>
      </c>
      <c r="K28" t="s">
        <v>183</v>
      </c>
    </row>
    <row r="29" spans="1:11" x14ac:dyDescent="0.25">
      <c r="A29" t="s">
        <v>34</v>
      </c>
      <c r="B29" t="s">
        <v>184</v>
      </c>
      <c r="C29" s="1" t="s">
        <v>185</v>
      </c>
      <c r="D29">
        <v>30</v>
      </c>
      <c r="E29">
        <v>1</v>
      </c>
      <c r="F29">
        <v>8</v>
      </c>
      <c r="G29" s="150" t="s">
        <v>186</v>
      </c>
      <c r="K29" t="s">
        <v>187</v>
      </c>
    </row>
    <row r="30" spans="1:11" x14ac:dyDescent="0.25">
      <c r="A30" t="s">
        <v>49</v>
      </c>
      <c r="B30" t="s">
        <v>188</v>
      </c>
      <c r="C30" s="1">
        <v>5891</v>
      </c>
      <c r="D30">
        <v>25</v>
      </c>
      <c r="E30">
        <v>3</v>
      </c>
      <c r="F30">
        <v>24</v>
      </c>
      <c r="G30" s="150" t="s">
        <v>116</v>
      </c>
      <c r="K30" t="s">
        <v>189</v>
      </c>
    </row>
    <row r="31" spans="1:11" x14ac:dyDescent="0.25">
      <c r="A31" t="s">
        <v>50</v>
      </c>
      <c r="B31" t="s">
        <v>190</v>
      </c>
      <c r="C31" s="1" t="s">
        <v>191</v>
      </c>
      <c r="D31" s="80">
        <v>45</v>
      </c>
      <c r="E31">
        <v>3</v>
      </c>
      <c r="F31">
        <v>24</v>
      </c>
      <c r="G31" s="150" t="s">
        <v>192</v>
      </c>
      <c r="K31" t="s">
        <v>193</v>
      </c>
    </row>
    <row r="32" spans="1:11" x14ac:dyDescent="0.25">
      <c r="A32" t="s">
        <v>51</v>
      </c>
      <c r="B32" t="s">
        <v>194</v>
      </c>
      <c r="C32" s="1" t="s">
        <v>195</v>
      </c>
      <c r="D32" s="80">
        <v>45</v>
      </c>
      <c r="E32">
        <v>4</v>
      </c>
      <c r="F32">
        <v>32</v>
      </c>
      <c r="G32" s="150" t="s">
        <v>196</v>
      </c>
      <c r="K32" t="s">
        <v>197</v>
      </c>
    </row>
    <row r="33" spans="1:11" x14ac:dyDescent="0.25">
      <c r="A33" t="s">
        <v>198</v>
      </c>
      <c r="B33" t="s">
        <v>199</v>
      </c>
      <c r="C33" s="1" t="s">
        <v>200</v>
      </c>
      <c r="D33">
        <v>30</v>
      </c>
      <c r="E33">
        <v>4</v>
      </c>
      <c r="F33">
        <v>32</v>
      </c>
      <c r="G33" s="150" t="s">
        <v>201</v>
      </c>
      <c r="K33" t="s">
        <v>202</v>
      </c>
    </row>
    <row r="34" spans="1:11" x14ac:dyDescent="0.25">
      <c r="A34" t="s">
        <v>59</v>
      </c>
      <c r="B34" t="s">
        <v>203</v>
      </c>
      <c r="C34" s="1" t="s">
        <v>204</v>
      </c>
      <c r="D34">
        <v>45</v>
      </c>
      <c r="E34">
        <v>4</v>
      </c>
      <c r="F34">
        <v>32</v>
      </c>
      <c r="G34" s="150" t="s">
        <v>205</v>
      </c>
      <c r="K34" t="s">
        <v>206</v>
      </c>
    </row>
    <row r="35" spans="1:11" x14ac:dyDescent="0.25">
      <c r="A35" t="s">
        <v>207</v>
      </c>
      <c r="B35" t="s">
        <v>208</v>
      </c>
      <c r="C35" s="1" t="s">
        <v>209</v>
      </c>
      <c r="D35">
        <v>30</v>
      </c>
      <c r="E35">
        <v>4</v>
      </c>
      <c r="F35">
        <v>32</v>
      </c>
      <c r="K35" t="s">
        <v>210</v>
      </c>
    </row>
    <row r="36" spans="1:11" x14ac:dyDescent="0.25">
      <c r="A36" t="s">
        <v>60</v>
      </c>
      <c r="B36" t="s">
        <v>211</v>
      </c>
      <c r="C36" s="1" t="s">
        <v>212</v>
      </c>
      <c r="D36">
        <v>30</v>
      </c>
      <c r="E36">
        <v>4</v>
      </c>
      <c r="F36">
        <v>32</v>
      </c>
      <c r="K36" t="s">
        <v>213</v>
      </c>
    </row>
    <row r="37" spans="1:11" x14ac:dyDescent="0.25">
      <c r="A37" t="s">
        <v>61</v>
      </c>
      <c r="B37" t="s">
        <v>214</v>
      </c>
      <c r="C37" s="1">
        <v>1228</v>
      </c>
      <c r="D37">
        <v>45</v>
      </c>
      <c r="E37" s="80">
        <v>4</v>
      </c>
      <c r="F37">
        <v>32</v>
      </c>
      <c r="K37" t="s">
        <v>215</v>
      </c>
    </row>
    <row r="38" spans="1:11" x14ac:dyDescent="0.25">
      <c r="A38" t="s">
        <v>216</v>
      </c>
      <c r="B38" t="s">
        <v>217</v>
      </c>
      <c r="C38" s="1" t="s">
        <v>218</v>
      </c>
      <c r="D38">
        <v>30</v>
      </c>
      <c r="E38">
        <v>0</v>
      </c>
      <c r="K38" t="s">
        <v>219</v>
      </c>
    </row>
    <row r="39" spans="1:11" x14ac:dyDescent="0.25">
      <c r="A39" t="s">
        <v>52</v>
      </c>
      <c r="B39" t="s">
        <v>220</v>
      </c>
      <c r="C39" s="1">
        <v>3555</v>
      </c>
      <c r="D39" s="80">
        <v>45</v>
      </c>
      <c r="E39">
        <v>4</v>
      </c>
      <c r="F39">
        <v>32</v>
      </c>
      <c r="K39" t="s">
        <v>221</v>
      </c>
    </row>
    <row r="40" spans="1:11" x14ac:dyDescent="0.25">
      <c r="A40" t="s">
        <v>35</v>
      </c>
      <c r="B40" t="s">
        <v>222</v>
      </c>
      <c r="C40" s="1" t="s">
        <v>223</v>
      </c>
      <c r="D40">
        <v>30</v>
      </c>
      <c r="E40">
        <v>1</v>
      </c>
      <c r="F40">
        <v>8</v>
      </c>
      <c r="K40" t="s">
        <v>224</v>
      </c>
    </row>
    <row r="41" spans="1:11" x14ac:dyDescent="0.25">
      <c r="A41" t="s">
        <v>39</v>
      </c>
      <c r="B41" t="s">
        <v>225</v>
      </c>
      <c r="C41" s="1" t="s">
        <v>226</v>
      </c>
      <c r="D41">
        <v>45</v>
      </c>
      <c r="E41">
        <v>2</v>
      </c>
      <c r="F41">
        <v>16</v>
      </c>
      <c r="K41" t="s">
        <v>227</v>
      </c>
    </row>
    <row r="42" spans="1:11" x14ac:dyDescent="0.25">
      <c r="A42" t="s">
        <v>53</v>
      </c>
      <c r="B42" t="s">
        <v>228</v>
      </c>
      <c r="C42" s="1" t="s">
        <v>229</v>
      </c>
      <c r="D42">
        <v>30</v>
      </c>
      <c r="E42">
        <v>5</v>
      </c>
      <c r="F42">
        <v>40</v>
      </c>
      <c r="K42" t="s">
        <v>230</v>
      </c>
    </row>
    <row r="43" spans="1:11" x14ac:dyDescent="0.25">
      <c r="A43" t="s">
        <v>231</v>
      </c>
      <c r="B43" t="s">
        <v>232</v>
      </c>
      <c r="C43" s="1" t="s">
        <v>233</v>
      </c>
      <c r="D43">
        <v>20</v>
      </c>
      <c r="E43">
        <v>5</v>
      </c>
      <c r="K43" t="s">
        <v>234</v>
      </c>
    </row>
    <row r="44" spans="1:11" x14ac:dyDescent="0.25">
      <c r="A44" t="s">
        <v>235</v>
      </c>
      <c r="B44" t="s">
        <v>236</v>
      </c>
      <c r="C44" s="1" t="s">
        <v>237</v>
      </c>
      <c r="D44">
        <v>30</v>
      </c>
      <c r="E44">
        <v>2</v>
      </c>
      <c r="F44">
        <v>16</v>
      </c>
      <c r="K44" t="s">
        <v>238</v>
      </c>
    </row>
    <row r="45" spans="1:11" x14ac:dyDescent="0.25">
      <c r="A45" t="s">
        <v>40</v>
      </c>
      <c r="B45" t="s">
        <v>239</v>
      </c>
      <c r="C45" s="1" t="s">
        <v>240</v>
      </c>
      <c r="D45">
        <v>100</v>
      </c>
      <c r="E45">
        <v>2</v>
      </c>
      <c r="F45">
        <v>16</v>
      </c>
      <c r="K45" t="s">
        <v>241</v>
      </c>
    </row>
    <row r="46" spans="1:11" x14ac:dyDescent="0.25">
      <c r="A46" t="s">
        <v>242</v>
      </c>
      <c r="B46" t="s">
        <v>243</v>
      </c>
      <c r="C46" s="1" t="s">
        <v>243</v>
      </c>
      <c r="D46">
        <v>0</v>
      </c>
      <c r="E46">
        <v>0</v>
      </c>
      <c r="K46" t="s">
        <v>244</v>
      </c>
    </row>
    <row r="47" spans="1:11" x14ac:dyDescent="0.25">
      <c r="A47" t="s">
        <v>245</v>
      </c>
      <c r="B47" t="s">
        <v>246</v>
      </c>
      <c r="C47" s="1" t="s">
        <v>247</v>
      </c>
      <c r="D47">
        <v>30</v>
      </c>
      <c r="E47">
        <v>2</v>
      </c>
      <c r="F47">
        <v>16</v>
      </c>
      <c r="K47" t="s">
        <v>248</v>
      </c>
    </row>
    <row r="48" spans="1:11" x14ac:dyDescent="0.25">
      <c r="A48" t="s">
        <v>54</v>
      </c>
      <c r="B48" t="s">
        <v>249</v>
      </c>
      <c r="C48" s="1" t="s">
        <v>250</v>
      </c>
      <c r="D48" s="80">
        <v>45</v>
      </c>
      <c r="E48">
        <v>2</v>
      </c>
      <c r="F48">
        <v>16</v>
      </c>
      <c r="K48" t="s">
        <v>251</v>
      </c>
    </row>
    <row r="49" spans="1:11" x14ac:dyDescent="0.25">
      <c r="A49" t="s">
        <v>36</v>
      </c>
      <c r="B49" t="s">
        <v>252</v>
      </c>
      <c r="C49" s="1" t="s">
        <v>253</v>
      </c>
      <c r="D49">
        <v>25</v>
      </c>
      <c r="E49">
        <v>5</v>
      </c>
      <c r="F49">
        <v>40</v>
      </c>
      <c r="K49" t="s">
        <v>254</v>
      </c>
    </row>
    <row r="50" spans="1:11" x14ac:dyDescent="0.25">
      <c r="A50" t="s">
        <v>255</v>
      </c>
      <c r="B50" t="s">
        <v>256</v>
      </c>
      <c r="C50" s="1" t="s">
        <v>256</v>
      </c>
      <c r="D50">
        <v>0</v>
      </c>
      <c r="E50">
        <v>0</v>
      </c>
      <c r="F50">
        <v>0</v>
      </c>
      <c r="K50" t="s">
        <v>257</v>
      </c>
    </row>
    <row r="51" spans="1:11" x14ac:dyDescent="0.25">
      <c r="A51" t="s">
        <v>258</v>
      </c>
      <c r="B51" t="s">
        <v>258</v>
      </c>
      <c r="C51" s="1" t="s">
        <v>258</v>
      </c>
      <c r="D51">
        <v>0</v>
      </c>
      <c r="E51">
        <v>0</v>
      </c>
      <c r="F51">
        <v>0</v>
      </c>
      <c r="K51" t="s">
        <v>259</v>
      </c>
    </row>
    <row r="52" spans="1:11" x14ac:dyDescent="0.25">
      <c r="A52" t="s">
        <v>260</v>
      </c>
      <c r="B52" t="s">
        <v>261</v>
      </c>
      <c r="C52" s="1" t="s">
        <v>262</v>
      </c>
      <c r="D52">
        <v>0</v>
      </c>
      <c r="E52">
        <v>0</v>
      </c>
      <c r="F52">
        <v>0</v>
      </c>
      <c r="K52" t="s">
        <v>263</v>
      </c>
    </row>
    <row r="53" spans="1:11" x14ac:dyDescent="0.25">
      <c r="A53" s="64" t="s">
        <v>264</v>
      </c>
      <c r="B53" t="s">
        <v>265</v>
      </c>
      <c r="C53" s="1" t="s">
        <v>265</v>
      </c>
      <c r="D53">
        <v>0</v>
      </c>
      <c r="E53">
        <v>0</v>
      </c>
      <c r="F53">
        <v>0</v>
      </c>
      <c r="K53" t="s">
        <v>266</v>
      </c>
    </row>
    <row r="54" spans="1:11" x14ac:dyDescent="0.25">
      <c r="K54" t="s">
        <v>267</v>
      </c>
    </row>
    <row r="55" spans="1:11" x14ac:dyDescent="0.25">
      <c r="K55" t="s">
        <v>268</v>
      </c>
    </row>
    <row r="56" spans="1:11" x14ac:dyDescent="0.25">
      <c r="K56" t="s">
        <v>269</v>
      </c>
    </row>
    <row r="57" spans="1:11" x14ac:dyDescent="0.25">
      <c r="K57" t="s">
        <v>270</v>
      </c>
    </row>
    <row r="58" spans="1:11" x14ac:dyDescent="0.25">
      <c r="K58" t="s">
        <v>271</v>
      </c>
    </row>
    <row r="59" spans="1:11" x14ac:dyDescent="0.25">
      <c r="K59" t="s">
        <v>272</v>
      </c>
    </row>
    <row r="60" spans="1:11" x14ac:dyDescent="0.25">
      <c r="K60" t="s">
        <v>273</v>
      </c>
    </row>
    <row r="61" spans="1:11" x14ac:dyDescent="0.25">
      <c r="K61" t="s">
        <v>274</v>
      </c>
    </row>
    <row r="62" spans="1:11" x14ac:dyDescent="0.25">
      <c r="K62" t="s">
        <v>275</v>
      </c>
    </row>
    <row r="63" spans="1:11" x14ac:dyDescent="0.25">
      <c r="K63" t="s">
        <v>276</v>
      </c>
    </row>
    <row r="64" spans="1:11" x14ac:dyDescent="0.25">
      <c r="K64" t="s">
        <v>277</v>
      </c>
    </row>
    <row r="65" spans="11:11" x14ac:dyDescent="0.25">
      <c r="K65" t="s">
        <v>278</v>
      </c>
    </row>
    <row r="66" spans="11:11" x14ac:dyDescent="0.25">
      <c r="K66" t="s">
        <v>279</v>
      </c>
    </row>
    <row r="67" spans="11:11" x14ac:dyDescent="0.25">
      <c r="K67" t="s">
        <v>280</v>
      </c>
    </row>
    <row r="68" spans="11:11" x14ac:dyDescent="0.25">
      <c r="K68" t="s">
        <v>281</v>
      </c>
    </row>
    <row r="69" spans="11:11" x14ac:dyDescent="0.25">
      <c r="K69" t="s">
        <v>282</v>
      </c>
    </row>
    <row r="70" spans="11:11" x14ac:dyDescent="0.25">
      <c r="K70" t="s">
        <v>283</v>
      </c>
    </row>
    <row r="71" spans="11:11" x14ac:dyDescent="0.25">
      <c r="K71" t="s">
        <v>284</v>
      </c>
    </row>
    <row r="72" spans="11:11" x14ac:dyDescent="0.25">
      <c r="K72" t="s">
        <v>285</v>
      </c>
    </row>
    <row r="73" spans="11:11" x14ac:dyDescent="0.25">
      <c r="K73" t="s">
        <v>286</v>
      </c>
    </row>
    <row r="74" spans="11:11" x14ac:dyDescent="0.25">
      <c r="K74" t="s">
        <v>287</v>
      </c>
    </row>
    <row r="75" spans="11:11" x14ac:dyDescent="0.25">
      <c r="K75" t="s">
        <v>288</v>
      </c>
    </row>
    <row r="76" spans="11:11" x14ac:dyDescent="0.25">
      <c r="K76" t="s">
        <v>289</v>
      </c>
    </row>
    <row r="77" spans="11:11" x14ac:dyDescent="0.25">
      <c r="K77" t="s">
        <v>290</v>
      </c>
    </row>
    <row r="78" spans="11:11" x14ac:dyDescent="0.25">
      <c r="K78" t="s">
        <v>291</v>
      </c>
    </row>
    <row r="79" spans="11:11" x14ac:dyDescent="0.25">
      <c r="K79" t="s">
        <v>292</v>
      </c>
    </row>
    <row r="80" spans="11:11" x14ac:dyDescent="0.25">
      <c r="K80" t="s">
        <v>293</v>
      </c>
    </row>
    <row r="81" spans="11:11" x14ac:dyDescent="0.25">
      <c r="K81" t="s">
        <v>294</v>
      </c>
    </row>
    <row r="82" spans="11:11" x14ac:dyDescent="0.25">
      <c r="K82" t="s">
        <v>295</v>
      </c>
    </row>
    <row r="83" spans="11:11" x14ac:dyDescent="0.25">
      <c r="K83" t="s">
        <v>296</v>
      </c>
    </row>
    <row r="84" spans="11:11" x14ac:dyDescent="0.25">
      <c r="K84" t="s">
        <v>297</v>
      </c>
    </row>
    <row r="85" spans="11:11" x14ac:dyDescent="0.25">
      <c r="K85" t="s">
        <v>298</v>
      </c>
    </row>
    <row r="86" spans="11:11" x14ac:dyDescent="0.25">
      <c r="K86" t="s">
        <v>299</v>
      </c>
    </row>
    <row r="87" spans="11:11" x14ac:dyDescent="0.25">
      <c r="K87" t="s">
        <v>300</v>
      </c>
    </row>
    <row r="88" spans="11:11" x14ac:dyDescent="0.25">
      <c r="K88" t="s">
        <v>301</v>
      </c>
    </row>
    <row r="89" spans="11:11" x14ac:dyDescent="0.25">
      <c r="K89" t="s">
        <v>302</v>
      </c>
    </row>
    <row r="90" spans="11:11" x14ac:dyDescent="0.25">
      <c r="K90" t="s">
        <v>303</v>
      </c>
    </row>
    <row r="91" spans="11:11" x14ac:dyDescent="0.25">
      <c r="K91" t="s">
        <v>304</v>
      </c>
    </row>
    <row r="92" spans="11:11" x14ac:dyDescent="0.25">
      <c r="K92" t="s">
        <v>305</v>
      </c>
    </row>
    <row r="93" spans="11:11" x14ac:dyDescent="0.25">
      <c r="K93" t="s">
        <v>306</v>
      </c>
    </row>
    <row r="94" spans="11:11" x14ac:dyDescent="0.25">
      <c r="K94" t="s">
        <v>307</v>
      </c>
    </row>
    <row r="95" spans="11:11" x14ac:dyDescent="0.25">
      <c r="K95" t="s">
        <v>308</v>
      </c>
    </row>
    <row r="96" spans="11:11" x14ac:dyDescent="0.25">
      <c r="K96" t="s">
        <v>309</v>
      </c>
    </row>
    <row r="97" spans="11:11" x14ac:dyDescent="0.25">
      <c r="K97" t="s">
        <v>310</v>
      </c>
    </row>
    <row r="98" spans="11:11" x14ac:dyDescent="0.25">
      <c r="K98" t="s">
        <v>311</v>
      </c>
    </row>
  </sheetData>
  <sortState xmlns:xlrd2="http://schemas.microsoft.com/office/spreadsheetml/2017/richdata2" ref="K2:K1048576">
    <sortCondition ref="K2:K1048576"/>
  </sortState>
  <conditionalFormatting sqref="A53">
    <cfRule type="expression" dxfId="1105" priority="1">
      <formula>$Z52="Benzick, Sue"</formula>
    </cfRule>
    <cfRule type="expression" dxfId="1104" priority="2">
      <formula>$Z52="Jenne, Richard"</formula>
    </cfRule>
    <cfRule type="expression" dxfId="1103" priority="3">
      <formula>$Z52="McQueen, Jennifer"</formula>
    </cfRule>
  </conditionalFormatting>
  <dataValidations disablePrompts="1" count="1">
    <dataValidation type="list" allowBlank="1" showInputMessage="1" showErrorMessage="1" sqref="A53" xr:uid="{00000000-0002-0000-06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F8"/>
  <sheetViews>
    <sheetView workbookViewId="0">
      <selection activeCell="B4" sqref="B4"/>
    </sheetView>
  </sheetViews>
  <sheetFormatPr defaultRowHeight="15" x14ac:dyDescent="0.25"/>
  <cols>
    <col min="1" max="1" width="16.7109375" bestFit="1" customWidth="1"/>
    <col min="2" max="2" width="16.140625" bestFit="1" customWidth="1"/>
    <col min="3" max="3" width="10.28515625" bestFit="1" customWidth="1"/>
    <col min="4" max="4" width="15.85546875" bestFit="1" customWidth="1"/>
    <col min="5" max="7" width="18.140625" bestFit="1" customWidth="1"/>
    <col min="8" max="8" width="11.28515625" bestFit="1" customWidth="1"/>
  </cols>
  <sheetData>
    <row r="1" spans="1:6" x14ac:dyDescent="0.25">
      <c r="A1" s="6" t="s">
        <v>75</v>
      </c>
      <c r="B1" t="s">
        <v>312</v>
      </c>
    </row>
    <row r="3" spans="1:6" x14ac:dyDescent="0.25">
      <c r="A3" t="s">
        <v>313</v>
      </c>
      <c r="B3" t="s">
        <v>314</v>
      </c>
      <c r="C3" t="s">
        <v>315</v>
      </c>
      <c r="D3" t="s">
        <v>316</v>
      </c>
    </row>
    <row r="4" spans="1:6" x14ac:dyDescent="0.25">
      <c r="B4" s="186"/>
    </row>
    <row r="5" spans="1:6" x14ac:dyDescent="0.25">
      <c r="B5" s="5" t="s">
        <v>317</v>
      </c>
    </row>
    <row r="7" spans="1:6" x14ac:dyDescent="0.25">
      <c r="D7" s="60" t="s">
        <v>318</v>
      </c>
      <c r="E7" s="60">
        <f>GETPIVOTDATA("Sum of Graduates",$A$3)+GETPIVOTDATA("Sum of Fail",$A$3)</f>
        <v>0</v>
      </c>
      <c r="F7" s="61" t="e">
        <f>E7/GETPIVOTDATA("Sum of Quotas",$A$3)</f>
        <v>#DIV/0!</v>
      </c>
    </row>
    <row r="8" spans="1:6" x14ac:dyDescent="0.25">
      <c r="D8" s="60" t="s">
        <v>319</v>
      </c>
      <c r="E8" s="60">
        <f>GETPIVOTDATA("Sum of Graduates",$A$3)+GETPIVOTDATA("Sum of Fail",$A$3)+GETPIVOTDATA("Sum of No Shows",$A$3)</f>
        <v>0</v>
      </c>
      <c r="F8" s="61" t="e">
        <f>E8/GETPIVOTDATA("Sum of Quotas",$A$3)</f>
        <v>#DIV/0!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A1:AA42"/>
  <sheetViews>
    <sheetView showGridLines="0" tabSelected="1" zoomScale="80" zoomScaleNormal="80" workbookViewId="0">
      <pane xSplit="9" ySplit="4" topLeftCell="J5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12" customWidth="1"/>
    <col min="10" max="10" width="9.85546875" customWidth="1"/>
    <col min="11" max="11" width="8.28515625" customWidth="1"/>
    <col min="12" max="14" width="9.710937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18" t="s">
        <v>0</v>
      </c>
      <c r="C1" s="17"/>
      <c r="D1" s="17"/>
      <c r="E1" s="17"/>
      <c r="F1" s="17"/>
      <c r="G1" s="3"/>
      <c r="H1" s="17"/>
      <c r="I1" s="17"/>
      <c r="J1" s="19"/>
      <c r="K1" s="17"/>
      <c r="L1" s="17"/>
      <c r="M1" s="17"/>
      <c r="N1" s="17"/>
      <c r="O1" s="17"/>
      <c r="P1" s="17"/>
      <c r="Q1" s="17"/>
      <c r="R1" s="17"/>
      <c r="S1" s="17"/>
      <c r="T1" s="2"/>
      <c r="U1" s="20"/>
      <c r="V1" s="20"/>
      <c r="W1" s="20"/>
      <c r="X1" s="20"/>
      <c r="Y1" s="17"/>
      <c r="Z1" s="17"/>
      <c r="AA1" s="17"/>
    </row>
    <row r="2" spans="2:27" x14ac:dyDescent="0.25">
      <c r="B2" s="374">
        <v>45513</v>
      </c>
      <c r="C2" s="17"/>
      <c r="D2" s="17"/>
      <c r="E2" s="17"/>
      <c r="F2" s="17"/>
      <c r="G2" s="17"/>
      <c r="H2" s="17"/>
      <c r="I2" s="17"/>
      <c r="J2" s="19"/>
      <c r="K2" s="17"/>
      <c r="L2" s="17"/>
      <c r="M2" s="17"/>
      <c r="N2" s="17"/>
      <c r="O2" s="17"/>
      <c r="P2" s="17"/>
      <c r="Q2" s="17"/>
      <c r="R2" s="17"/>
      <c r="S2" s="17"/>
      <c r="T2" s="17"/>
      <c r="U2" s="20"/>
      <c r="V2" s="20"/>
      <c r="W2" s="20"/>
      <c r="X2" s="20"/>
      <c r="Y2" s="17"/>
      <c r="Z2" s="17"/>
      <c r="AA2" s="17"/>
    </row>
    <row r="3" spans="2:27" ht="15.75" x14ac:dyDescent="0.25">
      <c r="B3" s="400" t="s">
        <v>320</v>
      </c>
      <c r="C3" s="401"/>
      <c r="D3" s="401"/>
      <c r="E3" s="401"/>
      <c r="F3" s="401"/>
      <c r="G3" s="401"/>
      <c r="H3" s="401"/>
      <c r="I3" s="401"/>
      <c r="J3" s="401"/>
      <c r="K3" s="402" t="s">
        <v>321</v>
      </c>
      <c r="L3" s="403"/>
      <c r="M3" s="403"/>
      <c r="N3" s="403"/>
      <c r="O3" s="404"/>
      <c r="P3" s="404"/>
      <c r="Q3" s="404"/>
      <c r="R3" s="404"/>
      <c r="S3" s="404"/>
      <c r="T3" s="404"/>
      <c r="U3" s="404"/>
      <c r="V3" s="386"/>
      <c r="W3" s="48"/>
      <c r="X3" s="405" t="s">
        <v>322</v>
      </c>
      <c r="Y3" s="405"/>
      <c r="Z3" s="405"/>
      <c r="AA3" s="406"/>
    </row>
    <row r="4" spans="2:27" ht="105" x14ac:dyDescent="0.25">
      <c r="B4" s="21" t="s">
        <v>2</v>
      </c>
      <c r="C4" s="22" t="s">
        <v>3</v>
      </c>
      <c r="D4" s="22" t="s">
        <v>4</v>
      </c>
      <c r="E4" s="22" t="s">
        <v>323</v>
      </c>
      <c r="F4" s="22" t="s">
        <v>324</v>
      </c>
      <c r="G4" s="22" t="s">
        <v>325</v>
      </c>
      <c r="H4" s="22" t="s">
        <v>326</v>
      </c>
      <c r="I4" s="22" t="s">
        <v>327</v>
      </c>
      <c r="J4" s="44" t="s">
        <v>328</v>
      </c>
      <c r="K4" s="49" t="s">
        <v>11</v>
      </c>
      <c r="L4" s="373" t="s">
        <v>329</v>
      </c>
      <c r="M4" s="373" t="s">
        <v>330</v>
      </c>
      <c r="N4" s="373" t="s">
        <v>331</v>
      </c>
      <c r="O4" s="45" t="s">
        <v>13</v>
      </c>
      <c r="P4" s="45" t="s">
        <v>332</v>
      </c>
      <c r="Q4" s="45" t="s">
        <v>333</v>
      </c>
      <c r="R4" s="46" t="s">
        <v>334</v>
      </c>
      <c r="S4" s="46" t="s">
        <v>335</v>
      </c>
      <c r="T4" s="46" t="s">
        <v>336</v>
      </c>
      <c r="U4" s="47" t="s">
        <v>337</v>
      </c>
      <c r="V4" s="47" t="s">
        <v>338</v>
      </c>
      <c r="W4" s="50" t="s">
        <v>339</v>
      </c>
      <c r="X4" s="33" t="s">
        <v>340</v>
      </c>
      <c r="Y4" s="23" t="s">
        <v>341</v>
      </c>
      <c r="Z4" s="23" t="s">
        <v>342</v>
      </c>
      <c r="AA4" s="24" t="s">
        <v>343</v>
      </c>
    </row>
    <row r="5" spans="2:27" ht="31.5" x14ac:dyDescent="0.25">
      <c r="B5" s="52" t="s">
        <v>15</v>
      </c>
      <c r="C5" s="37"/>
      <c r="D5" s="37" t="s">
        <v>344</v>
      </c>
      <c r="E5" s="37">
        <f>COUNTIF(Table2[Course Title],Table311[[#This Row],[Courses - Planned vs Need (Active Courses)]])</f>
        <v>8</v>
      </c>
      <c r="F5" s="53">
        <v>45</v>
      </c>
      <c r="G5" s="37">
        <f>Table311[[#This Row],[Course Offerings]]*Table311[[#This Row],[Quota per Offering]]</f>
        <v>360</v>
      </c>
      <c r="H5" s="153">
        <v>337</v>
      </c>
      <c r="I5" s="37">
        <f t="shared" ref="I5:I41" si="0">SUM(G5-H5)</f>
        <v>23</v>
      </c>
      <c r="J5" s="40">
        <f t="shared" ref="J5:J41" si="1">SUM(G5/H5)</f>
        <v>1.0682492581602374</v>
      </c>
      <c r="K5" s="38">
        <f>SUMIF(Table2[Course Title],Table311[[#This Row],[Courses - Planned vs Need (Active Courses)]],Table2[Graduates])</f>
        <v>0</v>
      </c>
      <c r="L5" s="38">
        <f>SUMIF(Table2[Course Title],Table311[[#This Row],[Courses - Planned vs Need (Active Courses)]],Table2[Registered])</f>
        <v>0</v>
      </c>
      <c r="M5" s="38">
        <f>SUMIF(Table2[Course Title],Table311[[#This Row],[Courses - Planned vs Need (Active Courses)]],Table2[Waitlisted])</f>
        <v>0</v>
      </c>
      <c r="N5" s="38">
        <f>SUMIF(Table2[Course Title],Table311[[#This Row],[Courses - Planned vs Need (Active Courses)]],Table2[Walk-ins])</f>
        <v>0</v>
      </c>
      <c r="O5" s="39">
        <f>SUMIF(Table2[Course Title],Table311[[#This Row],[Courses - Planned vs Need (Active Courses)]],Table2[No Shows])</f>
        <v>0</v>
      </c>
      <c r="P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" s="41">
        <f>ROUNDDOWN(Table311[[#This Row],[To date quotas unused (Open quotas+ no shows)]]/Table311[[#This Row],[Quota per Offering]],0)</f>
        <v>0</v>
      </c>
      <c r="R5" s="39">
        <f t="shared" ref="R5:R41" si="2">SUM(G5-K5)</f>
        <v>360</v>
      </c>
      <c r="S5" s="41">
        <f ca="1">COUNTIFS(Table2[Course Title],Table311[[#This Row],[Courses - Planned vs Need (Active Courses)]],Table2[Roster Status],"1",Table2[Remaining Courses],"0")</f>
        <v>0</v>
      </c>
      <c r="T5" s="41">
        <f ca="1">COUNTIFS(Table2[Course Title],Table311[[#This Row],[Courses - Planned vs Need (Active Courses)]],Table2[Remaining Courses],"1")</f>
        <v>8</v>
      </c>
      <c r="U5" s="43">
        <f t="shared" ref="U5:U41" si="3">SUM(K5/H5)</f>
        <v>0</v>
      </c>
      <c r="V5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" s="72">
        <v>82</v>
      </c>
      <c r="Y5" s="41">
        <f t="shared" ref="Y5:Y41" ca="1" si="4">SUM(S5,T5)*F5</f>
        <v>360</v>
      </c>
      <c r="Z5" s="41">
        <f>Table311[[#This Row],[Fleet Quota Need]]-Table311[[#This Row],[Total Grads]]</f>
        <v>337</v>
      </c>
      <c r="AA5" s="26"/>
    </row>
    <row r="6" spans="2:27" ht="15.75" x14ac:dyDescent="0.25">
      <c r="B6" s="52" t="s">
        <v>88</v>
      </c>
      <c r="C6" s="37"/>
      <c r="D6" s="37" t="s">
        <v>345</v>
      </c>
      <c r="E6" s="37">
        <f>COUNTIF(Table2[Course Title],Table311[[#This Row],[Courses - Planned vs Need (Active Courses)]])</f>
        <v>2</v>
      </c>
      <c r="F6" s="37">
        <v>25</v>
      </c>
      <c r="G6" s="37">
        <f>Table311[[#This Row],[Course Offerings]]*Table311[[#This Row],[Quota per Offering]]</f>
        <v>50</v>
      </c>
      <c r="H6" s="153">
        <v>325</v>
      </c>
      <c r="I6" s="37">
        <f t="shared" si="0"/>
        <v>-275</v>
      </c>
      <c r="J6" s="40">
        <f t="shared" si="1"/>
        <v>0.15384615384615385</v>
      </c>
      <c r="K6" s="38">
        <f>SUMIF(Table2[Course Title],Table311[[#This Row],[Courses - Planned vs Need (Active Courses)]],Table2[Graduates])</f>
        <v>0</v>
      </c>
      <c r="L6" s="72">
        <f>SUMIF(Table2[Course Title],Table311[[#This Row],[Courses - Planned vs Need (Active Courses)]],Table2[Registered])</f>
        <v>0</v>
      </c>
      <c r="M6" s="72">
        <f>SUMIF(Table2[Course Title],Table311[[#This Row],[Courses - Planned vs Need (Active Courses)]],Table2[Waitlisted])</f>
        <v>0</v>
      </c>
      <c r="N6" s="72">
        <f>SUMIF(Table2[Course Title],Table311[[#This Row],[Courses - Planned vs Need (Active Courses)]],Table2[Walk-ins])</f>
        <v>0</v>
      </c>
      <c r="O6" s="39">
        <f>SUMIF(Table2[Course Title],Table311[[#This Row],[Courses - Planned vs Need (Active Courses)]],Table2[No Shows])</f>
        <v>0</v>
      </c>
      <c r="P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6" s="41">
        <f>ROUNDDOWN(Table311[[#This Row],[To date quotas unused (Open quotas+ no shows)]]/Table311[[#This Row],[Quota per Offering]],0)</f>
        <v>0</v>
      </c>
      <c r="R6" s="39">
        <f t="shared" si="2"/>
        <v>50</v>
      </c>
      <c r="S6" s="41">
        <f ca="1">COUNTIFS(Table2[Course Title],Table311[[#This Row],[Courses - Planned vs Need (Active Courses)]],Table2[Roster Status],"1",Table2[Remaining Courses],"0")</f>
        <v>0</v>
      </c>
      <c r="T6" s="41">
        <f ca="1">COUNTIFS(Table2[Course Title],Table311[[#This Row],[Courses - Planned vs Need (Active Courses)]],Table2[Remaining Courses],"1")</f>
        <v>2</v>
      </c>
      <c r="U6" s="43">
        <f t="shared" si="3"/>
        <v>0</v>
      </c>
      <c r="V6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6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6" s="72">
        <v>19</v>
      </c>
      <c r="Y6" s="41">
        <f t="shared" ca="1" si="4"/>
        <v>50</v>
      </c>
      <c r="Z6" s="41">
        <f>Table311[[#This Row],[Fleet Quota Need]]-Table311[[#This Row],[Total Grads]]</f>
        <v>325</v>
      </c>
      <c r="AA6" s="26"/>
    </row>
    <row r="7" spans="2:27" ht="15.75" x14ac:dyDescent="0.25">
      <c r="B7" s="52" t="s">
        <v>42</v>
      </c>
      <c r="C7" s="37"/>
      <c r="D7" s="37" t="s">
        <v>345</v>
      </c>
      <c r="E7" s="37">
        <f>COUNTIF(Table2[Course Title],Table311[[#This Row],[Courses - Planned vs Need (Active Courses)]])</f>
        <v>4</v>
      </c>
      <c r="F7" s="37">
        <v>30</v>
      </c>
      <c r="G7" s="37">
        <f>Table311[[#This Row],[Course Offerings]]*Table311[[#This Row],[Quota per Offering]]</f>
        <v>120</v>
      </c>
      <c r="H7" s="153">
        <v>341</v>
      </c>
      <c r="I7" s="37">
        <f t="shared" si="0"/>
        <v>-221</v>
      </c>
      <c r="J7" s="40">
        <f t="shared" si="1"/>
        <v>0.35190615835777128</v>
      </c>
      <c r="K7" s="38">
        <f>SUMIF(Table2[Course Title],Table311[[#This Row],[Courses - Planned vs Need (Active Courses)]],Table2[Graduates])</f>
        <v>0</v>
      </c>
      <c r="L7" s="72">
        <f>SUMIF(Table2[Course Title],Table311[[#This Row],[Courses - Planned vs Need (Active Courses)]],Table2[Registered])</f>
        <v>0</v>
      </c>
      <c r="M7" s="72">
        <f>SUMIF(Table2[Course Title],Table311[[#This Row],[Courses - Planned vs Need (Active Courses)]],Table2[Waitlisted])</f>
        <v>0</v>
      </c>
      <c r="N7" s="72">
        <f>SUMIF(Table2[Course Title],Table311[[#This Row],[Courses - Planned vs Need (Active Courses)]],Table2[Walk-ins])</f>
        <v>0</v>
      </c>
      <c r="O7" s="39">
        <f>SUMIF(Table2[Course Title],Table311[[#This Row],[Courses - Planned vs Need (Active Courses)]],Table2[No Shows])</f>
        <v>0</v>
      </c>
      <c r="P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7" s="41">
        <f>ROUNDDOWN(Table311[[#This Row],[To date quotas unused (Open quotas+ no shows)]]/Table311[[#This Row],[Quota per Offering]],0)</f>
        <v>0</v>
      </c>
      <c r="R7" s="39">
        <f t="shared" si="2"/>
        <v>120</v>
      </c>
      <c r="S7" s="41">
        <f ca="1">COUNTIFS(Table2[Course Title],Table311[[#This Row],[Courses - Planned vs Need (Active Courses)]],Table2[Roster Status],"1",Table2[Remaining Courses],"0")</f>
        <v>0</v>
      </c>
      <c r="T7" s="41">
        <f ca="1">COUNTIFS(Table2[Course Title],Table311[[#This Row],[Courses - Planned vs Need (Active Courses)]],Table2[Remaining Courses],"1")</f>
        <v>4</v>
      </c>
      <c r="U7" s="43">
        <f t="shared" si="3"/>
        <v>0</v>
      </c>
      <c r="V7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7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7" s="72">
        <v>9</v>
      </c>
      <c r="Y7" s="41">
        <f t="shared" ca="1" si="4"/>
        <v>120</v>
      </c>
      <c r="Z7" s="41">
        <f>Table311[[#This Row],[Fleet Quota Need]]-Table311[[#This Row],[Total Grads]]</f>
        <v>341</v>
      </c>
      <c r="AA7" s="26"/>
    </row>
    <row r="8" spans="2:27" ht="15.75" x14ac:dyDescent="0.25">
      <c r="B8" s="52" t="s">
        <v>97</v>
      </c>
      <c r="C8" s="37"/>
      <c r="D8" s="37" t="s">
        <v>345</v>
      </c>
      <c r="E8" s="37">
        <f>COUNTIF(Table2[Course Title],Table311[[#This Row],[Courses - Planned vs Need (Active Courses)]])</f>
        <v>2</v>
      </c>
      <c r="F8" s="37">
        <v>25</v>
      </c>
      <c r="G8" s="37">
        <f>Table311[[#This Row],[Course Offerings]]*Table311[[#This Row],[Quota per Offering]]</f>
        <v>50</v>
      </c>
      <c r="H8" s="153">
        <v>128</v>
      </c>
      <c r="I8" s="37">
        <f t="shared" si="0"/>
        <v>-78</v>
      </c>
      <c r="J8" s="40">
        <f t="shared" si="1"/>
        <v>0.390625</v>
      </c>
      <c r="K8" s="38">
        <f>SUMIF(Table2[Course Title],Table311[[#This Row],[Courses - Planned vs Need (Active Courses)]],Table2[Graduates])</f>
        <v>0</v>
      </c>
      <c r="L8" s="72">
        <f>SUMIF(Table2[Course Title],Table311[[#This Row],[Courses - Planned vs Need (Active Courses)]],Table2[Registered])</f>
        <v>0</v>
      </c>
      <c r="M8" s="72">
        <f>SUMIF(Table2[Course Title],Table311[[#This Row],[Courses - Planned vs Need (Active Courses)]],Table2[Waitlisted])</f>
        <v>0</v>
      </c>
      <c r="N8" s="72">
        <f>SUMIF(Table2[Course Title],Table311[[#This Row],[Courses - Planned vs Need (Active Courses)]],Table2[Walk-ins])</f>
        <v>0</v>
      </c>
      <c r="O8" s="39">
        <f>SUMIF(Table2[Course Title],Table311[[#This Row],[Courses - Planned vs Need (Active Courses)]],Table2[No Shows])</f>
        <v>0</v>
      </c>
      <c r="P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8" s="41">
        <f>ROUNDDOWN(Table311[[#This Row],[To date quotas unused (Open quotas+ no shows)]]/Table311[[#This Row],[Quota per Offering]],0)</f>
        <v>0</v>
      </c>
      <c r="R8" s="39">
        <f t="shared" si="2"/>
        <v>50</v>
      </c>
      <c r="S8" s="41">
        <f ca="1">COUNTIFS(Table2[Course Title],Table311[[#This Row],[Courses - Planned vs Need (Active Courses)]],Table2[Roster Status],"1",Table2[Remaining Courses],"0")</f>
        <v>0</v>
      </c>
      <c r="T8" s="41">
        <f ca="1">COUNTIFS(Table2[Course Title],Table311[[#This Row],[Courses - Planned vs Need (Active Courses)]],Table2[Remaining Courses],"1")</f>
        <v>2</v>
      </c>
      <c r="U8" s="43">
        <f t="shared" si="3"/>
        <v>0</v>
      </c>
      <c r="V8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8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8" s="72">
        <v>21</v>
      </c>
      <c r="Y8" s="41">
        <f t="shared" ca="1" si="4"/>
        <v>50</v>
      </c>
      <c r="Z8" s="41">
        <f>Table311[[#This Row],[Fleet Quota Need]]-Table311[[#This Row],[Total Grads]]</f>
        <v>128</v>
      </c>
      <c r="AA8" s="26"/>
    </row>
    <row r="9" spans="2:27" ht="31.5" x14ac:dyDescent="0.25">
      <c r="B9" s="52" t="s">
        <v>44</v>
      </c>
      <c r="C9" s="37"/>
      <c r="D9" s="37" t="s">
        <v>345</v>
      </c>
      <c r="E9" s="37">
        <f>COUNTIF(Table2[Course Title],Table311[[#This Row],[Courses - Planned vs Need (Active Courses)]])</f>
        <v>4</v>
      </c>
      <c r="F9" s="37">
        <v>30</v>
      </c>
      <c r="G9" s="37">
        <f>Table311[[#This Row],[Course Offerings]]*Table311[[#This Row],[Quota per Offering]]</f>
        <v>120</v>
      </c>
      <c r="H9" s="153">
        <v>171</v>
      </c>
      <c r="I9" s="37">
        <f t="shared" si="0"/>
        <v>-51</v>
      </c>
      <c r="J9" s="40">
        <f t="shared" si="1"/>
        <v>0.70175438596491224</v>
      </c>
      <c r="K9" s="38">
        <f>SUMIF(Table2[Course Title],Table311[[#This Row],[Courses - Planned vs Need (Active Courses)]],Table2[Graduates])</f>
        <v>0</v>
      </c>
      <c r="L9" s="72">
        <f>SUMIF(Table2[Course Title],Table311[[#This Row],[Courses - Planned vs Need (Active Courses)]],Table2[Registered])</f>
        <v>0</v>
      </c>
      <c r="M9" s="72">
        <f>SUMIF(Table2[Course Title],Table311[[#This Row],[Courses - Planned vs Need (Active Courses)]],Table2[Waitlisted])</f>
        <v>0</v>
      </c>
      <c r="N9" s="72">
        <f>SUMIF(Table2[Course Title],Table311[[#This Row],[Courses - Planned vs Need (Active Courses)]],Table2[Walk-ins])</f>
        <v>0</v>
      </c>
      <c r="O9" s="39">
        <f>SUMIF(Table2[Course Title],Table311[[#This Row],[Courses - Planned vs Need (Active Courses)]],Table2[No Shows])</f>
        <v>0</v>
      </c>
      <c r="P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9" s="41">
        <f>ROUNDDOWN(Table311[[#This Row],[To date quotas unused (Open quotas+ no shows)]]/Table311[[#This Row],[Quota per Offering]],0)</f>
        <v>0</v>
      </c>
      <c r="R9" s="39">
        <f t="shared" si="2"/>
        <v>120</v>
      </c>
      <c r="S9" s="41">
        <f ca="1">COUNTIFS(Table2[Course Title],Table311[[#This Row],[Courses - Planned vs Need (Active Courses)]],Table2[Roster Status],"1",Table2[Remaining Courses],"0")</f>
        <v>0</v>
      </c>
      <c r="T9" s="41">
        <f ca="1">COUNTIFS(Table2[Course Title],Table311[[#This Row],[Courses - Planned vs Need (Active Courses)]],Table2[Remaining Courses],"1")</f>
        <v>4</v>
      </c>
      <c r="U9" s="43">
        <f t="shared" si="3"/>
        <v>0</v>
      </c>
      <c r="V9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9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9" s="72">
        <v>14</v>
      </c>
      <c r="Y9" s="41">
        <f t="shared" ca="1" si="4"/>
        <v>120</v>
      </c>
      <c r="Z9" s="41">
        <f>Table311[[#This Row],[Fleet Quota Need]]-Table311[[#This Row],[Total Grads]]</f>
        <v>171</v>
      </c>
      <c r="AA9" s="26"/>
    </row>
    <row r="10" spans="2:27" ht="15.75" x14ac:dyDescent="0.25">
      <c r="B10" s="52" t="s">
        <v>45</v>
      </c>
      <c r="C10" s="37"/>
      <c r="D10" s="37" t="s">
        <v>345</v>
      </c>
      <c r="E10" s="37">
        <f>COUNTIF(Table2[Course Title],Table311[[#This Row],[Courses - Planned vs Need (Active Courses)]])</f>
        <v>2</v>
      </c>
      <c r="F10" s="37">
        <v>25</v>
      </c>
      <c r="G10" s="37">
        <f>Table311[[#This Row],[Course Offerings]]*Table311[[#This Row],[Quota per Offering]]</f>
        <v>50</v>
      </c>
      <c r="H10" s="153">
        <v>197</v>
      </c>
      <c r="I10" s="37">
        <f t="shared" si="0"/>
        <v>-147</v>
      </c>
      <c r="J10" s="40">
        <f t="shared" si="1"/>
        <v>0.25380710659898476</v>
      </c>
      <c r="K10" s="38">
        <f>SUMIF(Table2[Course Title],Table311[[#This Row],[Courses - Planned vs Need (Active Courses)]],Table2[Graduates])</f>
        <v>0</v>
      </c>
      <c r="L10" s="72">
        <f>SUMIF(Table2[Course Title],Table311[[#This Row],[Courses - Planned vs Need (Active Courses)]],Table2[Registered])</f>
        <v>0</v>
      </c>
      <c r="M10" s="72">
        <f>SUMIF(Table2[Course Title],Table311[[#This Row],[Courses - Planned vs Need (Active Courses)]],Table2[Waitlisted])</f>
        <v>0</v>
      </c>
      <c r="N10" s="72">
        <f>SUMIF(Table2[Course Title],Table311[[#This Row],[Courses - Planned vs Need (Active Courses)]],Table2[Walk-ins])</f>
        <v>0</v>
      </c>
      <c r="O10" s="39">
        <f>SUMIF(Table2[Course Title],Table311[[#This Row],[Courses - Planned vs Need (Active Courses)]],Table2[No Shows])</f>
        <v>0</v>
      </c>
      <c r="P1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0" s="41">
        <f>ROUNDDOWN(Table311[[#This Row],[To date quotas unused (Open quotas+ no shows)]]/Table311[[#This Row],[Quota per Offering]],0)</f>
        <v>0</v>
      </c>
      <c r="R10" s="39">
        <f t="shared" si="2"/>
        <v>50</v>
      </c>
      <c r="S10" s="41">
        <f ca="1">COUNTIFS(Table2[Course Title],Table311[[#This Row],[Courses - Planned vs Need (Active Courses)]],Table2[Roster Status],"1",Table2[Remaining Courses],"0")</f>
        <v>0</v>
      </c>
      <c r="T10" s="41">
        <f ca="1">COUNTIFS(Table2[Course Title],Table311[[#This Row],[Courses - Planned vs Need (Active Courses)]],Table2[Remaining Courses],"1")</f>
        <v>2</v>
      </c>
      <c r="U10" s="43">
        <f t="shared" si="3"/>
        <v>0</v>
      </c>
      <c r="V10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0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0" s="72">
        <v>23</v>
      </c>
      <c r="Y10" s="41">
        <f t="shared" ca="1" si="4"/>
        <v>50</v>
      </c>
      <c r="Z10" s="41">
        <f>Table311[[#This Row],[Fleet Quota Need]]-Table311[[#This Row],[Total Grads]]</f>
        <v>197</v>
      </c>
      <c r="AA10" s="26"/>
    </row>
    <row r="11" spans="2:27" ht="15.75" x14ac:dyDescent="0.25">
      <c r="B11" s="52" t="s">
        <v>46</v>
      </c>
      <c r="C11" s="37"/>
      <c r="D11" s="37" t="s">
        <v>345</v>
      </c>
      <c r="E11" s="37">
        <f>COUNTIF(Table2[Course Title],Table311[[#This Row],[Courses - Planned vs Need (Active Courses)]])</f>
        <v>4</v>
      </c>
      <c r="F11" s="37">
        <v>30</v>
      </c>
      <c r="G11" s="37">
        <f>Table311[[#This Row],[Course Offerings]]*Table311[[#This Row],[Quota per Offering]]</f>
        <v>120</v>
      </c>
      <c r="H11" s="153">
        <v>258</v>
      </c>
      <c r="I11" s="37">
        <f t="shared" si="0"/>
        <v>-138</v>
      </c>
      <c r="J11" s="40">
        <f t="shared" si="1"/>
        <v>0.46511627906976744</v>
      </c>
      <c r="K11" s="38">
        <f>SUMIF(Table2[Course Title],Table311[[#This Row],[Courses - Planned vs Need (Active Courses)]],Table2[Graduates])</f>
        <v>0</v>
      </c>
      <c r="L11" s="72">
        <f>SUMIF(Table2[Course Title],Table311[[#This Row],[Courses - Planned vs Need (Active Courses)]],Table2[Registered])</f>
        <v>0</v>
      </c>
      <c r="M11" s="72">
        <f>SUMIF(Table2[Course Title],Table311[[#This Row],[Courses - Planned vs Need (Active Courses)]],Table2[Waitlisted])</f>
        <v>0</v>
      </c>
      <c r="N11" s="72">
        <f>SUMIF(Table2[Course Title],Table311[[#This Row],[Courses - Planned vs Need (Active Courses)]],Table2[Walk-ins])</f>
        <v>0</v>
      </c>
      <c r="O11" s="39">
        <f>SUMIF(Table2[Course Title],Table311[[#This Row],[Courses - Planned vs Need (Active Courses)]],Table2[No Shows])</f>
        <v>0</v>
      </c>
      <c r="P1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1" s="41">
        <f>ROUNDDOWN(Table311[[#This Row],[To date quotas unused (Open quotas+ no shows)]]/Table311[[#This Row],[Quota per Offering]],0)</f>
        <v>0</v>
      </c>
      <c r="R11" s="39">
        <f t="shared" si="2"/>
        <v>120</v>
      </c>
      <c r="S11" s="41">
        <f ca="1">COUNTIFS(Table2[Course Title],Table311[[#This Row],[Courses - Planned vs Need (Active Courses)]],Table2[Roster Status],"1",Table2[Remaining Courses],"0")</f>
        <v>0</v>
      </c>
      <c r="T11" s="41">
        <f ca="1">COUNTIFS(Table2[Course Title],Table311[[#This Row],[Courses - Planned vs Need (Active Courses)]],Table2[Remaining Courses],"1")</f>
        <v>4</v>
      </c>
      <c r="U11" s="43">
        <f t="shared" si="3"/>
        <v>0</v>
      </c>
      <c r="V11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1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1" s="73">
        <v>15</v>
      </c>
      <c r="Y11" s="41">
        <f t="shared" ca="1" si="4"/>
        <v>120</v>
      </c>
      <c r="Z11" s="41">
        <f>Table311[[#This Row],[Fleet Quota Need]]-Table311[[#This Row],[Total Grads]]</f>
        <v>258</v>
      </c>
      <c r="AA11" s="26"/>
    </row>
    <row r="12" spans="2:27" ht="31.5" x14ac:dyDescent="0.25">
      <c r="B12" s="52" t="s">
        <v>37</v>
      </c>
      <c r="C12" s="37"/>
      <c r="D12" s="37" t="s">
        <v>346</v>
      </c>
      <c r="E12" s="37">
        <f>COUNTIF(Table2[Course Title],Table311[[#This Row],[Courses - Planned vs Need (Active Courses)]])</f>
        <v>11</v>
      </c>
      <c r="F12" s="37">
        <v>45</v>
      </c>
      <c r="G12" s="37">
        <f>Table311[[#This Row],[Course Offerings]]*Table311[[#This Row],[Quota per Offering]]</f>
        <v>495</v>
      </c>
      <c r="H12" s="153">
        <v>464</v>
      </c>
      <c r="I12" s="37">
        <f t="shared" si="0"/>
        <v>31</v>
      </c>
      <c r="J12" s="40">
        <f t="shared" si="1"/>
        <v>1.0668103448275863</v>
      </c>
      <c r="K12" s="38">
        <f>SUMIF(Table2[Course Title],Table311[[#This Row],[Courses - Planned vs Need (Active Courses)]],Table2[Graduates])</f>
        <v>0</v>
      </c>
      <c r="L12" s="72">
        <f>SUMIF(Table2[Course Title],Table311[[#This Row],[Courses - Planned vs Need (Active Courses)]],Table2[Registered])</f>
        <v>0</v>
      </c>
      <c r="M12" s="72">
        <f>SUMIF(Table2[Course Title],Table311[[#This Row],[Courses - Planned vs Need (Active Courses)]],Table2[Waitlisted])</f>
        <v>0</v>
      </c>
      <c r="N12" s="72">
        <f>SUMIF(Table2[Course Title],Table311[[#This Row],[Courses - Planned vs Need (Active Courses)]],Table2[Walk-ins])</f>
        <v>0</v>
      </c>
      <c r="O12" s="39">
        <f>SUMIF(Table2[Course Title],Table311[[#This Row],[Courses - Planned vs Need (Active Courses)]],Table2[No Shows])</f>
        <v>0</v>
      </c>
      <c r="P1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2" s="41">
        <f>ROUNDDOWN(Table311[[#This Row],[To date quotas unused (Open quotas+ no shows)]]/Table311[[#This Row],[Quota per Offering]],0)</f>
        <v>0</v>
      </c>
      <c r="R12" s="39">
        <f t="shared" si="2"/>
        <v>495</v>
      </c>
      <c r="S12" s="41">
        <f ca="1">COUNTIFS(Table2[Course Title],Table311[[#This Row],[Courses - Planned vs Need (Active Courses)]],Table2[Roster Status],"1",Table2[Remaining Courses],"0")</f>
        <v>0</v>
      </c>
      <c r="T12" s="41">
        <f ca="1">COUNTIFS(Table2[Course Title],Table311[[#This Row],[Courses - Planned vs Need (Active Courses)]],Table2[Remaining Courses],"1")</f>
        <v>11</v>
      </c>
      <c r="U12" s="43">
        <f t="shared" si="3"/>
        <v>0</v>
      </c>
      <c r="V12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2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2" s="73">
        <v>75</v>
      </c>
      <c r="Y12" s="41">
        <f t="shared" ca="1" si="4"/>
        <v>495</v>
      </c>
      <c r="Z12" s="41">
        <f>Table311[[#This Row],[Fleet Quota Need]]-Table311[[#This Row],[Total Grads]]</f>
        <v>464</v>
      </c>
      <c r="AA12" s="26"/>
    </row>
    <row r="13" spans="2:27" ht="31.5" x14ac:dyDescent="0.25">
      <c r="B13" s="63" t="s">
        <v>55</v>
      </c>
      <c r="C13" s="37" t="s">
        <v>18</v>
      </c>
      <c r="D13" s="37" t="s">
        <v>347</v>
      </c>
      <c r="E13" s="37">
        <f>COUNTIF(Table2[Course Title],Table311[[#This Row],[Courses - Planned vs Need (Active Courses)]])</f>
        <v>50</v>
      </c>
      <c r="F13" s="37">
        <v>25</v>
      </c>
      <c r="G13" s="37">
        <f>Table311[[#This Row],[Course Offerings]]*Table311[[#This Row],[Quota per Offering]]</f>
        <v>1250</v>
      </c>
      <c r="H13" s="153">
        <v>2046</v>
      </c>
      <c r="I13" s="37">
        <f t="shared" si="0"/>
        <v>-796</v>
      </c>
      <c r="J13" s="40">
        <f t="shared" si="1"/>
        <v>0.6109481915933529</v>
      </c>
      <c r="K13" s="38">
        <f>SUMIF(Table2[Course Title],Table311[[#This Row],[Courses - Planned vs Need (Active Courses)]],Table2[Graduates])</f>
        <v>0</v>
      </c>
      <c r="L13" s="72">
        <f>SUMIF(Table2[Course Title],Table311[[#This Row],[Courses - Planned vs Need (Active Courses)]],Table2[Registered])</f>
        <v>0</v>
      </c>
      <c r="M13" s="72">
        <f>SUMIF(Table2[Course Title],Table311[[#This Row],[Courses - Planned vs Need (Active Courses)]],Table2[Waitlisted])</f>
        <v>0</v>
      </c>
      <c r="N13" s="72">
        <f>SUMIF(Table2[Course Title],Table311[[#This Row],[Courses - Planned vs Need (Active Courses)]],Table2[Walk-ins])</f>
        <v>0</v>
      </c>
      <c r="O13" s="39">
        <f>SUMIF(Table2[Course Title],Table311[[#This Row],[Courses - Planned vs Need (Active Courses)]],Table2[No Shows])</f>
        <v>0</v>
      </c>
      <c r="P1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3" s="41">
        <f>ROUNDDOWN(Table311[[#This Row],[To date quotas unused (Open quotas+ no shows)]]/Table311[[#This Row],[Quota per Offering]],0)</f>
        <v>0</v>
      </c>
      <c r="R13" s="39">
        <f t="shared" si="2"/>
        <v>1250</v>
      </c>
      <c r="S13" s="41">
        <f ca="1">COUNTIFS(Table2[Course Title],Table311[[#This Row],[Courses - Planned vs Need (Active Courses)]],Table2[Roster Status],"1",Table2[Remaining Courses],"0")</f>
        <v>0</v>
      </c>
      <c r="T13" s="41">
        <f ca="1">COUNTIFS(Table2[Course Title],Table311[[#This Row],[Courses - Planned vs Need (Active Courses)]],Table2[Remaining Courses],"1")</f>
        <v>50</v>
      </c>
      <c r="U13" s="43">
        <f t="shared" si="3"/>
        <v>0</v>
      </c>
      <c r="V13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3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3" s="73">
        <v>103</v>
      </c>
      <c r="Y13" s="41">
        <f t="shared" ca="1" si="4"/>
        <v>1250</v>
      </c>
      <c r="Z13" s="41">
        <f>Table311[[#This Row],[Fleet Quota Need]]-Table311[[#This Row],[Total Grads]]</f>
        <v>2046</v>
      </c>
      <c r="AA13" s="26"/>
    </row>
    <row r="14" spans="2:27" ht="15.75" x14ac:dyDescent="0.25">
      <c r="B14" s="63" t="s">
        <v>47</v>
      </c>
      <c r="C14" s="37" t="s">
        <v>18</v>
      </c>
      <c r="D14" s="37" t="s">
        <v>345</v>
      </c>
      <c r="E14" s="37">
        <f>COUNTIF(Table2[Course Title],Table311[[#This Row],[Courses - Planned vs Need (Active Courses)]])</f>
        <v>6</v>
      </c>
      <c r="F14" s="37">
        <v>25</v>
      </c>
      <c r="G14" s="37">
        <f>Table311[[#This Row],[Course Offerings]]*Table311[[#This Row],[Quota per Offering]]</f>
        <v>150</v>
      </c>
      <c r="H14" s="153">
        <v>707</v>
      </c>
      <c r="I14" s="37">
        <f t="shared" si="0"/>
        <v>-557</v>
      </c>
      <c r="J14" s="40">
        <f t="shared" si="1"/>
        <v>0.21216407355021216</v>
      </c>
      <c r="K14" s="38">
        <f>SUMIF(Table2[Course Title],Table311[[#This Row],[Courses - Planned vs Need (Active Courses)]],Table2[Graduates])</f>
        <v>0</v>
      </c>
      <c r="L14" s="72">
        <f>SUMIF(Table2[Course Title],Table311[[#This Row],[Courses - Planned vs Need (Active Courses)]],Table2[Registered])</f>
        <v>0</v>
      </c>
      <c r="M14" s="72">
        <f>SUMIF(Table2[Course Title],Table311[[#This Row],[Courses - Planned vs Need (Active Courses)]],Table2[Waitlisted])</f>
        <v>0</v>
      </c>
      <c r="N14" s="72">
        <f>SUMIF(Table2[Course Title],Table311[[#This Row],[Courses - Planned vs Need (Active Courses)]],Table2[Walk-ins])</f>
        <v>0</v>
      </c>
      <c r="O14" s="39">
        <f>SUMIF(Table2[Course Title],Table311[[#This Row],[Courses - Planned vs Need (Active Courses)]],Table2[No Shows])</f>
        <v>0</v>
      </c>
      <c r="P1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4" s="41">
        <f>ROUNDDOWN(Table311[[#This Row],[To date quotas unused (Open quotas+ no shows)]]/Table311[[#This Row],[Quota per Offering]],0)</f>
        <v>0</v>
      </c>
      <c r="R14" s="39">
        <f t="shared" si="2"/>
        <v>150</v>
      </c>
      <c r="S14" s="41">
        <f ca="1">COUNTIFS(Table2[Course Title],Table311[[#This Row],[Courses - Planned vs Need (Active Courses)]],Table2[Roster Status],"1",Table2[Remaining Courses],"0")</f>
        <v>0</v>
      </c>
      <c r="T14" s="41">
        <f ca="1">COUNTIFS(Table2[Course Title],Table311[[#This Row],[Courses - Planned vs Need (Active Courses)]],Table2[Remaining Courses],"1")</f>
        <v>6</v>
      </c>
      <c r="U14" s="43">
        <f t="shared" si="3"/>
        <v>0</v>
      </c>
      <c r="V14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4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4" s="72">
        <v>3</v>
      </c>
      <c r="Y14" s="41">
        <f t="shared" ca="1" si="4"/>
        <v>150</v>
      </c>
      <c r="Z14" s="41">
        <f>Table311[[#This Row],[Fleet Quota Need]]-Table311[[#This Row],[Total Grads]]</f>
        <v>707</v>
      </c>
      <c r="AA14" s="26"/>
    </row>
    <row r="15" spans="2:27" ht="15.75" x14ac:dyDescent="0.25">
      <c r="B15" s="63" t="s">
        <v>56</v>
      </c>
      <c r="C15" s="37" t="s">
        <v>18</v>
      </c>
      <c r="D15" s="37" t="s">
        <v>347</v>
      </c>
      <c r="E15" s="37">
        <f>COUNTIF(Table2[Course Title],Table311[[#This Row],[Courses - Planned vs Need (Active Courses)]])</f>
        <v>5</v>
      </c>
      <c r="F15" s="37">
        <v>35</v>
      </c>
      <c r="G15" s="37">
        <f>Table311[[#This Row],[Course Offerings]]*Table311[[#This Row],[Quota per Offering]]</f>
        <v>175</v>
      </c>
      <c r="H15" s="153">
        <v>620</v>
      </c>
      <c r="I15" s="37">
        <f t="shared" si="0"/>
        <v>-445</v>
      </c>
      <c r="J15" s="40">
        <f t="shared" si="1"/>
        <v>0.28225806451612906</v>
      </c>
      <c r="K15" s="38">
        <f>SUMIF(Table2[Course Title],Table311[[#This Row],[Courses - Planned vs Need (Active Courses)]],Table2[Graduates])</f>
        <v>0</v>
      </c>
      <c r="L15" s="72">
        <f>SUMIF(Table2[Course Title],Table311[[#This Row],[Courses - Planned vs Need (Active Courses)]],Table2[Registered])</f>
        <v>0</v>
      </c>
      <c r="M15" s="72">
        <f>SUMIF(Table2[Course Title],Table311[[#This Row],[Courses - Planned vs Need (Active Courses)]],Table2[Waitlisted])</f>
        <v>0</v>
      </c>
      <c r="N15" s="72">
        <f>SUMIF(Table2[Course Title],Table311[[#This Row],[Courses - Planned vs Need (Active Courses)]],Table2[Walk-ins])</f>
        <v>0</v>
      </c>
      <c r="O15" s="39">
        <f>SUMIF(Table2[Course Title],Table311[[#This Row],[Courses - Planned vs Need (Active Courses)]],Table2[No Shows])</f>
        <v>0</v>
      </c>
      <c r="P1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5" s="41">
        <f>ROUNDDOWN(Table311[[#This Row],[To date quotas unused (Open quotas+ no shows)]]/Table311[[#This Row],[Quota per Offering]],0)</f>
        <v>0</v>
      </c>
      <c r="R15" s="39">
        <f t="shared" si="2"/>
        <v>175</v>
      </c>
      <c r="S15" s="41">
        <f ca="1">COUNTIFS(Table2[Course Title],Table311[[#This Row],[Courses - Planned vs Need (Active Courses)]],Table2[Roster Status],"1",Table2[Remaining Courses],"0")</f>
        <v>0</v>
      </c>
      <c r="T15" s="41">
        <f ca="1">COUNTIFS(Table2[Course Title],Table311[[#This Row],[Courses - Planned vs Need (Active Courses)]],Table2[Remaining Courses],"1")</f>
        <v>5</v>
      </c>
      <c r="U15" s="43">
        <f t="shared" si="3"/>
        <v>0</v>
      </c>
      <c r="V15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5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5" s="72">
        <v>0</v>
      </c>
      <c r="Y15" s="41">
        <f t="shared" ca="1" si="4"/>
        <v>175</v>
      </c>
      <c r="Z15" s="41">
        <f>Table311[[#This Row],[Fleet Quota Need]]-Table311[[#This Row],[Total Grads]]</f>
        <v>620</v>
      </c>
      <c r="AA15" s="26"/>
    </row>
    <row r="16" spans="2:27" ht="15.75" x14ac:dyDescent="0.25">
      <c r="B16" s="52" t="s">
        <v>48</v>
      </c>
      <c r="C16" s="37"/>
      <c r="D16" s="37" t="s">
        <v>345</v>
      </c>
      <c r="E16" s="37">
        <f>COUNTIF(Table2[Course Title],Table311[[#This Row],[Courses - Planned vs Need (Active Courses)]])</f>
        <v>3</v>
      </c>
      <c r="F16" s="37">
        <v>25</v>
      </c>
      <c r="G16" s="37">
        <f>Table311[[#This Row],[Course Offerings]]*Table311[[#This Row],[Quota per Offering]]</f>
        <v>75</v>
      </c>
      <c r="H16" s="153">
        <v>61</v>
      </c>
      <c r="I16" s="37">
        <f t="shared" si="0"/>
        <v>14</v>
      </c>
      <c r="J16" s="40">
        <f t="shared" si="1"/>
        <v>1.2295081967213115</v>
      </c>
      <c r="K16" s="38">
        <f>SUMIF(Table2[Course Title],Table311[[#This Row],[Courses - Planned vs Need (Active Courses)]],Table2[Graduates])</f>
        <v>0</v>
      </c>
      <c r="L16" s="72">
        <f>SUMIF(Table2[Course Title],Table311[[#This Row],[Courses - Planned vs Need (Active Courses)]],Table2[Registered])</f>
        <v>0</v>
      </c>
      <c r="M16" s="72">
        <f>SUMIF(Table2[Course Title],Table311[[#This Row],[Courses - Planned vs Need (Active Courses)]],Table2[Waitlisted])</f>
        <v>0</v>
      </c>
      <c r="N16" s="72">
        <f>SUMIF(Table2[Course Title],Table311[[#This Row],[Courses - Planned vs Need (Active Courses)]],Table2[Walk-ins])</f>
        <v>0</v>
      </c>
      <c r="O16" s="39">
        <f>SUMIF(Table2[Course Title],Table311[[#This Row],[Courses - Planned vs Need (Active Courses)]],Table2[No Shows])</f>
        <v>0</v>
      </c>
      <c r="P1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6" s="41">
        <f>ROUNDDOWN(Table311[[#This Row],[To date quotas unused (Open quotas+ no shows)]]/Table311[[#This Row],[Quota per Offering]],0)</f>
        <v>0</v>
      </c>
      <c r="R16" s="39">
        <f t="shared" si="2"/>
        <v>75</v>
      </c>
      <c r="S16" s="41">
        <f ca="1">COUNTIFS(Table2[Course Title],Table311[[#This Row],[Courses - Planned vs Need (Active Courses)]],Table2[Roster Status],"1",Table2[Remaining Courses],"0")</f>
        <v>0</v>
      </c>
      <c r="T16" s="41">
        <f ca="1">COUNTIFS(Table2[Course Title],Table311[[#This Row],[Courses - Planned vs Need (Active Courses)]],Table2[Remaining Courses],"1")</f>
        <v>3</v>
      </c>
      <c r="U16" s="43">
        <f t="shared" si="3"/>
        <v>0</v>
      </c>
      <c r="V16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6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6" s="72">
        <v>22</v>
      </c>
      <c r="Y16" s="41">
        <f t="shared" ca="1" si="4"/>
        <v>75</v>
      </c>
      <c r="Z16" s="41">
        <f>Table311[[#This Row],[Fleet Quota Need]]-Table311[[#This Row],[Total Grads]]</f>
        <v>61</v>
      </c>
      <c r="AA16" s="26"/>
    </row>
    <row r="17" spans="1:27" ht="15.75" x14ac:dyDescent="0.25">
      <c r="B17" s="63" t="s">
        <v>17</v>
      </c>
      <c r="C17" s="37" t="s">
        <v>18</v>
      </c>
      <c r="D17" s="37" t="s">
        <v>344</v>
      </c>
      <c r="E17" s="37">
        <f>COUNTIF(Table2[Course Title],Table311[[#This Row],[Courses - Planned vs Need (Active Courses)]])</f>
        <v>29</v>
      </c>
      <c r="F17" s="37">
        <v>40</v>
      </c>
      <c r="G17" s="37">
        <f>Table311[[#This Row],[Course Offerings]]*Table311[[#This Row],[Quota per Offering]]</f>
        <v>1160</v>
      </c>
      <c r="H17" s="153">
        <v>661</v>
      </c>
      <c r="I17" s="37">
        <f t="shared" si="0"/>
        <v>499</v>
      </c>
      <c r="J17" s="40">
        <f t="shared" si="1"/>
        <v>1.7549167927382754</v>
      </c>
      <c r="K17" s="38">
        <f>SUMIF(Table2[Course Title],Table311[[#This Row],[Courses - Planned vs Need (Active Courses)]],Table2[Graduates])</f>
        <v>0</v>
      </c>
      <c r="L17" s="72">
        <f>SUMIF(Table2[Course Title],Table311[[#This Row],[Courses - Planned vs Need (Active Courses)]],Table2[Registered])</f>
        <v>0</v>
      </c>
      <c r="M17" s="72">
        <f>SUMIF(Table2[Course Title],Table311[[#This Row],[Courses - Planned vs Need (Active Courses)]],Table2[Waitlisted])</f>
        <v>0</v>
      </c>
      <c r="N17" s="72">
        <f>SUMIF(Table2[Course Title],Table311[[#This Row],[Courses - Planned vs Need (Active Courses)]],Table2[Walk-ins])</f>
        <v>0</v>
      </c>
      <c r="O17" s="39">
        <f>SUMIF(Table2[Course Title],Table311[[#This Row],[Courses - Planned vs Need (Active Courses)]],Table2[No Shows])</f>
        <v>0</v>
      </c>
      <c r="P1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7" s="41">
        <f>ROUNDDOWN(Table311[[#This Row],[To date quotas unused (Open quotas+ no shows)]]/Table311[[#This Row],[Quota per Offering]],0)</f>
        <v>0</v>
      </c>
      <c r="R17" s="39">
        <f t="shared" si="2"/>
        <v>1160</v>
      </c>
      <c r="S17" s="41">
        <f ca="1">COUNTIFS(Table2[Course Title],Table311[[#This Row],[Courses - Planned vs Need (Active Courses)]],Table2[Roster Status],"1",Table2[Remaining Courses],"0")</f>
        <v>0</v>
      </c>
      <c r="T17" s="41">
        <f ca="1">COUNTIFS(Table2[Course Title],Table311[[#This Row],[Courses - Planned vs Need (Active Courses)]],Table2[Remaining Courses],"1")</f>
        <v>29</v>
      </c>
      <c r="U17" s="43">
        <f t="shared" si="3"/>
        <v>0</v>
      </c>
      <c r="V17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7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7" s="73">
        <v>80</v>
      </c>
      <c r="Y17" s="41">
        <f t="shared" ca="1" si="4"/>
        <v>1160</v>
      </c>
      <c r="Z17" s="41">
        <f>Table311[[#This Row],[Fleet Quota Need]]-Table311[[#This Row],[Total Grads]]</f>
        <v>661</v>
      </c>
      <c r="AA17" s="26"/>
    </row>
    <row r="18" spans="1:27" ht="31.5" x14ac:dyDescent="0.25">
      <c r="B18" s="63" t="s">
        <v>28</v>
      </c>
      <c r="C18" s="37" t="s">
        <v>18</v>
      </c>
      <c r="D18" s="37" t="s">
        <v>344</v>
      </c>
      <c r="E18" s="37">
        <f>COUNTIF(Table2[Course Title],Table311[[#This Row],[Courses - Planned vs Need (Active Courses)]])</f>
        <v>20</v>
      </c>
      <c r="F18" s="37">
        <v>40</v>
      </c>
      <c r="G18" s="37">
        <f>Table311[[#This Row],[Course Offerings]]*Table311[[#This Row],[Quota per Offering]]</f>
        <v>800</v>
      </c>
      <c r="H18" s="153">
        <v>787</v>
      </c>
      <c r="I18" s="37">
        <f t="shared" si="0"/>
        <v>13</v>
      </c>
      <c r="J18" s="40">
        <f t="shared" si="1"/>
        <v>1.0165184243964422</v>
      </c>
      <c r="K18" s="38">
        <f>SUMIF(Table2[Course Title],Table311[[#This Row],[Courses - Planned vs Need (Active Courses)]],Table2[Graduates])</f>
        <v>0</v>
      </c>
      <c r="L18" s="72">
        <f>SUMIF(Table2[Course Title],Table311[[#This Row],[Courses - Planned vs Need (Active Courses)]],Table2[Registered])</f>
        <v>0</v>
      </c>
      <c r="M18" s="72">
        <f>SUMIF(Table2[Course Title],Table311[[#This Row],[Courses - Planned vs Need (Active Courses)]],Table2[Waitlisted])</f>
        <v>0</v>
      </c>
      <c r="N18" s="72">
        <f>SUMIF(Table2[Course Title],Table311[[#This Row],[Courses - Planned vs Need (Active Courses)]],Table2[Walk-ins])</f>
        <v>0</v>
      </c>
      <c r="O18" s="39">
        <f>SUMIF(Table2[Course Title],Table311[[#This Row],[Courses - Planned vs Need (Active Courses)]],Table2[No Shows])</f>
        <v>0</v>
      </c>
      <c r="P1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8" s="41">
        <f>ROUNDDOWN(Table311[[#This Row],[To date quotas unused (Open quotas+ no shows)]]/Table311[[#This Row],[Quota per Offering]],0)</f>
        <v>0</v>
      </c>
      <c r="R18" s="39">
        <f t="shared" si="2"/>
        <v>800</v>
      </c>
      <c r="S18" s="41">
        <f ca="1">COUNTIFS(Table2[Course Title],Table311[[#This Row],[Courses - Planned vs Need (Active Courses)]],Table2[Roster Status],"1",Table2[Remaining Courses],"0")</f>
        <v>0</v>
      </c>
      <c r="T18" s="41">
        <f ca="1">COUNTIFS(Table2[Course Title],Table311[[#This Row],[Courses - Planned vs Need (Active Courses)]],Table2[Remaining Courses],"1")</f>
        <v>20</v>
      </c>
      <c r="U18" s="43">
        <f t="shared" si="3"/>
        <v>0</v>
      </c>
      <c r="V18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8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8" s="73">
        <v>20</v>
      </c>
      <c r="Y18" s="41">
        <f t="shared" ca="1" si="4"/>
        <v>800</v>
      </c>
      <c r="Z18" s="41">
        <f>Table311[[#This Row],[Fleet Quota Need]]-Table311[[#This Row],[Total Grads]]</f>
        <v>787</v>
      </c>
      <c r="AA18" s="26"/>
    </row>
    <row r="19" spans="1:27" ht="31.5" x14ac:dyDescent="0.25">
      <c r="B19" s="52" t="s">
        <v>57</v>
      </c>
      <c r="C19" s="37"/>
      <c r="D19" s="37" t="s">
        <v>347</v>
      </c>
      <c r="E19" s="37">
        <f>COUNTIF(Table2[Course Title],Table311[[#This Row],[Courses - Planned vs Need (Active Courses)]])</f>
        <v>21</v>
      </c>
      <c r="F19" s="37">
        <v>45</v>
      </c>
      <c r="G19" s="37">
        <f>Table311[[#This Row],[Course Offerings]]*Table311[[#This Row],[Quota per Offering]]</f>
        <v>945</v>
      </c>
      <c r="H19" s="153">
        <v>915</v>
      </c>
      <c r="I19" s="37">
        <f t="shared" si="0"/>
        <v>30</v>
      </c>
      <c r="J19" s="40">
        <f t="shared" si="1"/>
        <v>1.0327868852459017</v>
      </c>
      <c r="K19" s="38">
        <f>SUMIF(Table2[Course Title],Table311[[#This Row],[Courses - Planned vs Need (Active Courses)]],Table2[Graduates])</f>
        <v>0</v>
      </c>
      <c r="L19" s="72">
        <f>SUMIF(Table2[Course Title],Table311[[#This Row],[Courses - Planned vs Need (Active Courses)]],Table2[Registered])</f>
        <v>0</v>
      </c>
      <c r="M19" s="72">
        <f>SUMIF(Table2[Course Title],Table311[[#This Row],[Courses - Planned vs Need (Active Courses)]],Table2[Waitlisted])</f>
        <v>0</v>
      </c>
      <c r="N19" s="72">
        <f>SUMIF(Table2[Course Title],Table311[[#This Row],[Courses - Planned vs Need (Active Courses)]],Table2[Walk-ins])</f>
        <v>0</v>
      </c>
      <c r="O19" s="39">
        <f>SUMIF(Table2[Course Title],Table311[[#This Row],[Courses - Planned vs Need (Active Courses)]],Table2[No Shows])</f>
        <v>0</v>
      </c>
      <c r="P1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9" s="41">
        <f>ROUNDDOWN(Table311[[#This Row],[To date quotas unused (Open quotas+ no shows)]]/Table311[[#This Row],[Quota per Offering]],0)</f>
        <v>0</v>
      </c>
      <c r="R19" s="39">
        <f t="shared" si="2"/>
        <v>945</v>
      </c>
      <c r="S19" s="41">
        <f ca="1">COUNTIFS(Table2[Course Title],Table311[[#This Row],[Courses - Planned vs Need (Active Courses)]],Table2[Roster Status],"1",Table2[Remaining Courses],"0")</f>
        <v>0</v>
      </c>
      <c r="T19" s="41">
        <f ca="1">COUNTIFS(Table2[Course Title],Table311[[#This Row],[Courses - Planned vs Need (Active Courses)]],Table2[Remaining Courses],"1")</f>
        <v>21</v>
      </c>
      <c r="U19" s="43">
        <f t="shared" si="3"/>
        <v>0</v>
      </c>
      <c r="V19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9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9" s="73">
        <v>16</v>
      </c>
      <c r="Y19" s="41">
        <f t="shared" ca="1" si="4"/>
        <v>945</v>
      </c>
      <c r="Z19" s="41">
        <f>Table311[[#This Row],[Fleet Quota Need]]-Table311[[#This Row],[Total Grads]]</f>
        <v>915</v>
      </c>
      <c r="AA19" s="26"/>
    </row>
    <row r="20" spans="1:27" ht="15.75" x14ac:dyDescent="0.25">
      <c r="B20" s="63" t="s">
        <v>58</v>
      </c>
      <c r="C20" s="37" t="s">
        <v>18</v>
      </c>
      <c r="D20" s="37" t="s">
        <v>347</v>
      </c>
      <c r="E20" s="37">
        <f>COUNTIF(Table2[Course Title],Table311[[#This Row],[Courses - Planned vs Need (Active Courses)]])</f>
        <v>14</v>
      </c>
      <c r="F20" s="37">
        <v>30</v>
      </c>
      <c r="G20" s="37">
        <f>Table311[[#This Row],[Course Offerings]]*Table311[[#This Row],[Quota per Offering]]</f>
        <v>420</v>
      </c>
      <c r="H20" s="153">
        <v>883</v>
      </c>
      <c r="I20" s="37">
        <f t="shared" si="0"/>
        <v>-463</v>
      </c>
      <c r="J20" s="40">
        <f t="shared" si="1"/>
        <v>0.47565118912797283</v>
      </c>
      <c r="K20" s="38">
        <f>SUMIF(Table2[Course Title],Table311[[#This Row],[Courses - Planned vs Need (Active Courses)]],Table2[Graduates])</f>
        <v>0</v>
      </c>
      <c r="L20" s="72">
        <f>SUMIF(Table2[Course Title],Table311[[#This Row],[Courses - Planned vs Need (Active Courses)]],Table2[Registered])</f>
        <v>0</v>
      </c>
      <c r="M20" s="72">
        <f>SUMIF(Table2[Course Title],Table311[[#This Row],[Courses - Planned vs Need (Active Courses)]],Table2[Waitlisted])</f>
        <v>0</v>
      </c>
      <c r="N20" s="72">
        <f>SUMIF(Table2[Course Title],Table311[[#This Row],[Courses - Planned vs Need (Active Courses)]],Table2[Walk-ins])</f>
        <v>0</v>
      </c>
      <c r="O20" s="39">
        <f>SUMIF(Table2[Course Title],Table311[[#This Row],[Courses - Planned vs Need (Active Courses)]],Table2[No Shows])</f>
        <v>0</v>
      </c>
      <c r="P2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0" s="41">
        <f>ROUNDDOWN(Table311[[#This Row],[To date quotas unused (Open quotas+ no shows)]]/Table311[[#This Row],[Quota per Offering]],0)</f>
        <v>0</v>
      </c>
      <c r="R20" s="39">
        <f t="shared" si="2"/>
        <v>420</v>
      </c>
      <c r="S20" s="41">
        <f ca="1">COUNTIFS(Table2[Course Title],Table311[[#This Row],[Courses - Planned vs Need (Active Courses)]],Table2[Roster Status],"1",Table2[Remaining Courses],"0")</f>
        <v>0</v>
      </c>
      <c r="T20" s="41">
        <f ca="1">COUNTIFS(Table2[Course Title],Table311[[#This Row],[Courses - Planned vs Need (Active Courses)]],Table2[Remaining Courses],"1")</f>
        <v>14</v>
      </c>
      <c r="U20" s="43">
        <f t="shared" si="3"/>
        <v>0</v>
      </c>
      <c r="V20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0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0" s="72">
        <v>54</v>
      </c>
      <c r="Y20" s="41">
        <f t="shared" ca="1" si="4"/>
        <v>420</v>
      </c>
      <c r="Z20" s="41">
        <f>Table311[[#This Row],[Fleet Quota Need]]-Table311[[#This Row],[Total Grads]]</f>
        <v>883</v>
      </c>
      <c r="AA20" s="26"/>
    </row>
    <row r="21" spans="1:27" ht="31.5" x14ac:dyDescent="0.25">
      <c r="B21" s="52" t="s">
        <v>38</v>
      </c>
      <c r="C21" s="37"/>
      <c r="D21" s="37" t="s">
        <v>347</v>
      </c>
      <c r="E21" s="37">
        <f>COUNTIF(Table2[Course Title],Table311[[#This Row],[Courses - Planned vs Need (Active Courses)]])</f>
        <v>17</v>
      </c>
      <c r="F21" s="37">
        <v>45</v>
      </c>
      <c r="G21" s="37">
        <f>Table311[[#This Row],[Course Offerings]]*Table311[[#This Row],[Quota per Offering]]</f>
        <v>765</v>
      </c>
      <c r="H21" s="153">
        <v>721</v>
      </c>
      <c r="I21" s="37">
        <f t="shared" si="0"/>
        <v>44</v>
      </c>
      <c r="J21" s="40">
        <f t="shared" si="1"/>
        <v>1.0610263522884882</v>
      </c>
      <c r="K21" s="38">
        <f>SUMIF(Table2[Course Title],Table311[[#This Row],[Courses - Planned vs Need (Active Courses)]],Table2[Graduates])</f>
        <v>0</v>
      </c>
      <c r="L21" s="72">
        <f>SUMIF(Table2[Course Title],Table311[[#This Row],[Courses - Planned vs Need (Active Courses)]],Table2[Registered])</f>
        <v>0</v>
      </c>
      <c r="M21" s="72">
        <f>SUMIF(Table2[Course Title],Table311[[#This Row],[Courses - Planned vs Need (Active Courses)]],Table2[Waitlisted])</f>
        <v>0</v>
      </c>
      <c r="N21" s="72">
        <f>SUMIF(Table2[Course Title],Table311[[#This Row],[Courses - Planned vs Need (Active Courses)]],Table2[Walk-ins])</f>
        <v>0</v>
      </c>
      <c r="O21" s="39">
        <f>SUMIF(Table2[Course Title],Table311[[#This Row],[Courses - Planned vs Need (Active Courses)]],Table2[No Shows])</f>
        <v>0</v>
      </c>
      <c r="P2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1" s="41">
        <f>ROUNDDOWN(Table311[[#This Row],[To date quotas unused (Open quotas+ no shows)]]/Table311[[#This Row],[Quota per Offering]],0)</f>
        <v>0</v>
      </c>
      <c r="R21" s="39">
        <f t="shared" si="2"/>
        <v>765</v>
      </c>
      <c r="S21" s="41">
        <f ca="1">COUNTIFS(Table2[Course Title],Table311[[#This Row],[Courses - Planned vs Need (Active Courses)]],Table2[Roster Status],"1",Table2[Remaining Courses],"0")</f>
        <v>0</v>
      </c>
      <c r="T21" s="41">
        <f ca="1">COUNTIFS(Table2[Course Title],Table311[[#This Row],[Courses - Planned vs Need (Active Courses)]],Table2[Remaining Courses],"1")</f>
        <v>17</v>
      </c>
      <c r="U21" s="43">
        <f t="shared" si="3"/>
        <v>0</v>
      </c>
      <c r="V21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1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1" s="72">
        <v>117</v>
      </c>
      <c r="Y21" s="41">
        <f t="shared" ca="1" si="4"/>
        <v>765</v>
      </c>
      <c r="Z21" s="41">
        <f>Table311[[#This Row],[Fleet Quota Need]]-Table311[[#This Row],[Total Grads]]</f>
        <v>721</v>
      </c>
      <c r="AA21" s="26"/>
    </row>
    <row r="22" spans="1:27" ht="47.25" x14ac:dyDescent="0.25">
      <c r="B22" s="52" t="s">
        <v>165</v>
      </c>
      <c r="C22" s="37"/>
      <c r="D22" s="37" t="s">
        <v>346</v>
      </c>
      <c r="E22" s="37">
        <f>COUNTIF(Table2[Course Title],Table311[[#This Row],[Courses - Planned vs Need (Active Courses)]])</f>
        <v>18</v>
      </c>
      <c r="F22" s="37">
        <v>45</v>
      </c>
      <c r="G22" s="37">
        <f>Table311[[#This Row],[Course Offerings]]*Table311[[#This Row],[Quota per Offering]]</f>
        <v>810</v>
      </c>
      <c r="H22" s="153">
        <v>791</v>
      </c>
      <c r="I22" s="37">
        <f t="shared" si="0"/>
        <v>19</v>
      </c>
      <c r="J22" s="40">
        <f t="shared" si="1"/>
        <v>1.0240202275600505</v>
      </c>
      <c r="K22" s="38">
        <f>SUMIF(Table2[Course Title],Table311[[#This Row],[Courses - Planned vs Need (Active Courses)]],Table2[Graduates])</f>
        <v>0</v>
      </c>
      <c r="L22" s="72">
        <f>SUMIF(Table2[Course Title],Table311[[#This Row],[Courses - Planned vs Need (Active Courses)]],Table2[Registered])</f>
        <v>0</v>
      </c>
      <c r="M22" s="72">
        <f>SUMIF(Table2[Course Title],Table311[[#This Row],[Courses - Planned vs Need (Active Courses)]],Table2[Waitlisted])</f>
        <v>0</v>
      </c>
      <c r="N22" s="72">
        <f>SUMIF(Table2[Course Title],Table311[[#This Row],[Courses - Planned vs Need (Active Courses)]],Table2[Walk-ins])</f>
        <v>0</v>
      </c>
      <c r="O22" s="39">
        <f>SUMIF(Table2[Course Title],Table311[[#This Row],[Courses - Planned vs Need (Active Courses)]],Table2[No Shows])</f>
        <v>0</v>
      </c>
      <c r="P2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2" s="41">
        <f>ROUNDDOWN(Table311[[#This Row],[To date quotas unused (Open quotas+ no shows)]]/Table311[[#This Row],[Quota per Offering]],0)</f>
        <v>0</v>
      </c>
      <c r="R22" s="39">
        <f t="shared" si="2"/>
        <v>810</v>
      </c>
      <c r="S22" s="41">
        <f ca="1">COUNTIFS(Table2[Course Title],Table311[[#This Row],[Courses - Planned vs Need (Active Courses)]],Table2[Roster Status],"1",Table2[Remaining Courses],"0")</f>
        <v>0</v>
      </c>
      <c r="T22" s="41">
        <f ca="1">COUNTIFS(Table2[Course Title],Table311[[#This Row],[Courses - Planned vs Need (Active Courses)]],Table2[Remaining Courses],"1")</f>
        <v>18</v>
      </c>
      <c r="U22" s="43">
        <f t="shared" si="3"/>
        <v>0</v>
      </c>
      <c r="V22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2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2" s="73">
        <v>110</v>
      </c>
      <c r="Y22" s="41">
        <f t="shared" ca="1" si="4"/>
        <v>810</v>
      </c>
      <c r="Z22" s="41">
        <f>Table311[[#This Row],[Fleet Quota Need]]-Table311[[#This Row],[Total Grads]]</f>
        <v>791</v>
      </c>
      <c r="AA22" s="26"/>
    </row>
    <row r="23" spans="1:27" ht="31.5" x14ac:dyDescent="0.25">
      <c r="B23" s="63" t="s">
        <v>29</v>
      </c>
      <c r="C23" s="37" t="s">
        <v>18</v>
      </c>
      <c r="D23" s="37" t="s">
        <v>344</v>
      </c>
      <c r="E23" s="37">
        <f>COUNTIF(Table2[Course Title],Table311[[#This Row],[Courses - Planned vs Need (Active Courses)]])</f>
        <v>18</v>
      </c>
      <c r="F23" s="37">
        <v>25</v>
      </c>
      <c r="G23" s="37">
        <f>Table311[[#This Row],[Course Offerings]]*Table311[[#This Row],[Quota per Offering]]</f>
        <v>450</v>
      </c>
      <c r="H23" s="153">
        <v>1042</v>
      </c>
      <c r="I23" s="37">
        <f t="shared" si="0"/>
        <v>-592</v>
      </c>
      <c r="J23" s="40">
        <f t="shared" si="1"/>
        <v>0.43186180422264875</v>
      </c>
      <c r="K23" s="38">
        <f>SUMIF(Table2[Course Title],Table311[[#This Row],[Courses - Planned vs Need (Active Courses)]],Table2[Graduates])</f>
        <v>0</v>
      </c>
      <c r="L23" s="72">
        <f>SUMIF(Table2[Course Title],Table311[[#This Row],[Courses - Planned vs Need (Active Courses)]],Table2[Registered])</f>
        <v>0</v>
      </c>
      <c r="M23" s="72">
        <f>SUMIF(Table2[Course Title],Table311[[#This Row],[Courses - Planned vs Need (Active Courses)]],Table2[Waitlisted])</f>
        <v>0</v>
      </c>
      <c r="N23" s="72">
        <f>SUMIF(Table2[Course Title],Table311[[#This Row],[Courses - Planned vs Need (Active Courses)]],Table2[Walk-ins])</f>
        <v>0</v>
      </c>
      <c r="O23" s="39">
        <f>SUMIF(Table2[Course Title],Table311[[#This Row],[Courses - Planned vs Need (Active Courses)]],Table2[No Shows])</f>
        <v>0</v>
      </c>
      <c r="P2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3" s="41">
        <f>ROUNDDOWN(Table311[[#This Row],[To date quotas unused (Open quotas+ no shows)]]/Table311[[#This Row],[Quota per Offering]],0)</f>
        <v>0</v>
      </c>
      <c r="R23" s="39">
        <f t="shared" si="2"/>
        <v>450</v>
      </c>
      <c r="S23" s="41">
        <f ca="1">COUNTIFS(Table2[Course Title],Table311[[#This Row],[Courses - Planned vs Need (Active Courses)]],Table2[Roster Status],"1",Table2[Remaining Courses],"0")</f>
        <v>0</v>
      </c>
      <c r="T23" s="41">
        <f ca="1">COUNTIFS(Table2[Course Title],Table311[[#This Row],[Courses - Planned vs Need (Active Courses)]],Table2[Remaining Courses],"1")</f>
        <v>18</v>
      </c>
      <c r="U23" s="43">
        <f t="shared" si="3"/>
        <v>0</v>
      </c>
      <c r="V23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3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3" s="72">
        <v>0</v>
      </c>
      <c r="Y23" s="41">
        <f t="shared" ca="1" si="4"/>
        <v>450</v>
      </c>
      <c r="Z23" s="41">
        <f>Table311[[#This Row],[Fleet Quota Need]]-Table311[[#This Row],[Total Grads]]</f>
        <v>1042</v>
      </c>
      <c r="AA23" s="26"/>
    </row>
    <row r="24" spans="1:27" ht="47.25" x14ac:dyDescent="0.25">
      <c r="B24" s="63" t="s">
        <v>31</v>
      </c>
      <c r="C24" s="37" t="s">
        <v>18</v>
      </c>
      <c r="D24" s="37" t="s">
        <v>344</v>
      </c>
      <c r="E24" s="37">
        <f>COUNTIF(Table2[Course Title],Table311[[#This Row],[Courses - Planned vs Need (Active Courses)]])</f>
        <v>27</v>
      </c>
      <c r="F24" s="37">
        <v>30</v>
      </c>
      <c r="G24" s="37">
        <f>Table311[[#This Row],[Course Offerings]]*Table311[[#This Row],[Quota per Offering]]</f>
        <v>810</v>
      </c>
      <c r="H24" s="153">
        <v>1705</v>
      </c>
      <c r="I24" s="37">
        <f t="shared" si="0"/>
        <v>-895</v>
      </c>
      <c r="J24" s="40">
        <f t="shared" si="1"/>
        <v>0.47507331378299122</v>
      </c>
      <c r="K24" s="38">
        <f>SUMIF(Table2[Course Title],Table311[[#This Row],[Courses - Planned vs Need (Active Courses)]],Table2[Graduates])</f>
        <v>0</v>
      </c>
      <c r="L24" s="72">
        <f>SUMIF(Table2[Course Title],Table311[[#This Row],[Courses - Planned vs Need (Active Courses)]],Table2[Registered])</f>
        <v>0</v>
      </c>
      <c r="M24" s="72">
        <f>SUMIF(Table2[Course Title],Table311[[#This Row],[Courses - Planned vs Need (Active Courses)]],Table2[Waitlisted])</f>
        <v>0</v>
      </c>
      <c r="N24" s="72">
        <f>SUMIF(Table2[Course Title],Table311[[#This Row],[Courses - Planned vs Need (Active Courses)]],Table2[Walk-ins])</f>
        <v>0</v>
      </c>
      <c r="O24" s="39">
        <f>SUMIF(Table2[Course Title],Table311[[#This Row],[Courses - Planned vs Need (Active Courses)]],Table2[No Shows])</f>
        <v>0</v>
      </c>
      <c r="P2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4" s="41">
        <f>ROUNDDOWN(Table311[[#This Row],[To date quotas unused (Open quotas+ no shows)]]/Table311[[#This Row],[Quota per Offering]],0)</f>
        <v>0</v>
      </c>
      <c r="R24" s="39">
        <f t="shared" si="2"/>
        <v>810</v>
      </c>
      <c r="S24" s="41">
        <f ca="1">COUNTIFS(Table2[Course Title],Table311[[#This Row],[Courses - Planned vs Need (Active Courses)]],Table2[Roster Status],"1",Table2[Remaining Courses],"0")</f>
        <v>0</v>
      </c>
      <c r="T24" s="41">
        <f ca="1">COUNTIFS(Table2[Course Title],Table311[[#This Row],[Courses - Planned vs Need (Active Courses)]],Table2[Remaining Courses],"1")</f>
        <v>27</v>
      </c>
      <c r="U24" s="43">
        <f t="shared" si="3"/>
        <v>0</v>
      </c>
      <c r="V24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4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4" s="73">
        <v>0</v>
      </c>
      <c r="Y24" s="41">
        <f t="shared" ca="1" si="4"/>
        <v>810</v>
      </c>
      <c r="Z24" s="41">
        <f>Table311[[#This Row],[Fleet Quota Need]]-Table311[[#This Row],[Total Grads]]</f>
        <v>1705</v>
      </c>
      <c r="AA24" s="26"/>
    </row>
    <row r="25" spans="1:27" ht="31.5" x14ac:dyDescent="0.25">
      <c r="B25" s="63" t="s">
        <v>32</v>
      </c>
      <c r="C25" s="37" t="s">
        <v>18</v>
      </c>
      <c r="D25" s="37" t="s">
        <v>344</v>
      </c>
      <c r="E25" s="37">
        <f>COUNTIF(Table2[Course Title],Table311[[#This Row],[Courses - Planned vs Need (Active Courses)]])</f>
        <v>12</v>
      </c>
      <c r="F25" s="37">
        <v>30</v>
      </c>
      <c r="G25" s="37">
        <f>Table311[[#This Row],[Course Offerings]]*Table311[[#This Row],[Quota per Offering]]</f>
        <v>360</v>
      </c>
      <c r="H25" s="153">
        <v>614</v>
      </c>
      <c r="I25" s="37">
        <f t="shared" si="0"/>
        <v>-254</v>
      </c>
      <c r="J25" s="40">
        <f t="shared" si="1"/>
        <v>0.58631921824104238</v>
      </c>
      <c r="K25" s="38">
        <f>SUMIF(Table2[Course Title],Table311[[#This Row],[Courses - Planned vs Need (Active Courses)]],Table2[Graduates])</f>
        <v>0</v>
      </c>
      <c r="L25" s="72">
        <f>SUMIF(Table2[Course Title],Table311[[#This Row],[Courses - Planned vs Need (Active Courses)]],Table2[Registered])</f>
        <v>0</v>
      </c>
      <c r="M25" s="72">
        <f>SUMIF(Table2[Course Title],Table311[[#This Row],[Courses - Planned vs Need (Active Courses)]],Table2[Waitlisted])</f>
        <v>0</v>
      </c>
      <c r="N25" s="72">
        <f>SUMIF(Table2[Course Title],Table311[[#This Row],[Courses - Planned vs Need (Active Courses)]],Table2[Walk-ins])</f>
        <v>0</v>
      </c>
      <c r="O25" s="39">
        <f>SUMIF(Table2[Course Title],Table311[[#This Row],[Courses - Planned vs Need (Active Courses)]],Table2[No Shows])</f>
        <v>0</v>
      </c>
      <c r="P2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5" s="41">
        <f>ROUNDDOWN(Table311[[#This Row],[To date quotas unused (Open quotas+ no shows)]]/Table311[[#This Row],[Quota per Offering]],0)</f>
        <v>0</v>
      </c>
      <c r="R25" s="39">
        <f t="shared" si="2"/>
        <v>360</v>
      </c>
      <c r="S25" s="41">
        <f ca="1">COUNTIFS(Table2[Course Title],Table311[[#This Row],[Courses - Planned vs Need (Active Courses)]],Table2[Roster Status],"1",Table2[Remaining Courses],"0")</f>
        <v>0</v>
      </c>
      <c r="T25" s="41">
        <f ca="1">COUNTIFS(Table2[Course Title],Table311[[#This Row],[Courses - Planned vs Need (Active Courses)]],Table2[Remaining Courses],"1")</f>
        <v>12</v>
      </c>
      <c r="U25" s="43">
        <f t="shared" si="3"/>
        <v>0</v>
      </c>
      <c r="V25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5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5" s="72">
        <v>79</v>
      </c>
      <c r="Y25" s="41">
        <f t="shared" ca="1" si="4"/>
        <v>360</v>
      </c>
      <c r="Z25" s="41">
        <f>Table311[[#This Row],[Fleet Quota Need]]-Table311[[#This Row],[Total Grads]]</f>
        <v>614</v>
      </c>
      <c r="AA25" s="26"/>
    </row>
    <row r="26" spans="1:27" ht="31.5" x14ac:dyDescent="0.25">
      <c r="B26" s="63" t="s">
        <v>33</v>
      </c>
      <c r="C26" s="37" t="s">
        <v>18</v>
      </c>
      <c r="D26" s="37" t="s">
        <v>344</v>
      </c>
      <c r="E26" s="37">
        <f>COUNTIF(Table2[Course Title],Table311[[#This Row],[Courses - Planned vs Need (Active Courses)]])</f>
        <v>15</v>
      </c>
      <c r="F26" s="37">
        <v>30</v>
      </c>
      <c r="G26" s="37">
        <f>Table311[[#This Row],[Course Offerings]]*Table311[[#This Row],[Quota per Offering]]</f>
        <v>450</v>
      </c>
      <c r="H26" s="153">
        <v>824</v>
      </c>
      <c r="I26" s="37">
        <f t="shared" si="0"/>
        <v>-374</v>
      </c>
      <c r="J26" s="40">
        <f t="shared" si="1"/>
        <v>0.54611650485436891</v>
      </c>
      <c r="K26" s="38">
        <f>SUMIF(Table2[Course Title],Table311[[#This Row],[Courses - Planned vs Need (Active Courses)]],Table2[Graduates])</f>
        <v>0</v>
      </c>
      <c r="L26" s="72">
        <f>SUMIF(Table2[Course Title],Table311[[#This Row],[Courses - Planned vs Need (Active Courses)]],Table2[Registered])</f>
        <v>0</v>
      </c>
      <c r="M26" s="72">
        <f>SUMIF(Table2[Course Title],Table311[[#This Row],[Courses - Planned vs Need (Active Courses)]],Table2[Waitlisted])</f>
        <v>0</v>
      </c>
      <c r="N26" s="72">
        <f>SUMIF(Table2[Course Title],Table311[[#This Row],[Courses - Planned vs Need (Active Courses)]],Table2[Walk-ins])</f>
        <v>0</v>
      </c>
      <c r="O26" s="39">
        <f>SUMIF(Table2[Course Title],Table311[[#This Row],[Courses - Planned vs Need (Active Courses)]],Table2[No Shows])</f>
        <v>0</v>
      </c>
      <c r="P2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6" s="41">
        <f>ROUNDDOWN(Table311[[#This Row],[To date quotas unused (Open quotas+ no shows)]]/Table311[[#This Row],[Quota per Offering]],0)</f>
        <v>0</v>
      </c>
      <c r="R26" s="39">
        <f t="shared" si="2"/>
        <v>450</v>
      </c>
      <c r="S26" s="41">
        <f ca="1">COUNTIFS(Table2[Course Title],Table311[[#This Row],[Courses - Planned vs Need (Active Courses)]],Table2[Roster Status],"1",Table2[Remaining Courses],"0")</f>
        <v>0</v>
      </c>
      <c r="T26" s="41">
        <f ca="1">COUNTIFS(Table2[Course Title],Table311[[#This Row],[Courses - Planned vs Need (Active Courses)]],Table2[Remaining Courses],"1")</f>
        <v>15</v>
      </c>
      <c r="U26" s="43">
        <f t="shared" si="3"/>
        <v>0</v>
      </c>
      <c r="V26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6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6" s="72">
        <v>0</v>
      </c>
      <c r="Y26" s="41">
        <f t="shared" ca="1" si="4"/>
        <v>450</v>
      </c>
      <c r="Z26" s="41">
        <f>Table311[[#This Row],[Fleet Quota Need]]-Table311[[#This Row],[Total Grads]]</f>
        <v>824</v>
      </c>
      <c r="AA26" s="26"/>
    </row>
    <row r="27" spans="1:27" ht="31.5" x14ac:dyDescent="0.25">
      <c r="B27" s="63" t="s">
        <v>34</v>
      </c>
      <c r="C27" s="37" t="s">
        <v>18</v>
      </c>
      <c r="D27" s="37" t="s">
        <v>344</v>
      </c>
      <c r="E27" s="37">
        <f>COUNTIF(Table2[Course Title],Table311[[#This Row],[Courses - Planned vs Need (Active Courses)]])</f>
        <v>11</v>
      </c>
      <c r="F27" s="37">
        <v>30</v>
      </c>
      <c r="G27" s="37">
        <f>Table311[[#This Row],[Course Offerings]]*Table311[[#This Row],[Quota per Offering]]</f>
        <v>330</v>
      </c>
      <c r="H27" s="153">
        <v>436</v>
      </c>
      <c r="I27" s="37">
        <f t="shared" si="0"/>
        <v>-106</v>
      </c>
      <c r="J27" s="40">
        <f t="shared" si="1"/>
        <v>0.75688073394495414</v>
      </c>
      <c r="K27" s="38">
        <f>SUMIF(Table2[Course Title],Table311[[#This Row],[Courses - Planned vs Need (Active Courses)]],Table2[Graduates])</f>
        <v>0</v>
      </c>
      <c r="L27" s="72">
        <f>SUMIF(Table2[Course Title],Table311[[#This Row],[Courses - Planned vs Need (Active Courses)]],Table2[Registered])</f>
        <v>0</v>
      </c>
      <c r="M27" s="72">
        <f>SUMIF(Table2[Course Title],Table311[[#This Row],[Courses - Planned vs Need (Active Courses)]],Table2[Waitlisted])</f>
        <v>0</v>
      </c>
      <c r="N27" s="72">
        <f>SUMIF(Table2[Course Title],Table311[[#This Row],[Courses - Planned vs Need (Active Courses)]],Table2[Walk-ins])</f>
        <v>0</v>
      </c>
      <c r="O27" s="39">
        <f>SUMIF(Table2[Course Title],Table311[[#This Row],[Courses - Planned vs Need (Active Courses)]],Table2[No Shows])</f>
        <v>0</v>
      </c>
      <c r="P2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7" s="41">
        <f>ROUNDDOWN(Table311[[#This Row],[To date quotas unused (Open quotas+ no shows)]]/Table311[[#This Row],[Quota per Offering]],0)</f>
        <v>0</v>
      </c>
      <c r="R27" s="39">
        <f t="shared" si="2"/>
        <v>330</v>
      </c>
      <c r="S27" s="41">
        <f ca="1">COUNTIFS(Table2[Course Title],Table311[[#This Row],[Courses - Planned vs Need (Active Courses)]],Table2[Roster Status],"1",Table2[Remaining Courses],"0")</f>
        <v>0</v>
      </c>
      <c r="T27" s="41">
        <f ca="1">COUNTIFS(Table2[Course Title],Table311[[#This Row],[Courses - Planned vs Need (Active Courses)]],Table2[Remaining Courses],"1")</f>
        <v>11</v>
      </c>
      <c r="U27" s="43">
        <f t="shared" si="3"/>
        <v>0</v>
      </c>
      <c r="V27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7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7" s="73">
        <v>79</v>
      </c>
      <c r="Y27" s="41">
        <f t="shared" ca="1" si="4"/>
        <v>330</v>
      </c>
      <c r="Z27" s="41">
        <f>Table311[[#This Row],[Fleet Quota Need]]-Table311[[#This Row],[Total Grads]]</f>
        <v>436</v>
      </c>
      <c r="AA27" s="26"/>
    </row>
    <row r="28" spans="1:27" ht="15.75" x14ac:dyDescent="0.25">
      <c r="A28">
        <v>23</v>
      </c>
      <c r="B28" s="52" t="s">
        <v>49</v>
      </c>
      <c r="C28" s="37"/>
      <c r="D28" s="37" t="s">
        <v>345</v>
      </c>
      <c r="E28" s="37">
        <f>COUNTIF(Table2[Course Title],Table311[[#This Row],[Courses - Planned vs Need (Active Courses)]])</f>
        <v>11</v>
      </c>
      <c r="F28" s="37">
        <v>25</v>
      </c>
      <c r="G28" s="37">
        <f>Table311[[#This Row],[Course Offerings]]*Table311[[#This Row],[Quota per Offering]]</f>
        <v>275</v>
      </c>
      <c r="H28" s="153">
        <v>813</v>
      </c>
      <c r="I28" s="37">
        <f t="shared" si="0"/>
        <v>-538</v>
      </c>
      <c r="J28" s="40">
        <f t="shared" si="1"/>
        <v>0.33825338253382536</v>
      </c>
      <c r="K28" s="38">
        <f>SUMIF(Table2[Course Title],Table311[[#This Row],[Courses - Planned vs Need (Active Courses)]],Table2[Graduates])</f>
        <v>0</v>
      </c>
      <c r="L28" s="72">
        <f>SUMIF(Table2[Course Title],Table311[[#This Row],[Courses - Planned vs Need (Active Courses)]],Table2[Registered])</f>
        <v>0</v>
      </c>
      <c r="M28" s="72">
        <f>SUMIF(Table2[Course Title],Table311[[#This Row],[Courses - Planned vs Need (Active Courses)]],Table2[Waitlisted])</f>
        <v>0</v>
      </c>
      <c r="N28" s="72">
        <f>SUMIF(Table2[Course Title],Table311[[#This Row],[Courses - Planned vs Need (Active Courses)]],Table2[Walk-ins])</f>
        <v>0</v>
      </c>
      <c r="O28" s="39">
        <f>SUMIF(Table2[Course Title],Table311[[#This Row],[Courses - Planned vs Need (Active Courses)]],Table2[No Shows])</f>
        <v>0</v>
      </c>
      <c r="P2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8" s="41">
        <f>ROUNDDOWN(Table311[[#This Row],[To date quotas unused (Open quotas+ no shows)]]/Table311[[#This Row],[Quota per Offering]],0)</f>
        <v>0</v>
      </c>
      <c r="R28" s="39">
        <f t="shared" si="2"/>
        <v>275</v>
      </c>
      <c r="S28" s="41">
        <f ca="1">COUNTIFS(Table2[Course Title],Table311[[#This Row],[Courses - Planned vs Need (Active Courses)]],Table2[Roster Status],"1",Table2[Remaining Courses],"0")</f>
        <v>0</v>
      </c>
      <c r="T28" s="41">
        <f ca="1">COUNTIFS(Table2[Course Title],Table311[[#This Row],[Courses - Planned vs Need (Active Courses)]],Table2[Remaining Courses],"1")</f>
        <v>11</v>
      </c>
      <c r="U28" s="43">
        <f t="shared" si="3"/>
        <v>0</v>
      </c>
      <c r="V28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8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8" s="72">
        <v>24</v>
      </c>
      <c r="Y28" s="41">
        <f t="shared" ca="1" si="4"/>
        <v>275</v>
      </c>
      <c r="Z28" s="41">
        <f>Table311[[#This Row],[Fleet Quota Need]]-Table311[[#This Row],[Total Grads]]</f>
        <v>813</v>
      </c>
      <c r="AA28" s="26"/>
    </row>
    <row r="29" spans="1:27" ht="31.5" x14ac:dyDescent="0.25">
      <c r="B29" s="52" t="s">
        <v>50</v>
      </c>
      <c r="C29" s="37"/>
      <c r="D29" s="37" t="s">
        <v>345</v>
      </c>
      <c r="E29" s="37">
        <f>COUNTIF(Table2[Course Title],Table311[[#This Row],[Courses - Planned vs Need (Active Courses)]])</f>
        <v>19</v>
      </c>
      <c r="F29" s="37">
        <v>45</v>
      </c>
      <c r="G29" s="37">
        <f>Table311[[#This Row],[Course Offerings]]*Table311[[#This Row],[Quota per Offering]]</f>
        <v>855</v>
      </c>
      <c r="H29" s="153">
        <v>1075</v>
      </c>
      <c r="I29" s="37">
        <f t="shared" si="0"/>
        <v>-220</v>
      </c>
      <c r="J29" s="40">
        <f t="shared" si="1"/>
        <v>0.79534883720930227</v>
      </c>
      <c r="K29" s="38">
        <f>SUMIF(Table2[Course Title],Table311[[#This Row],[Courses - Planned vs Need (Active Courses)]],Table2[Graduates])</f>
        <v>0</v>
      </c>
      <c r="L29" s="72">
        <f>SUMIF(Table2[Course Title],Table311[[#This Row],[Courses - Planned vs Need (Active Courses)]],Table2[Registered])</f>
        <v>0</v>
      </c>
      <c r="M29" s="72">
        <f>SUMIF(Table2[Course Title],Table311[[#This Row],[Courses - Planned vs Need (Active Courses)]],Table2[Waitlisted])</f>
        <v>0</v>
      </c>
      <c r="N29" s="72">
        <f>SUMIF(Table2[Course Title],Table311[[#This Row],[Courses - Planned vs Need (Active Courses)]],Table2[Walk-ins])</f>
        <v>0</v>
      </c>
      <c r="O29" s="39">
        <f>SUMIF(Table2[Course Title],Table311[[#This Row],[Courses - Planned vs Need (Active Courses)]],Table2[No Shows])</f>
        <v>0</v>
      </c>
      <c r="P2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9" s="41">
        <f>ROUNDDOWN(Table311[[#This Row],[To date quotas unused (Open quotas+ no shows)]]/Table311[[#This Row],[Quota per Offering]],0)</f>
        <v>0</v>
      </c>
      <c r="R29" s="39">
        <f t="shared" si="2"/>
        <v>855</v>
      </c>
      <c r="S29" s="41">
        <f ca="1">COUNTIFS(Table2[Course Title],Table311[[#This Row],[Courses - Planned vs Need (Active Courses)]],Table2[Roster Status],"1",Table2[Remaining Courses],"0")</f>
        <v>0</v>
      </c>
      <c r="T29" s="41">
        <f ca="1">COUNTIFS(Table2[Course Title],Table311[[#This Row],[Courses - Planned vs Need (Active Courses)]],Table2[Remaining Courses],"1")</f>
        <v>19</v>
      </c>
      <c r="U29" s="43">
        <f t="shared" si="3"/>
        <v>0</v>
      </c>
      <c r="V29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9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9" s="73">
        <v>11</v>
      </c>
      <c r="Y29" s="41">
        <f t="shared" ca="1" si="4"/>
        <v>855</v>
      </c>
      <c r="Z29" s="41">
        <f>Table311[[#This Row],[Fleet Quota Need]]-Table311[[#This Row],[Total Grads]]</f>
        <v>1075</v>
      </c>
      <c r="AA29" s="26"/>
    </row>
    <row r="30" spans="1:27" ht="31.5" x14ac:dyDescent="0.25">
      <c r="B30" s="52" t="s">
        <v>51</v>
      </c>
      <c r="C30" s="37"/>
      <c r="D30" s="37" t="s">
        <v>345</v>
      </c>
      <c r="E30" s="37">
        <f>COUNTIF(Table2[Course Title],Table311[[#This Row],[Courses - Planned vs Need (Active Courses)]])</f>
        <v>16</v>
      </c>
      <c r="F30" s="37">
        <v>45</v>
      </c>
      <c r="G30" s="37">
        <f>Table311[[#This Row],[Course Offerings]]*Table311[[#This Row],[Quota per Offering]]</f>
        <v>720</v>
      </c>
      <c r="H30" s="153">
        <v>553</v>
      </c>
      <c r="I30" s="37">
        <f t="shared" si="0"/>
        <v>167</v>
      </c>
      <c r="J30" s="40">
        <f t="shared" si="1"/>
        <v>1.3019891500904159</v>
      </c>
      <c r="K30" s="38">
        <f>SUMIF(Table2[Course Title],Table311[[#This Row],[Courses - Planned vs Need (Active Courses)]],Table2[Graduates])</f>
        <v>0</v>
      </c>
      <c r="L30" s="72">
        <f>SUMIF(Table2[Course Title],Table311[[#This Row],[Courses - Planned vs Need (Active Courses)]],Table2[Registered])</f>
        <v>0</v>
      </c>
      <c r="M30" s="72">
        <f>SUMIF(Table2[Course Title],Table311[[#This Row],[Courses - Planned vs Need (Active Courses)]],Table2[Waitlisted])</f>
        <v>0</v>
      </c>
      <c r="N30" s="72">
        <f>SUMIF(Table2[Course Title],Table311[[#This Row],[Courses - Planned vs Need (Active Courses)]],Table2[Walk-ins])</f>
        <v>0</v>
      </c>
      <c r="O30" s="39">
        <f>SUMIF(Table2[Course Title],Table311[[#This Row],[Courses - Planned vs Need (Active Courses)]],Table2[No Shows])</f>
        <v>0</v>
      </c>
      <c r="P3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0" s="41">
        <f>ROUNDDOWN(Table311[[#This Row],[To date quotas unused (Open quotas+ no shows)]]/Table311[[#This Row],[Quota per Offering]],0)</f>
        <v>0</v>
      </c>
      <c r="R30" s="39">
        <f t="shared" si="2"/>
        <v>720</v>
      </c>
      <c r="S30" s="41">
        <f ca="1">COUNTIFS(Table2[Course Title],Table311[[#This Row],[Courses - Planned vs Need (Active Courses)]],Table2[Roster Status],"1",Table2[Remaining Courses],"0")</f>
        <v>0</v>
      </c>
      <c r="T30" s="41">
        <f ca="1">COUNTIFS(Table2[Course Title],Table311[[#This Row],[Courses - Planned vs Need (Active Courses)]],Table2[Remaining Courses],"1")</f>
        <v>16</v>
      </c>
      <c r="U30" s="43">
        <f t="shared" si="3"/>
        <v>0</v>
      </c>
      <c r="V30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0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0" s="73">
        <v>116</v>
      </c>
      <c r="Y30" s="41">
        <f t="shared" ca="1" si="4"/>
        <v>720</v>
      </c>
      <c r="Z30" s="41">
        <f>Table311[[#This Row],[Fleet Quota Need]]-Table311[[#This Row],[Total Grads]]</f>
        <v>553</v>
      </c>
      <c r="AA30" s="26"/>
    </row>
    <row r="31" spans="1:27" ht="31.5" x14ac:dyDescent="0.25">
      <c r="B31" s="52" t="s">
        <v>59</v>
      </c>
      <c r="C31" s="37"/>
      <c r="D31" s="37" t="s">
        <v>347</v>
      </c>
      <c r="E31" s="37">
        <f>COUNTIF(Table2[Course Title],Table311[[#This Row],[Courses - Planned vs Need (Active Courses)]])</f>
        <v>27</v>
      </c>
      <c r="F31" s="37">
        <v>45</v>
      </c>
      <c r="G31" s="37">
        <f>Table311[[#This Row],[Course Offerings]]*Table311[[#This Row],[Quota per Offering]]</f>
        <v>1215</v>
      </c>
      <c r="H31" s="153">
        <v>1606</v>
      </c>
      <c r="I31" s="37">
        <f t="shared" si="0"/>
        <v>-391</v>
      </c>
      <c r="J31" s="40">
        <f t="shared" si="1"/>
        <v>0.75653798256537985</v>
      </c>
      <c r="K31" s="38">
        <f>SUMIF(Table2[Course Title],Table311[[#This Row],[Courses - Planned vs Need (Active Courses)]],Table2[Graduates])</f>
        <v>0</v>
      </c>
      <c r="L31" s="72">
        <f>SUMIF(Table2[Course Title],Table311[[#This Row],[Courses - Planned vs Need (Active Courses)]],Table2[Registered])</f>
        <v>0</v>
      </c>
      <c r="M31" s="72">
        <f>SUMIF(Table2[Course Title],Table311[[#This Row],[Courses - Planned vs Need (Active Courses)]],Table2[Waitlisted])</f>
        <v>0</v>
      </c>
      <c r="N31" s="72">
        <f>SUMIF(Table2[Course Title],Table311[[#This Row],[Courses - Planned vs Need (Active Courses)]],Table2[Walk-ins])</f>
        <v>0</v>
      </c>
      <c r="O31" s="39">
        <f>SUMIF(Table2[Course Title],Table311[[#This Row],[Courses - Planned vs Need (Active Courses)]],Table2[No Shows])</f>
        <v>0</v>
      </c>
      <c r="P3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1" s="41">
        <f>ROUNDDOWN(Table311[[#This Row],[To date quotas unused (Open quotas+ no shows)]]/Table311[[#This Row],[Quota per Offering]],0)</f>
        <v>0</v>
      </c>
      <c r="R31" s="39">
        <f t="shared" si="2"/>
        <v>1215</v>
      </c>
      <c r="S31" s="41">
        <f ca="1">COUNTIFS(Table2[Course Title],Table311[[#This Row],[Courses - Planned vs Need (Active Courses)]],Table2[Roster Status],"1",Table2[Remaining Courses],"0")</f>
        <v>0</v>
      </c>
      <c r="T31" s="41">
        <f ca="1">COUNTIFS(Table2[Course Title],Table311[[#This Row],[Courses - Planned vs Need (Active Courses)]],Table2[Remaining Courses],"1")</f>
        <v>27</v>
      </c>
      <c r="U31" s="43">
        <f t="shared" si="3"/>
        <v>0</v>
      </c>
      <c r="V31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1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1" s="73">
        <v>156</v>
      </c>
      <c r="Y31" s="41">
        <f t="shared" ca="1" si="4"/>
        <v>1215</v>
      </c>
      <c r="Z31" s="41">
        <f>Table311[[#This Row],[Fleet Quota Need]]-Table311[[#This Row],[Total Grads]]</f>
        <v>1606</v>
      </c>
      <c r="AA31" s="26"/>
    </row>
    <row r="32" spans="1:27" ht="31.5" x14ac:dyDescent="0.25">
      <c r="B32" s="63" t="s">
        <v>60</v>
      </c>
      <c r="C32" s="37" t="s">
        <v>18</v>
      </c>
      <c r="D32" s="37" t="s">
        <v>347</v>
      </c>
      <c r="E32" s="37">
        <f>COUNTIF(Table2[Course Title],Table311[[#This Row],[Courses - Planned vs Need (Active Courses)]])</f>
        <v>10</v>
      </c>
      <c r="F32" s="37">
        <v>30</v>
      </c>
      <c r="G32" s="37">
        <f>Table311[[#This Row],[Course Offerings]]*Table311[[#This Row],[Quota per Offering]]</f>
        <v>300</v>
      </c>
      <c r="H32" s="153">
        <v>614</v>
      </c>
      <c r="I32" s="37">
        <f t="shared" si="0"/>
        <v>-314</v>
      </c>
      <c r="J32" s="40">
        <f t="shared" si="1"/>
        <v>0.48859934853420195</v>
      </c>
      <c r="K32" s="38">
        <f>SUMIF(Table2[Course Title],Table311[[#This Row],[Courses - Planned vs Need (Active Courses)]],Table2[Graduates])</f>
        <v>0</v>
      </c>
      <c r="L32" s="72">
        <f>SUMIF(Table2[Course Title],Table311[[#This Row],[Courses - Planned vs Need (Active Courses)]],Table2[Registered])</f>
        <v>0</v>
      </c>
      <c r="M32" s="72">
        <f>SUMIF(Table2[Course Title],Table311[[#This Row],[Courses - Planned vs Need (Active Courses)]],Table2[Waitlisted])</f>
        <v>0</v>
      </c>
      <c r="N32" s="72">
        <f>SUMIF(Table2[Course Title],Table311[[#This Row],[Courses - Planned vs Need (Active Courses)]],Table2[Walk-ins])</f>
        <v>0</v>
      </c>
      <c r="O32" s="39">
        <f>SUMIF(Table2[Course Title],Table311[[#This Row],[Courses - Planned vs Need (Active Courses)]],Table2[No Shows])</f>
        <v>0</v>
      </c>
      <c r="P3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2" s="41">
        <f>ROUNDDOWN(Table311[[#This Row],[To date quotas unused (Open quotas+ no shows)]]/Table311[[#This Row],[Quota per Offering]],0)</f>
        <v>0</v>
      </c>
      <c r="R32" s="39">
        <f t="shared" si="2"/>
        <v>300</v>
      </c>
      <c r="S32" s="41">
        <f ca="1">COUNTIFS(Table2[Course Title],Table311[[#This Row],[Courses - Planned vs Need (Active Courses)]],Table2[Roster Status],"1",Table2[Remaining Courses],"0")</f>
        <v>0</v>
      </c>
      <c r="T32" s="41">
        <f ca="1">COUNTIFS(Table2[Course Title],Table311[[#This Row],[Courses - Planned vs Need (Active Courses)]],Table2[Remaining Courses],"1")</f>
        <v>10</v>
      </c>
      <c r="U32" s="43">
        <f t="shared" si="3"/>
        <v>0</v>
      </c>
      <c r="V32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2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2" s="72">
        <v>22</v>
      </c>
      <c r="Y32" s="41">
        <f t="shared" ca="1" si="4"/>
        <v>300</v>
      </c>
      <c r="Z32" s="41">
        <f>Table311[[#This Row],[Fleet Quota Need]]-Table311[[#This Row],[Total Grads]]</f>
        <v>614</v>
      </c>
      <c r="AA32" s="26"/>
    </row>
    <row r="33" spans="2:27" ht="15.75" x14ac:dyDescent="0.25">
      <c r="B33" s="52" t="s">
        <v>61</v>
      </c>
      <c r="C33" s="37"/>
      <c r="D33" s="37" t="s">
        <v>347</v>
      </c>
      <c r="E33" s="37">
        <f>COUNTIF(Table2[Course Title],Table311[[#This Row],[Courses - Planned vs Need (Active Courses)]])</f>
        <v>23</v>
      </c>
      <c r="F33" s="37">
        <v>45</v>
      </c>
      <c r="G33" s="37">
        <f>Table311[[#This Row],[Course Offerings]]*Table311[[#This Row],[Quota per Offering]]</f>
        <v>1035</v>
      </c>
      <c r="H33" s="153">
        <v>1162</v>
      </c>
      <c r="I33" s="37">
        <f t="shared" si="0"/>
        <v>-127</v>
      </c>
      <c r="J33" s="40">
        <f t="shared" si="1"/>
        <v>0.89070567986230642</v>
      </c>
      <c r="K33" s="38">
        <f>SUMIF(Table2[Course Title],Table311[[#This Row],[Courses - Planned vs Need (Active Courses)]],Table2[Graduates])</f>
        <v>0</v>
      </c>
      <c r="L33" s="72">
        <f>SUMIF(Table2[Course Title],Table311[[#This Row],[Courses - Planned vs Need (Active Courses)]],Table2[Registered])</f>
        <v>0</v>
      </c>
      <c r="M33" s="72">
        <f>SUMIF(Table2[Course Title],Table311[[#This Row],[Courses - Planned vs Need (Active Courses)]],Table2[Waitlisted])</f>
        <v>0</v>
      </c>
      <c r="N33" s="72">
        <f>SUMIF(Table2[Course Title],Table311[[#This Row],[Courses - Planned vs Need (Active Courses)]],Table2[Walk-ins])</f>
        <v>0</v>
      </c>
      <c r="O33" s="39">
        <f>SUMIF(Table2[Course Title],Table311[[#This Row],[Courses - Planned vs Need (Active Courses)]],Table2[No Shows])</f>
        <v>0</v>
      </c>
      <c r="P3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3" s="41">
        <f>ROUNDDOWN(Table311[[#This Row],[To date quotas unused (Open quotas+ no shows)]]/Table311[[#This Row],[Quota per Offering]],0)</f>
        <v>0</v>
      </c>
      <c r="R33" s="39">
        <f t="shared" si="2"/>
        <v>1035</v>
      </c>
      <c r="S33" s="41">
        <f ca="1">COUNTIFS(Table2[Course Title],Table311[[#This Row],[Courses - Planned vs Need (Active Courses)]],Table2[Roster Status],"1",Table2[Remaining Courses],"0")</f>
        <v>0</v>
      </c>
      <c r="T33" s="41">
        <f ca="1">COUNTIFS(Table2[Course Title],Table311[[#This Row],[Courses - Planned vs Need (Active Courses)]],Table2[Remaining Courses],"1")</f>
        <v>23</v>
      </c>
      <c r="U33" s="43">
        <f t="shared" si="3"/>
        <v>0</v>
      </c>
      <c r="V33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3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3" s="72">
        <v>233</v>
      </c>
      <c r="Y33" s="41">
        <f t="shared" ca="1" si="4"/>
        <v>1035</v>
      </c>
      <c r="Z33" s="41">
        <f>Table311[[#This Row],[Fleet Quota Need]]-Table311[[#This Row],[Total Grads]]</f>
        <v>1162</v>
      </c>
      <c r="AA33" s="26"/>
    </row>
    <row r="34" spans="2:27" ht="31.5" x14ac:dyDescent="0.25">
      <c r="B34" s="52" t="s">
        <v>52</v>
      </c>
      <c r="C34" s="37"/>
      <c r="D34" s="37" t="s">
        <v>345</v>
      </c>
      <c r="E34" s="37">
        <f>COUNTIF(Table2[Course Title],Table311[[#This Row],[Courses - Planned vs Need (Active Courses)]])</f>
        <v>16</v>
      </c>
      <c r="F34" s="37">
        <v>45</v>
      </c>
      <c r="G34" s="37">
        <f>Table311[[#This Row],[Course Offerings]]*Table311[[#This Row],[Quota per Offering]]</f>
        <v>720</v>
      </c>
      <c r="H34" s="153">
        <v>685</v>
      </c>
      <c r="I34" s="37">
        <f t="shared" si="0"/>
        <v>35</v>
      </c>
      <c r="J34" s="40">
        <f t="shared" si="1"/>
        <v>1.051094890510949</v>
      </c>
      <c r="K34" s="38">
        <f>SUMIF(Table2[Course Title],Table311[[#This Row],[Courses - Planned vs Need (Active Courses)]],Table2[Graduates])</f>
        <v>0</v>
      </c>
      <c r="L34" s="72">
        <f>SUMIF(Table2[Course Title],Table311[[#This Row],[Courses - Planned vs Need (Active Courses)]],Table2[Registered])</f>
        <v>0</v>
      </c>
      <c r="M34" s="72">
        <f>SUMIF(Table2[Course Title],Table311[[#This Row],[Courses - Planned vs Need (Active Courses)]],Table2[Waitlisted])</f>
        <v>0</v>
      </c>
      <c r="N34" s="72">
        <f>SUMIF(Table2[Course Title],Table311[[#This Row],[Courses - Planned vs Need (Active Courses)]],Table2[Walk-ins])</f>
        <v>0</v>
      </c>
      <c r="O34" s="39">
        <f>SUMIF(Table2[Course Title],Table311[[#This Row],[Courses - Planned vs Need (Active Courses)]],Table2[No Shows])</f>
        <v>0</v>
      </c>
      <c r="P3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4" s="41">
        <f>ROUNDDOWN(Table311[[#This Row],[To date quotas unused (Open quotas+ no shows)]]/Table311[[#This Row],[Quota per Offering]],0)</f>
        <v>0</v>
      </c>
      <c r="R34" s="39">
        <f t="shared" si="2"/>
        <v>720</v>
      </c>
      <c r="S34" s="41">
        <f ca="1">COUNTIFS(Table2[Course Title],Table311[[#This Row],[Courses - Planned vs Need (Active Courses)]],Table2[Roster Status],"1",Table2[Remaining Courses],"0")</f>
        <v>0</v>
      </c>
      <c r="T34" s="41">
        <f ca="1">COUNTIFS(Table2[Course Title],Table311[[#This Row],[Courses - Planned vs Need (Active Courses)]],Table2[Remaining Courses],"1")</f>
        <v>16</v>
      </c>
      <c r="U34" s="43">
        <f t="shared" si="3"/>
        <v>0</v>
      </c>
      <c r="V34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4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4" s="72">
        <v>55</v>
      </c>
      <c r="Y34" s="41">
        <f t="shared" ca="1" si="4"/>
        <v>720</v>
      </c>
      <c r="Z34" s="41">
        <f>Table311[[#This Row],[Fleet Quota Need]]-Table311[[#This Row],[Total Grads]]</f>
        <v>685</v>
      </c>
      <c r="AA34" s="26"/>
    </row>
    <row r="35" spans="2:27" ht="31.5" x14ac:dyDescent="0.25">
      <c r="B35" s="63" t="s">
        <v>35</v>
      </c>
      <c r="C35" s="37" t="s">
        <v>18</v>
      </c>
      <c r="D35" s="37" t="s">
        <v>344</v>
      </c>
      <c r="E35" s="37">
        <f>COUNTIF(Table2[Course Title],Table311[[#This Row],[Courses - Planned vs Need (Active Courses)]])</f>
        <v>23</v>
      </c>
      <c r="F35" s="37">
        <v>25</v>
      </c>
      <c r="G35" s="37">
        <f>Table311[[#This Row],[Course Offerings]]*Table311[[#This Row],[Quota per Offering]]</f>
        <v>575</v>
      </c>
      <c r="H35" s="153">
        <v>987</v>
      </c>
      <c r="I35" s="37">
        <f t="shared" si="0"/>
        <v>-412</v>
      </c>
      <c r="J35" s="40">
        <f t="shared" si="1"/>
        <v>0.58257345491388046</v>
      </c>
      <c r="K35" s="38">
        <f>SUMIF(Table2[Course Title],Table311[[#This Row],[Courses - Planned vs Need (Active Courses)]],Table2[Graduates])</f>
        <v>0</v>
      </c>
      <c r="L35" s="72">
        <f>SUMIF(Table2[Course Title],Table311[[#This Row],[Courses - Planned vs Need (Active Courses)]],Table2[Registered])</f>
        <v>0</v>
      </c>
      <c r="M35" s="72">
        <f>SUMIF(Table2[Course Title],Table311[[#This Row],[Courses - Planned vs Need (Active Courses)]],Table2[Waitlisted])</f>
        <v>0</v>
      </c>
      <c r="N35" s="72">
        <f>SUMIF(Table2[Course Title],Table311[[#This Row],[Courses - Planned vs Need (Active Courses)]],Table2[Walk-ins])</f>
        <v>0</v>
      </c>
      <c r="O35" s="39">
        <f>SUMIF(Table2[Course Title],Table311[[#This Row],[Courses - Planned vs Need (Active Courses)]],Table2[No Shows])</f>
        <v>0</v>
      </c>
      <c r="P3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5" s="41">
        <f>ROUNDDOWN(Table311[[#This Row],[To date quotas unused (Open quotas+ no shows)]]/Table311[[#This Row],[Quota per Offering]],0)</f>
        <v>0</v>
      </c>
      <c r="R35" s="39">
        <f t="shared" si="2"/>
        <v>575</v>
      </c>
      <c r="S35" s="41">
        <f ca="1">COUNTIFS(Table2[Course Title],Table311[[#This Row],[Courses - Planned vs Need (Active Courses)]],Table2[Roster Status],"1",Table2[Remaining Courses],"0")</f>
        <v>0</v>
      </c>
      <c r="T35" s="41">
        <f ca="1">COUNTIFS(Table2[Course Title],Table311[[#This Row],[Courses - Planned vs Need (Active Courses)]],Table2[Remaining Courses],"1")</f>
        <v>23</v>
      </c>
      <c r="U35" s="43">
        <f t="shared" si="3"/>
        <v>0</v>
      </c>
      <c r="V35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5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5" s="72">
        <v>0</v>
      </c>
      <c r="Y35" s="41">
        <f t="shared" ca="1" si="4"/>
        <v>575</v>
      </c>
      <c r="Z35" s="41">
        <f>Table311[[#This Row],[Fleet Quota Need]]-Table311[[#This Row],[Total Grads]]</f>
        <v>987</v>
      </c>
      <c r="AA35" s="26"/>
    </row>
    <row r="36" spans="2:27" ht="47.25" x14ac:dyDescent="0.25">
      <c r="B36" s="52" t="s">
        <v>39</v>
      </c>
      <c r="C36" s="37"/>
      <c r="D36" s="37" t="s">
        <v>346</v>
      </c>
      <c r="E36" s="37">
        <f>COUNTIF(Table2[Course Title],Table311[[#This Row],[Courses - Planned vs Need (Active Courses)]])</f>
        <v>18</v>
      </c>
      <c r="F36" s="187">
        <v>45</v>
      </c>
      <c r="G36" s="37">
        <f>Table311[[#This Row],[Course Offerings]]*Table311[[#This Row],[Quota per Offering]]</f>
        <v>810</v>
      </c>
      <c r="H36" s="153">
        <v>808</v>
      </c>
      <c r="I36" s="37">
        <f t="shared" si="0"/>
        <v>2</v>
      </c>
      <c r="J36" s="40">
        <f t="shared" si="1"/>
        <v>1.0024752475247525</v>
      </c>
      <c r="K36" s="38">
        <f>SUMIF(Table2[Course Title],Table311[[#This Row],[Courses - Planned vs Need (Active Courses)]],Table2[Graduates])</f>
        <v>0</v>
      </c>
      <c r="L36" s="72">
        <f>SUMIF(Table2[Course Title],Table311[[#This Row],[Courses - Planned vs Need (Active Courses)]],Table2[Registered])</f>
        <v>0</v>
      </c>
      <c r="M36" s="72">
        <f>SUMIF(Table2[Course Title],Table311[[#This Row],[Courses - Planned vs Need (Active Courses)]],Table2[Waitlisted])</f>
        <v>0</v>
      </c>
      <c r="N36" s="72">
        <f>SUMIF(Table2[Course Title],Table311[[#This Row],[Courses - Planned vs Need (Active Courses)]],Table2[Walk-ins])</f>
        <v>0</v>
      </c>
      <c r="O36" s="39">
        <f>SUMIF(Table2[Course Title],Table311[[#This Row],[Courses - Planned vs Need (Active Courses)]],Table2[No Shows])</f>
        <v>0</v>
      </c>
      <c r="P3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6" s="41">
        <f>ROUNDDOWN(Table311[[#This Row],[To date quotas unused (Open quotas+ no shows)]]/Table311[[#This Row],[Quota per Offering]],0)</f>
        <v>0</v>
      </c>
      <c r="R36" s="39">
        <f t="shared" si="2"/>
        <v>810</v>
      </c>
      <c r="S36" s="41">
        <f ca="1">COUNTIFS(Table2[Course Title],Table311[[#This Row],[Courses - Planned vs Need (Active Courses)]],Table2[Roster Status],"1",Table2[Remaining Courses],"0")</f>
        <v>0</v>
      </c>
      <c r="T36" s="41">
        <f ca="1">COUNTIFS(Table2[Course Title],Table311[[#This Row],[Courses - Planned vs Need (Active Courses)]],Table2[Remaining Courses],"1")</f>
        <v>18</v>
      </c>
      <c r="U36" s="43">
        <f t="shared" si="3"/>
        <v>0</v>
      </c>
      <c r="V36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6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6" s="73">
        <v>123</v>
      </c>
      <c r="Y36" s="41">
        <f t="shared" ca="1" si="4"/>
        <v>810</v>
      </c>
      <c r="Z36" s="41">
        <f>Table311[[#This Row],[Fleet Quota Need]]-Table311[[#This Row],[Total Grads]]</f>
        <v>808</v>
      </c>
      <c r="AA36" s="26"/>
    </row>
    <row r="37" spans="2:27" ht="31.5" x14ac:dyDescent="0.25">
      <c r="B37" s="52" t="s">
        <v>53</v>
      </c>
      <c r="C37" s="37"/>
      <c r="D37" s="37" t="s">
        <v>345</v>
      </c>
      <c r="E37" s="37">
        <f>COUNTIF(Table2[Course Title],Table311[[#This Row],[Courses - Planned vs Need (Active Courses)]])</f>
        <v>22</v>
      </c>
      <c r="F37" s="37">
        <v>30</v>
      </c>
      <c r="G37" s="37">
        <f>Table311[[#This Row],[Course Offerings]]*Table311[[#This Row],[Quota per Offering]]</f>
        <v>660</v>
      </c>
      <c r="H37" s="153">
        <v>1437</v>
      </c>
      <c r="I37" s="37">
        <f t="shared" si="0"/>
        <v>-777</v>
      </c>
      <c r="J37" s="40">
        <f t="shared" si="1"/>
        <v>0.45929018789144049</v>
      </c>
      <c r="K37" s="38">
        <f>SUMIF(Table2[Course Title],Table311[[#This Row],[Courses - Planned vs Need (Active Courses)]],Table2[Graduates])</f>
        <v>0</v>
      </c>
      <c r="L37" s="72">
        <f>SUMIF(Table2[Course Title],Table311[[#This Row],[Courses - Planned vs Need (Active Courses)]],Table2[Registered])</f>
        <v>0</v>
      </c>
      <c r="M37" s="72">
        <f>SUMIF(Table2[Course Title],Table311[[#This Row],[Courses - Planned vs Need (Active Courses)]],Table2[Waitlisted])</f>
        <v>0</v>
      </c>
      <c r="N37" s="72">
        <f>SUMIF(Table2[Course Title],Table311[[#This Row],[Courses - Planned vs Need (Active Courses)]],Table2[Walk-ins])</f>
        <v>0</v>
      </c>
      <c r="O37" s="39">
        <f>SUMIF(Table2[Course Title],Table311[[#This Row],[Courses - Planned vs Need (Active Courses)]],Table2[No Shows])</f>
        <v>0</v>
      </c>
      <c r="P3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7" s="41">
        <f>ROUNDDOWN(Table311[[#This Row],[To date quotas unused (Open quotas+ no shows)]]/Table311[[#This Row],[Quota per Offering]],0)</f>
        <v>0</v>
      </c>
      <c r="R37" s="39">
        <f t="shared" si="2"/>
        <v>660</v>
      </c>
      <c r="S37" s="41">
        <f ca="1">COUNTIFS(Table2[Course Title],Table311[[#This Row],[Courses - Planned vs Need (Active Courses)]],Table2[Roster Status],"1",Table2[Remaining Courses],"0")</f>
        <v>0</v>
      </c>
      <c r="T37" s="41">
        <f ca="1">COUNTIFS(Table2[Course Title],Table311[[#This Row],[Courses - Planned vs Need (Active Courses)]],Table2[Remaining Courses],"1")</f>
        <v>22</v>
      </c>
      <c r="U37" s="43">
        <f t="shared" si="3"/>
        <v>0</v>
      </c>
      <c r="V37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7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7" s="73">
        <v>55</v>
      </c>
      <c r="Y37" s="41">
        <f t="shared" ca="1" si="4"/>
        <v>660</v>
      </c>
      <c r="Z37" s="41">
        <f>Table311[[#This Row],[Fleet Quota Need]]-Table311[[#This Row],[Total Grads]]</f>
        <v>1437</v>
      </c>
      <c r="AA37" s="26"/>
    </row>
    <row r="38" spans="2:27" ht="15.75" x14ac:dyDescent="0.25">
      <c r="B38" s="52" t="s">
        <v>231</v>
      </c>
      <c r="C38" s="37"/>
      <c r="D38" s="37" t="s">
        <v>346</v>
      </c>
      <c r="E38" s="37">
        <f>COUNTIF(Table2[Course Title],Table311[[#This Row],[Courses - Planned vs Need (Active Courses)]])</f>
        <v>4</v>
      </c>
      <c r="F38" s="37">
        <v>30</v>
      </c>
      <c r="G38" s="42">
        <f>Table311[[#This Row],[Course Offerings]]*Table311[[#This Row],[Quota per Offering]]</f>
        <v>120</v>
      </c>
      <c r="H38" s="345">
        <v>711</v>
      </c>
      <c r="I38" s="346">
        <f t="shared" si="0"/>
        <v>-591</v>
      </c>
      <c r="J38" s="40">
        <f t="shared" si="1"/>
        <v>0.16877637130801687</v>
      </c>
      <c r="K38" s="38">
        <f>SUMIF(Table2[Course Title],Table311[[#This Row],[Courses - Planned vs Need (Active Courses)]],Table2[Graduates])</f>
        <v>0</v>
      </c>
      <c r="L38" s="72">
        <f>SUMIF(Table2[Course Title],Table311[[#This Row],[Courses - Planned vs Need (Active Courses)]],Table2[Registered])</f>
        <v>0</v>
      </c>
      <c r="M38" s="72">
        <f>SUMIF(Table2[Course Title],Table311[[#This Row],[Courses - Planned vs Need (Active Courses)]],Table2[Waitlisted])</f>
        <v>0</v>
      </c>
      <c r="N38" s="72">
        <f>SUMIF(Table2[Course Title],Table311[[#This Row],[Courses - Planned vs Need (Active Courses)]],Table2[Walk-ins])</f>
        <v>0</v>
      </c>
      <c r="O38" s="39">
        <f>SUMIF(Table2[Course Title],Table311[[#This Row],[Courses - Planned vs Need (Active Courses)]],Table2[No Shows])</f>
        <v>0</v>
      </c>
      <c r="P38" s="4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8" s="41">
        <f>ROUNDDOWN(Table311[[#This Row],[To date quotas unused (Open quotas+ no shows)]]/Table311[[#This Row],[Quota per Offering]],0)</f>
        <v>0</v>
      </c>
      <c r="R38" s="39">
        <f t="shared" si="2"/>
        <v>120</v>
      </c>
      <c r="S38" s="41">
        <f ca="1">COUNTIFS(Table2[Course Title],Table311[[#This Row],[Courses - Planned vs Need (Active Courses)]],Table2[Roster Status],"1",Table2[Remaining Courses],"0")</f>
        <v>0</v>
      </c>
      <c r="T38" s="41">
        <f ca="1">COUNTIFS(Table2[Course Title],Table311[[#This Row],[Courses - Planned vs Need (Active Courses)]],Table2[Remaining Courses],"1")</f>
        <v>4</v>
      </c>
      <c r="U38" s="347">
        <f t="shared" si="3"/>
        <v>0</v>
      </c>
      <c r="V38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8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8" s="73">
        <v>0</v>
      </c>
      <c r="Y38" s="41">
        <f t="shared" ca="1" si="4"/>
        <v>120</v>
      </c>
      <c r="Z38" s="41">
        <f>Table311[[#This Row],[Fleet Quota Need]]-Table311[[#This Row],[Total Grads]]</f>
        <v>711</v>
      </c>
      <c r="AA38" s="348"/>
    </row>
    <row r="39" spans="2:27" ht="31.5" x14ac:dyDescent="0.25">
      <c r="B39" s="52" t="s">
        <v>40</v>
      </c>
      <c r="C39" s="37"/>
      <c r="D39" s="37" t="s">
        <v>346</v>
      </c>
      <c r="E39" s="37">
        <f>COUNTIF(Table2[Course Title],Table311[[#This Row],[Courses - Planned vs Need (Active Courses)]])</f>
        <v>19</v>
      </c>
      <c r="F39" s="37">
        <v>100</v>
      </c>
      <c r="G39" s="42">
        <f>Table311[[#This Row],[Course Offerings]]*Table311[[#This Row],[Quota per Offering]]</f>
        <v>1900</v>
      </c>
      <c r="H39" s="153">
        <v>1601</v>
      </c>
      <c r="I39" s="37">
        <f t="shared" si="0"/>
        <v>299</v>
      </c>
      <c r="J39" s="40">
        <f t="shared" si="1"/>
        <v>1.1867582760774515</v>
      </c>
      <c r="K39" s="38">
        <f>SUMIF(Table2[Course Title],Table311[[#This Row],[Courses - Planned vs Need (Active Courses)]],Table2[Graduates])</f>
        <v>0</v>
      </c>
      <c r="L39" s="72">
        <f>SUMIF(Table2[Course Title],Table311[[#This Row],[Courses - Planned vs Need (Active Courses)]],Table2[Registered])</f>
        <v>0</v>
      </c>
      <c r="M39" s="72">
        <f>SUMIF(Table2[Course Title],Table311[[#This Row],[Courses - Planned vs Need (Active Courses)]],Table2[Waitlisted])</f>
        <v>0</v>
      </c>
      <c r="N39" s="72">
        <f>SUMIF(Table2[Course Title],Table311[[#This Row],[Courses - Planned vs Need (Active Courses)]],Table2[Walk-ins])</f>
        <v>0</v>
      </c>
      <c r="O39" s="39">
        <f>SUMIF(Table2[Course Title],Table311[[#This Row],[Courses - Planned vs Need (Active Courses)]],Table2[No Shows])</f>
        <v>0</v>
      </c>
      <c r="P3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9" s="41">
        <f>ROUNDDOWN(Table311[[#This Row],[To date quotas unused (Open quotas+ no shows)]]/Table311[[#This Row],[Quota per Offering]],0)</f>
        <v>0</v>
      </c>
      <c r="R39" s="39">
        <f t="shared" si="2"/>
        <v>1900</v>
      </c>
      <c r="S39" s="41">
        <f ca="1">COUNTIFS(Table2[Course Title],Table311[[#This Row],[Courses - Planned vs Need (Active Courses)]],Table2[Roster Status],"1",Table2[Remaining Courses],"0")</f>
        <v>0</v>
      </c>
      <c r="T39" s="41">
        <f ca="1">COUNTIFS(Table2[Course Title],Table311[[#This Row],[Courses - Planned vs Need (Active Courses)]],Table2[Remaining Courses],"1")</f>
        <v>19</v>
      </c>
      <c r="U39" s="43">
        <f t="shared" si="3"/>
        <v>0</v>
      </c>
      <c r="V39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9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9" s="336">
        <v>190</v>
      </c>
      <c r="Y39" s="41">
        <f t="shared" ca="1" si="4"/>
        <v>1900</v>
      </c>
      <c r="Z39" s="41">
        <f>Table311[[#This Row],[Fleet Quota Need]]-Table311[[#This Row],[Total Grads]]</f>
        <v>1601</v>
      </c>
      <c r="AA39" s="25"/>
    </row>
    <row r="40" spans="2:27" ht="31.5" x14ac:dyDescent="0.25">
      <c r="B40" s="52" t="s">
        <v>54</v>
      </c>
      <c r="C40" s="37"/>
      <c r="D40" s="37" t="s">
        <v>348</v>
      </c>
      <c r="E40" s="37">
        <f>COUNTIF(Table2[Course Title],Table311[[#This Row],[Courses - Planned vs Need (Active Courses)]])</f>
        <v>4</v>
      </c>
      <c r="F40" s="37">
        <v>25</v>
      </c>
      <c r="G40" s="42">
        <f>Table311[[#This Row],[Course Offerings]]*Table311[[#This Row],[Quota per Offering]]</f>
        <v>100</v>
      </c>
      <c r="H40" s="153">
        <v>92</v>
      </c>
      <c r="I40" s="37">
        <f t="shared" si="0"/>
        <v>8</v>
      </c>
      <c r="J40" s="40">
        <f t="shared" si="1"/>
        <v>1.0869565217391304</v>
      </c>
      <c r="K40" s="38">
        <f>SUMIF(Table2[Course Title],Table311[[#This Row],[Courses - Planned vs Need (Active Courses)]],Table2[Graduates])</f>
        <v>0</v>
      </c>
      <c r="L40" s="72">
        <f>SUMIF(Table2[Course Title],Table311[[#This Row],[Courses - Planned vs Need (Active Courses)]],Table2[Registered])</f>
        <v>0</v>
      </c>
      <c r="M40" s="72">
        <f>SUMIF(Table2[Course Title],Table311[[#This Row],[Courses - Planned vs Need (Active Courses)]],Table2[Waitlisted])</f>
        <v>0</v>
      </c>
      <c r="N40" s="72">
        <f>SUMIF(Table2[Course Title],Table311[[#This Row],[Courses - Planned vs Need (Active Courses)]],Table2[Walk-ins])</f>
        <v>0</v>
      </c>
      <c r="O40" s="39">
        <f>SUMIF(Table2[Course Title],Table311[[#This Row],[Courses - Planned vs Need (Active Courses)]],Table2[No Shows])</f>
        <v>0</v>
      </c>
      <c r="P4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0" s="41">
        <f>ROUNDDOWN(Table311[[#This Row],[To date quotas unused (Open quotas+ no shows)]]/Table311[[#This Row],[Quota per Offering]],0)</f>
        <v>0</v>
      </c>
      <c r="R40" s="39">
        <f t="shared" si="2"/>
        <v>100</v>
      </c>
      <c r="S40" s="41">
        <f ca="1">COUNTIFS(Table2[Course Title],Table311[[#This Row],[Courses - Planned vs Need (Active Courses)]],Table2[Roster Status],"1",Table2[Remaining Courses],"0")</f>
        <v>0</v>
      </c>
      <c r="T40" s="41">
        <f ca="1">COUNTIFS(Table2[Course Title],Table311[[#This Row],[Courses - Planned vs Need (Active Courses)]],Table2[Remaining Courses],"1")</f>
        <v>4</v>
      </c>
      <c r="U40" s="43">
        <f t="shared" si="3"/>
        <v>0</v>
      </c>
      <c r="V40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0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0" s="336">
        <v>38</v>
      </c>
      <c r="Y40" s="41">
        <f t="shared" ca="1" si="4"/>
        <v>100</v>
      </c>
      <c r="Z40" s="41">
        <f>Table311[[#This Row],[Fleet Quota Need]]-Table311[[#This Row],[Total Grads]]</f>
        <v>92</v>
      </c>
      <c r="AA40" s="25"/>
    </row>
    <row r="41" spans="2:27" ht="16.5" thickBot="1" x14ac:dyDescent="0.3">
      <c r="B41" s="63" t="s">
        <v>36</v>
      </c>
      <c r="C41" s="37" t="s">
        <v>18</v>
      </c>
      <c r="D41" s="37" t="s">
        <v>344</v>
      </c>
      <c r="E41" s="37">
        <f>COUNTIF(Table2[Course Title],Table311[[#This Row],[Courses - Planned vs Need (Active Courses)]])</f>
        <v>5</v>
      </c>
      <c r="F41" s="37">
        <v>25</v>
      </c>
      <c r="G41" s="37">
        <f>Table311[[#This Row],[Course Offerings]]*Table311[[#This Row],[Quota per Offering]]</f>
        <v>125</v>
      </c>
      <c r="H41" s="153">
        <v>397</v>
      </c>
      <c r="I41" s="37">
        <f t="shared" si="0"/>
        <v>-272</v>
      </c>
      <c r="J41" s="40">
        <f t="shared" si="1"/>
        <v>0.31486146095717882</v>
      </c>
      <c r="K41" s="38">
        <f>SUMIF(Table2[Course Title],Table311[[#This Row],[Courses - Planned vs Need (Active Courses)]],Table2[Graduates])</f>
        <v>0</v>
      </c>
      <c r="L41" s="72">
        <f>SUMIF(Table2[Course Title],Table311[[#This Row],[Courses - Planned vs Need (Active Courses)]],Table2[Registered])</f>
        <v>0</v>
      </c>
      <c r="M41" s="72">
        <f>SUMIF(Table2[Course Title],Table311[[#This Row],[Courses - Planned vs Need (Active Courses)]],Table2[Waitlisted])</f>
        <v>0</v>
      </c>
      <c r="N41" s="72">
        <f>SUMIF(Table2[Course Title],Table311[[#This Row],[Courses - Planned vs Need (Active Courses)]],Table2[Walk-ins])</f>
        <v>0</v>
      </c>
      <c r="O41" s="39">
        <f>SUMIF(Table2[Course Title],Table311[[#This Row],[Courses - Planned vs Need (Active Courses)]],Table2[No Shows])</f>
        <v>0</v>
      </c>
      <c r="P4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1" s="41">
        <f>ROUNDDOWN(Table311[[#This Row],[To date quotas unused (Open quotas+ no shows)]]/Table311[[#This Row],[Quota per Offering]],0)</f>
        <v>0</v>
      </c>
      <c r="R41" s="39">
        <f t="shared" si="2"/>
        <v>125</v>
      </c>
      <c r="S41" s="41">
        <f ca="1">COUNTIFS(Table2[Course Title],Table311[[#This Row],[Courses - Planned vs Need (Active Courses)]],Table2[Roster Status],"1",Table2[Remaining Courses],"0")</f>
        <v>0</v>
      </c>
      <c r="T41" s="41">
        <f ca="1">COUNTIFS(Table2[Course Title],Table311[[#This Row],[Courses - Planned vs Need (Active Courses)]],Table2[Remaining Courses],"1")</f>
        <v>5</v>
      </c>
      <c r="U41" s="43">
        <f t="shared" si="3"/>
        <v>0</v>
      </c>
      <c r="V41" s="4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1" s="51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1" s="242">
        <v>0</v>
      </c>
      <c r="Y41" s="41">
        <f t="shared" ca="1" si="4"/>
        <v>125</v>
      </c>
      <c r="Z41" s="41">
        <f>Table311[[#This Row],[Fleet Quota Need]]-Table311[[#This Row],[Total Grads]]</f>
        <v>397</v>
      </c>
      <c r="AA41" s="32"/>
    </row>
    <row r="42" spans="2:27" ht="16.5" thickBot="1" x14ac:dyDescent="0.3">
      <c r="B42" s="54" t="s">
        <v>62</v>
      </c>
      <c r="C42" s="55"/>
      <c r="D42" s="55"/>
      <c r="E42" s="55">
        <f>SUM(Table311[Course Offerings])</f>
        <v>520</v>
      </c>
      <c r="F42" s="55">
        <f>SUM(Table311[Quota per Offering])</f>
        <v>1315</v>
      </c>
      <c r="G42" s="55">
        <f>SUM(Table311[Planned Quotas])</f>
        <v>19725</v>
      </c>
      <c r="H42" s="55">
        <f>SUM(Table311[Fleet Quota Need])</f>
        <v>27575</v>
      </c>
      <c r="I42" s="55">
        <f>SUM(Table311[Difference])</f>
        <v>-7850</v>
      </c>
      <c r="J42" s="58">
        <f>G42/H42</f>
        <v>0.71532184950135991</v>
      </c>
      <c r="K42" s="56">
        <f>SUM(Table311[Total Grads])</f>
        <v>0</v>
      </c>
      <c r="L42" s="56"/>
      <c r="M42" s="56"/>
      <c r="N42" s="56"/>
      <c r="O42" s="56">
        <f>SUM(Table311[No Shows])</f>
        <v>0</v>
      </c>
      <c r="P42" s="56">
        <f>SUM(Table311[To date quotas unused (Open quotas+ no shows)])</f>
        <v>0</v>
      </c>
      <c r="Q42" s="56">
        <f>SUM(Table311[Sunk Courses due to unused quotas todate])</f>
        <v>0</v>
      </c>
      <c r="R42" s="224">
        <f>SUM(Table311[Grads needed this FY towards planned quotas])</f>
        <v>19725</v>
      </c>
      <c r="S42" s="56">
        <f ca="1">SUM(Table311['# of course completion reports to be processed])</f>
        <v>0</v>
      </c>
      <c r="T42" s="56">
        <f ca="1">SUM(Table311['# of courses remaining])</f>
        <v>520</v>
      </c>
      <c r="U42" s="59">
        <f>K42/H42</f>
        <v>0</v>
      </c>
      <c r="V42" s="59"/>
      <c r="W42" s="59"/>
      <c r="X42" s="57">
        <f>SUM(Table311[Remaining Open Quotas FY25 QTR 1])</f>
        <v>1964</v>
      </c>
      <c r="Y42" s="225">
        <f ca="1">SUM(Table311['# of additional grads if all quotas are filled of course results remaining to be processed])</f>
        <v>19725</v>
      </c>
      <c r="Z42" s="225">
        <f>SUM(Table311[Difference between completed and fleet need of completed, potentially remaining quotas, and processed courses])</f>
        <v>27575</v>
      </c>
      <c r="AA42" s="57"/>
    </row>
  </sheetData>
  <mergeCells count="3">
    <mergeCell ref="B3:J3"/>
    <mergeCell ref="K3:U3"/>
    <mergeCell ref="X3:AA3"/>
  </mergeCells>
  <conditionalFormatting sqref="C5:G41 I5:I41 K5:O41 R5:U41 Y5:Z41">
    <cfRule type="cellIs" dxfId="1102" priority="6" operator="lessThan">
      <formula>0</formula>
    </cfRule>
  </conditionalFormatting>
  <conditionalFormatting sqref="J5:J41 U5:U41">
    <cfRule type="cellIs" dxfId="1101" priority="5" operator="lessThan">
      <formula>1</formula>
    </cfRule>
  </conditionalFormatting>
  <conditionalFormatting sqref="X5:X41">
    <cfRule type="cellIs" dxfId="1100" priority="1" operator="greaterThan">
      <formula>0</formula>
    </cfRule>
  </conditionalFormatting>
  <dataValidations count="1">
    <dataValidation type="list" allowBlank="1" showInputMessage="1" showErrorMessage="1" sqref="B5:B41" xr:uid="{00000000-0002-0000-0800-000000000000}">
      <formula1>Class</formula1>
    </dataValidation>
  </dataValidations>
  <pageMargins left="0.25" right="0.25" top="0.75" bottom="0.75" header="0.3" footer="0.3"/>
  <pageSetup paperSize="5" scale="47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8"/>
  </sheetPr>
  <dimension ref="A1:AF544"/>
  <sheetViews>
    <sheetView zoomScale="60" zoomScaleNormal="60" workbookViewId="0">
      <selection activeCell="AB1" sqref="AB1:AE1048576"/>
    </sheetView>
  </sheetViews>
  <sheetFormatPr defaultColWidth="8.7109375" defaultRowHeight="15" x14ac:dyDescent="0.25"/>
  <cols>
    <col min="1" max="1" width="31.42578125" style="9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customWidth="1"/>
    <col min="6" max="6" width="17" style="11" customWidth="1"/>
    <col min="7" max="7" width="15.7109375" style="11" customWidth="1"/>
    <col min="8" max="8" width="11.7109375" style="36" customWidth="1"/>
    <col min="9" max="14" width="9.7109375" style="36" customWidth="1"/>
    <col min="15" max="15" width="20" style="69" hidden="1" customWidth="1"/>
    <col min="16" max="16" width="18.42578125" style="69" hidden="1" customWidth="1"/>
    <col min="17" max="18" width="20.28515625" style="9" customWidth="1"/>
    <col min="19" max="22" width="22.42578125" style="9" customWidth="1"/>
    <col min="23" max="23" width="20.28515625" style="13" customWidth="1"/>
    <col min="24" max="24" width="16" style="35" customWidth="1"/>
    <col min="25" max="25" width="12.28515625" style="35" customWidth="1"/>
    <col min="26" max="26" width="16.42578125" style="35" customWidth="1"/>
    <col min="27" max="27" width="15.85546875" style="35" customWidth="1"/>
    <col min="28" max="28" width="16.5703125" style="9" hidden="1" customWidth="1"/>
    <col min="29" max="29" width="16" style="35" hidden="1" customWidth="1"/>
    <col min="30" max="31" width="11" style="9" hidden="1" customWidth="1"/>
    <col min="32" max="32" width="8.7109375" style="9"/>
  </cols>
  <sheetData>
    <row r="1" spans="1:32" x14ac:dyDescent="0.25">
      <c r="A1" s="9" t="s">
        <v>349</v>
      </c>
      <c r="B1" s="9"/>
      <c r="H1" s="11"/>
      <c r="I1" s="11"/>
      <c r="J1" s="11"/>
      <c r="K1" s="11"/>
      <c r="L1" s="11"/>
      <c r="M1" s="11"/>
      <c r="N1" s="11"/>
    </row>
    <row r="2" spans="1:32" x14ac:dyDescent="0.25">
      <c r="A2" s="10"/>
    </row>
    <row r="3" spans="1:32" ht="75" x14ac:dyDescent="0.25">
      <c r="A3" s="27" t="s">
        <v>343</v>
      </c>
      <c r="B3" s="27" t="s">
        <v>63</v>
      </c>
      <c r="C3" s="27" t="s">
        <v>64</v>
      </c>
      <c r="D3" s="123" t="s">
        <v>350</v>
      </c>
      <c r="E3" s="27" t="s">
        <v>73</v>
      </c>
      <c r="F3" s="28" t="s">
        <v>351</v>
      </c>
      <c r="G3" s="28" t="s">
        <v>352</v>
      </c>
      <c r="H3" s="74" t="s">
        <v>353</v>
      </c>
      <c r="I3" s="74" t="s">
        <v>354</v>
      </c>
      <c r="J3" s="74" t="s">
        <v>355</v>
      </c>
      <c r="K3" s="74" t="s">
        <v>356</v>
      </c>
      <c r="L3" s="74" t="s">
        <v>357</v>
      </c>
      <c r="M3" s="74" t="s">
        <v>358</v>
      </c>
      <c r="N3" s="74" t="s">
        <v>359</v>
      </c>
      <c r="O3" s="27" t="s">
        <v>360</v>
      </c>
      <c r="P3" s="27" t="s">
        <v>361</v>
      </c>
      <c r="Q3" s="30" t="s">
        <v>66</v>
      </c>
      <c r="R3" s="30" t="s">
        <v>362</v>
      </c>
      <c r="S3" s="30" t="s">
        <v>363</v>
      </c>
      <c r="T3" s="30" t="s">
        <v>364</v>
      </c>
      <c r="U3" s="30" t="s">
        <v>365</v>
      </c>
      <c r="V3" s="30" t="s">
        <v>366</v>
      </c>
      <c r="W3" s="29" t="s">
        <v>367</v>
      </c>
      <c r="X3" s="29" t="s">
        <v>368</v>
      </c>
      <c r="Y3" s="29" t="s">
        <v>13</v>
      </c>
      <c r="Z3" s="29" t="s">
        <v>14</v>
      </c>
      <c r="AA3" s="29" t="s">
        <v>369</v>
      </c>
      <c r="AB3" s="29" t="s">
        <v>75</v>
      </c>
      <c r="AC3" s="29" t="s">
        <v>370</v>
      </c>
      <c r="AD3" s="29" t="s">
        <v>371</v>
      </c>
      <c r="AE3" s="29" t="s">
        <v>372</v>
      </c>
      <c r="AF3" s="31"/>
    </row>
    <row r="4" spans="1:32" x14ac:dyDescent="0.25">
      <c r="A4" s="62"/>
      <c r="B4" s="99" t="s">
        <v>165</v>
      </c>
      <c r="C4" s="100" t="str">
        <f>VLOOKUP(Table2[[#This Row],[Course Title]],'TSD-Data'!$A$1:$E$56,2,FALSE)</f>
        <v>A-322-2604</v>
      </c>
      <c r="D4" s="100" t="str">
        <f>VLOOKUP(Table2[[#This Row],[Course Title]],'TSD-Data'!$A$1:$E$56,3,FALSE)</f>
        <v>10ZZ</v>
      </c>
      <c r="E4" s="99" t="s">
        <v>80</v>
      </c>
      <c r="F4" s="102">
        <v>45565</v>
      </c>
      <c r="G4" s="102">
        <v>45569</v>
      </c>
      <c r="H4" s="102"/>
      <c r="I4" s="101">
        <v>0.54166666666666663</v>
      </c>
      <c r="J4" s="101">
        <v>0.41666666666666669</v>
      </c>
      <c r="K4" s="101">
        <v>0.83333333333333337</v>
      </c>
      <c r="L4" s="101">
        <v>0.79166666666666663</v>
      </c>
      <c r="M4" s="101">
        <v>0.29166666666666669</v>
      </c>
      <c r="N4" s="101">
        <v>8.3333333333333329E-2</v>
      </c>
      <c r="O4" s="15" t="s">
        <v>124</v>
      </c>
      <c r="P4" s="15"/>
      <c r="Q4" s="15">
        <f>VLOOKUP(Table2[[#This Row],[Course Title]],'TSD-Data'!$A$1:$E$56,4,FALSE)</f>
        <v>45</v>
      </c>
      <c r="R4" s="15">
        <f>VLOOKUP(Table2[[#This Row],[Course Title]],'TSD-Data'!$A$1:$F$53,6,FALSE)</f>
        <v>24</v>
      </c>
      <c r="S4" s="15">
        <f>VLOOKUP(Table2[[#This Row],[Course Title]],'TSD-Data'!$A$1:$E$56,5,FALSE)</f>
        <v>3</v>
      </c>
      <c r="T4" s="15">
        <v>634</v>
      </c>
      <c r="U4" s="15"/>
      <c r="V4" s="15"/>
      <c r="W4" s="15"/>
      <c r="X4" s="103"/>
      <c r="Y4" s="15"/>
      <c r="Z4" s="15"/>
      <c r="AA4" s="100"/>
      <c r="AB4" s="99"/>
      <c r="AC4" s="71">
        <f ca="1">Table2[[#This Row],[End Date]]+2-TODAY()</f>
        <v>39</v>
      </c>
      <c r="AD4" s="15">
        <f>IF(ISBLANK(Table2[[#This Row],[Roster Received By]]),1,0)</f>
        <v>1</v>
      </c>
      <c r="AE4" s="15">
        <f ca="1">IF(Table2[[#This Row],[Start Date]]&gt;TODAY(),1,)</f>
        <v>1</v>
      </c>
      <c r="AF4" s="106"/>
    </row>
    <row r="5" spans="1:32" x14ac:dyDescent="0.25">
      <c r="A5" s="99"/>
      <c r="B5" s="99" t="s">
        <v>39</v>
      </c>
      <c r="C5" s="100" t="str">
        <f>VLOOKUP(Table2[[#This Row],[Course Title]],'TSD-Data'!$A$1:$E$56,2,FALSE)</f>
        <v>A-570-0100</v>
      </c>
      <c r="D5" s="100" t="str">
        <f>VLOOKUP(Table2[[#This Row],[Course Title]],'TSD-Data'!$A$1:$E$56,3,FALSE)</f>
        <v>18B7</v>
      </c>
      <c r="E5" s="99" t="s">
        <v>80</v>
      </c>
      <c r="F5" s="102">
        <v>45565</v>
      </c>
      <c r="G5" s="102">
        <v>45568</v>
      </c>
      <c r="H5" s="105"/>
      <c r="I5" s="105">
        <v>0.54166666666666663</v>
      </c>
      <c r="J5" s="101">
        <v>0.41666666666666669</v>
      </c>
      <c r="K5" s="101">
        <v>0.83333333333333337</v>
      </c>
      <c r="L5" s="101">
        <v>0.79166666666666663</v>
      </c>
      <c r="M5" s="101">
        <v>0.29166666666666669</v>
      </c>
      <c r="N5" s="101">
        <v>8.3333333333333329E-2</v>
      </c>
      <c r="O5" s="15" t="s">
        <v>79</v>
      </c>
      <c r="P5" s="15"/>
      <c r="Q5" s="15">
        <f>VLOOKUP(Table2[[#This Row],[Course Title]],'TSD-Data'!$A$1:$E$56,4,FALSE)</f>
        <v>45</v>
      </c>
      <c r="R5" s="15">
        <f>VLOOKUP(Table2[[#This Row],[Course Title]],'TSD-Data'!$A$1:$F$53,6,FALSE)</f>
        <v>16</v>
      </c>
      <c r="S5" s="15">
        <f>VLOOKUP(Table2[[#This Row],[Course Title]],'TSD-Data'!$A$1:$E$56,5,FALSE)</f>
        <v>2</v>
      </c>
      <c r="T5" s="15">
        <v>621</v>
      </c>
      <c r="U5" s="15"/>
      <c r="V5" s="15"/>
      <c r="W5" s="103"/>
      <c r="X5" s="103"/>
      <c r="Y5" s="15"/>
      <c r="Z5" s="15"/>
      <c r="AA5" s="15"/>
      <c r="AB5" s="99"/>
      <c r="AC5" s="71">
        <f ca="1">Table2[[#This Row],[End Date]]+2-TODAY()</f>
        <v>38</v>
      </c>
      <c r="AD5" s="15">
        <f>IF(ISBLANK(Table2[[#This Row],[Roster Received By]]),1,0)</f>
        <v>1</v>
      </c>
      <c r="AE5" s="15">
        <f ca="1">IF(Table2[[#This Row],[Start Date]]&gt;TODAY(),1,)</f>
        <v>1</v>
      </c>
      <c r="AF5" s="106"/>
    </row>
    <row r="6" spans="1:32" x14ac:dyDescent="0.25">
      <c r="A6" s="100"/>
      <c r="B6" s="99" t="s">
        <v>40</v>
      </c>
      <c r="C6" s="100" t="str">
        <f>VLOOKUP(Table2[[#This Row],[Course Title]],'TSD-Data'!$A$1:$E$56,2,FALSE)</f>
        <v>A-493-2098</v>
      </c>
      <c r="D6" s="100" t="str">
        <f>VLOOKUP(Table2[[#This Row],[Course Title]],'TSD-Data'!$A$1:$E$56,3,FALSE)</f>
        <v>09WW</v>
      </c>
      <c r="E6" s="99" t="s">
        <v>80</v>
      </c>
      <c r="F6" s="102">
        <v>45565</v>
      </c>
      <c r="G6" s="102">
        <v>45569</v>
      </c>
      <c r="H6" s="108"/>
      <c r="I6" s="105">
        <v>0.33333333333333331</v>
      </c>
      <c r="J6" s="105">
        <v>0.20833333333333334</v>
      </c>
      <c r="K6" s="105">
        <v>0.625</v>
      </c>
      <c r="L6" s="105">
        <v>0.58333333333333337</v>
      </c>
      <c r="M6" s="105">
        <v>8.3333333333333329E-2</v>
      </c>
      <c r="N6" s="105">
        <v>0.875</v>
      </c>
      <c r="O6" s="15" t="s">
        <v>110</v>
      </c>
      <c r="P6" s="15"/>
      <c r="Q6" s="15">
        <f>VLOOKUP(Table2[[#This Row],[Course Title]],'TSD-Data'!$A$1:$E$56,4,FALSE)</f>
        <v>100</v>
      </c>
      <c r="R6" s="15">
        <f>VLOOKUP(Table2[[#This Row],[Course Title]],'TSD-Data'!$A$1:$F$53,6,FALSE)</f>
        <v>16</v>
      </c>
      <c r="S6" s="15">
        <f>VLOOKUP(Table2[[#This Row],[Course Title]],'TSD-Data'!$A$1:$E$56,5,FALSE)</f>
        <v>2</v>
      </c>
      <c r="T6" s="15">
        <v>722</v>
      </c>
      <c r="U6" s="15"/>
      <c r="V6" s="15"/>
      <c r="W6" s="104"/>
      <c r="X6" s="104"/>
      <c r="Y6" s="100"/>
      <c r="Z6" s="100"/>
      <c r="AA6" s="104"/>
      <c r="AB6" s="99"/>
      <c r="AC6" s="71">
        <f ca="1">Table2[[#This Row],[End Date]]+2-TODAY()</f>
        <v>39</v>
      </c>
      <c r="AD6" s="15">
        <f>IF(ISBLANK(Table2[[#This Row],[Roster Received By]]),1,0)</f>
        <v>1</v>
      </c>
      <c r="AE6" s="15">
        <f ca="1">IF(Table2[[#This Row],[Start Date]]&gt;TODAY(),1,)</f>
        <v>1</v>
      </c>
      <c r="AF6" s="106"/>
    </row>
    <row r="7" spans="1:32" x14ac:dyDescent="0.25">
      <c r="A7" s="62"/>
      <c r="B7" s="99" t="s">
        <v>61</v>
      </c>
      <c r="C7" s="100" t="str">
        <f>VLOOKUP(Table2[[#This Row],[Course Title]],'TSD-Data'!$A$1:$E$56,2,FALSE)</f>
        <v>A-493-0078</v>
      </c>
      <c r="D7" s="100">
        <f>VLOOKUP(Table2[[#This Row],[Course Title]],'TSD-Data'!$A$1:$E$56,3,FALSE)</f>
        <v>1228</v>
      </c>
      <c r="E7" s="99" t="s">
        <v>80</v>
      </c>
      <c r="F7" s="102">
        <v>45566</v>
      </c>
      <c r="G7" s="102">
        <v>45569</v>
      </c>
      <c r="H7" s="102"/>
      <c r="I7" s="101">
        <v>0.41666666666666669</v>
      </c>
      <c r="J7" s="101">
        <v>0.29166666666666669</v>
      </c>
      <c r="K7" s="101">
        <v>0.70833333333333337</v>
      </c>
      <c r="L7" s="101">
        <v>0.66666666666666663</v>
      </c>
      <c r="M7" s="101">
        <v>0.16666666666666666</v>
      </c>
      <c r="N7" s="101">
        <v>0.95833333333333337</v>
      </c>
      <c r="O7" s="15" t="s">
        <v>141</v>
      </c>
      <c r="P7" s="15"/>
      <c r="Q7" s="15">
        <f>VLOOKUP(Table2[[#This Row],[Course Title]],'TSD-Data'!$A$1:$E$56,4,FALSE)</f>
        <v>45</v>
      </c>
      <c r="R7" s="15">
        <f>VLOOKUP(Table2[[#This Row],[Course Title]],'TSD-Data'!$A$1:$F$53,6,FALSE)</f>
        <v>32</v>
      </c>
      <c r="S7" s="15">
        <f>VLOOKUP(Table2[[#This Row],[Course Title]],'TSD-Data'!$A$1:$E$56,5,FALSE)</f>
        <v>4</v>
      </c>
      <c r="T7" s="15">
        <v>446</v>
      </c>
      <c r="U7" s="15"/>
      <c r="V7" s="15"/>
      <c r="W7" s="15"/>
      <c r="X7" s="103"/>
      <c r="Y7" s="15"/>
      <c r="Z7" s="15"/>
      <c r="AA7" s="15"/>
      <c r="AB7" s="99"/>
      <c r="AC7" s="71">
        <f ca="1">Table2[[#This Row],[End Date]]+2-TODAY()</f>
        <v>39</v>
      </c>
      <c r="AD7" s="15">
        <f>IF(ISBLANK(Table2[[#This Row],[Roster Received By]]),1,0)</f>
        <v>1</v>
      </c>
      <c r="AE7" s="15">
        <f ca="1">IF(Table2[[#This Row],[Start Date]]&gt;TODAY(),1,)</f>
        <v>1</v>
      </c>
      <c r="AF7" s="106"/>
    </row>
    <row r="8" spans="1:32" x14ac:dyDescent="0.25">
      <c r="A8" s="99"/>
      <c r="B8" s="99" t="s">
        <v>48</v>
      </c>
      <c r="C8" s="100" t="str">
        <f>VLOOKUP(Table2[[#This Row],[Course Title]],'TSD-Data'!$A$1:$E$56,2,FALSE)</f>
        <v>A-760-2166</v>
      </c>
      <c r="D8" s="100" t="str">
        <f>VLOOKUP(Table2[[#This Row],[Course Title]],'TSD-Data'!$A$1:$E$56,3,FALSE)</f>
        <v>438J</v>
      </c>
      <c r="E8" s="99" t="s">
        <v>267</v>
      </c>
      <c r="F8" s="102">
        <v>45567</v>
      </c>
      <c r="G8" s="102">
        <v>45568</v>
      </c>
      <c r="H8" s="105">
        <v>0.33333333333333331</v>
      </c>
      <c r="I8" s="108"/>
      <c r="J8" s="102"/>
      <c r="K8" s="102"/>
      <c r="L8" s="102"/>
      <c r="M8" s="102"/>
      <c r="N8" s="102"/>
      <c r="O8" s="15" t="s">
        <v>175</v>
      </c>
      <c r="P8" s="15" t="s">
        <v>171</v>
      </c>
      <c r="Q8" s="103">
        <f>VLOOKUP(Table2[[#This Row],[Course Title]],'TSD-Data'!$A$1:$E$56,4,FALSE)</f>
        <v>25</v>
      </c>
      <c r="R8" s="15">
        <f>VLOOKUP(Table2[[#This Row],[Course Title]],'TSD-Data'!$A$1:$F$53,6,FALSE)</f>
        <v>16</v>
      </c>
      <c r="S8" s="15">
        <f>VLOOKUP(Table2[[#This Row],[Course Title]],'TSD-Data'!$A$1:$E$56,5,FALSE)</f>
        <v>2</v>
      </c>
      <c r="T8" s="15">
        <v>7</v>
      </c>
      <c r="U8" s="15"/>
      <c r="V8" s="15"/>
      <c r="W8" s="103"/>
      <c r="X8" s="103"/>
      <c r="Y8" s="15"/>
      <c r="Z8" s="15"/>
      <c r="AA8" s="100"/>
      <c r="AB8" s="99"/>
      <c r="AC8" s="71">
        <f ca="1">Table2[[#This Row],[End Date]]+2-TODAY()</f>
        <v>38</v>
      </c>
      <c r="AD8" s="15">
        <f>IF(ISBLANK(Table2[[#This Row],[Roster Received By]]),1,0)</f>
        <v>1</v>
      </c>
      <c r="AE8" s="15">
        <f ca="1">IF(Table2[[#This Row],[Start Date]]&gt;TODAY(),1,)</f>
        <v>1</v>
      </c>
      <c r="AF8" s="106"/>
    </row>
    <row r="9" spans="1:32" x14ac:dyDescent="0.25">
      <c r="A9" s="62"/>
      <c r="B9" s="99" t="s">
        <v>59</v>
      </c>
      <c r="C9" s="100" t="str">
        <f>VLOOKUP(Table2[[#This Row],[Course Title]],'TSD-Data'!$A$1:$E$56,2,FALSE)</f>
        <v>A-493-0550</v>
      </c>
      <c r="D9" s="100" t="str">
        <f>VLOOKUP(Table2[[#This Row],[Course Title]],'TSD-Data'!$A$1:$E$56,3,FALSE)</f>
        <v>09K5</v>
      </c>
      <c r="E9" s="99" t="s">
        <v>80</v>
      </c>
      <c r="F9" s="102">
        <v>45572</v>
      </c>
      <c r="G9" s="102">
        <v>45575</v>
      </c>
      <c r="H9" s="105"/>
      <c r="I9" s="108">
        <v>0.41666666666666669</v>
      </c>
      <c r="J9" s="101">
        <v>0.29166666666666669</v>
      </c>
      <c r="K9" s="101">
        <v>0.70833333333333337</v>
      </c>
      <c r="L9" s="101">
        <v>0.66666666666666663</v>
      </c>
      <c r="M9" s="101">
        <v>0.16666666666666666</v>
      </c>
      <c r="N9" s="101">
        <v>0.95833333333333337</v>
      </c>
      <c r="O9" s="15" t="s">
        <v>145</v>
      </c>
      <c r="P9" s="15"/>
      <c r="Q9" s="15">
        <f>VLOOKUP(Table2[[#This Row],[Course Title]],'TSD-Data'!$A$1:$E$56,4,FALSE)</f>
        <v>45</v>
      </c>
      <c r="R9" s="15">
        <f>VLOOKUP(Table2[[#This Row],[Course Title]],'TSD-Data'!$A$1:$F$53,6,FALSE)</f>
        <v>32</v>
      </c>
      <c r="S9" s="15">
        <f>VLOOKUP(Table2[[#This Row],[Course Title]],'TSD-Data'!$A$1:$E$56,5,FALSE)</f>
        <v>4</v>
      </c>
      <c r="T9" s="15">
        <v>465</v>
      </c>
      <c r="U9" s="15"/>
      <c r="V9" s="15"/>
      <c r="W9" s="15"/>
      <c r="X9" s="103"/>
      <c r="Y9" s="15"/>
      <c r="Z9" s="15"/>
      <c r="AA9" s="15"/>
      <c r="AB9" s="99"/>
      <c r="AC9" s="71">
        <f ca="1">Table2[[#This Row],[End Date]]+2-TODAY()</f>
        <v>45</v>
      </c>
      <c r="AD9" s="15">
        <f>IF(ISBLANK(Table2[[#This Row],[Roster Received By]]),1,0)</f>
        <v>1</v>
      </c>
      <c r="AE9" s="15">
        <f ca="1">IF(Table2[[#This Row],[Start Date]]&gt;TODAY(),1,)</f>
        <v>1</v>
      </c>
      <c r="AF9" s="106"/>
    </row>
    <row r="10" spans="1:32" x14ac:dyDescent="0.25">
      <c r="A10" s="62"/>
      <c r="B10" s="99" t="s">
        <v>52</v>
      </c>
      <c r="C10" s="100" t="str">
        <f>VLOOKUP(Table2[[#This Row],[Course Title]],'TSD-Data'!$A$1:$E$56,2,FALSE)</f>
        <v>A-493-0085</v>
      </c>
      <c r="D10" s="100">
        <f>VLOOKUP(Table2[[#This Row],[Course Title]],'TSD-Data'!$A$1:$E$56,3,FALSE)</f>
        <v>3555</v>
      </c>
      <c r="E10" s="99" t="s">
        <v>80</v>
      </c>
      <c r="F10" s="102">
        <v>45572</v>
      </c>
      <c r="G10" s="102">
        <v>45575</v>
      </c>
      <c r="H10" s="102"/>
      <c r="I10" s="101">
        <v>0.5</v>
      </c>
      <c r="J10" s="101">
        <v>0.375</v>
      </c>
      <c r="K10" s="101">
        <v>0.79166666666666663</v>
      </c>
      <c r="L10" s="101">
        <v>0.75</v>
      </c>
      <c r="M10" s="101">
        <v>0.25</v>
      </c>
      <c r="N10" s="101">
        <v>4.1666666666666664E-2</v>
      </c>
      <c r="O10" s="15" t="s">
        <v>175</v>
      </c>
      <c r="P10" s="15"/>
      <c r="Q10" s="15">
        <f>VLOOKUP(Table2[[#This Row],[Course Title]],'TSD-Data'!$A$1:$E$56,4,FALSE)</f>
        <v>45</v>
      </c>
      <c r="R10" s="15">
        <f>VLOOKUP(Table2[[#This Row],[Course Title]],'TSD-Data'!$A$1:$F$53,6,FALSE)</f>
        <v>32</v>
      </c>
      <c r="S10" s="15">
        <f>VLOOKUP(Table2[[#This Row],[Course Title]],'TSD-Data'!$A$1:$E$56,5,FALSE)</f>
        <v>4</v>
      </c>
      <c r="T10" s="15">
        <v>503</v>
      </c>
      <c r="U10" s="15"/>
      <c r="V10" s="15"/>
      <c r="W10" s="15"/>
      <c r="X10" s="103"/>
      <c r="Y10" s="15"/>
      <c r="Z10" s="15"/>
      <c r="AA10" s="15"/>
      <c r="AB10" s="99"/>
      <c r="AC10" s="71">
        <f ca="1">Table2[[#This Row],[End Date]]+2-TODAY()</f>
        <v>45</v>
      </c>
      <c r="AD10" s="15">
        <f>IF(ISBLANK(Table2[[#This Row],[Roster Received By]]),1,0)</f>
        <v>1</v>
      </c>
      <c r="AE10" s="15">
        <f ca="1">IF(Table2[[#This Row],[Start Date]]&gt;TODAY(),1,)</f>
        <v>1</v>
      </c>
      <c r="AF10" s="106"/>
    </row>
    <row r="11" spans="1:32" x14ac:dyDescent="0.25">
      <c r="A11" s="363" t="s">
        <v>373</v>
      </c>
      <c r="B11" s="364" t="s">
        <v>40</v>
      </c>
      <c r="C11" s="365" t="str">
        <f>VLOOKUP(Table2[[#This Row],[Course Title]],'TSD-Data'!$A$1:$E$56,2,FALSE)</f>
        <v>A-493-2098</v>
      </c>
      <c r="D11" s="365" t="str">
        <f>VLOOKUP(Table2[[#This Row],[Course Title]],'TSD-Data'!$A$1:$E$56,3,FALSE)</f>
        <v>09WW</v>
      </c>
      <c r="E11" s="364" t="s">
        <v>267</v>
      </c>
      <c r="F11" s="366">
        <v>45572</v>
      </c>
      <c r="G11" s="366">
        <v>45573</v>
      </c>
      <c r="H11" s="367" t="s">
        <v>374</v>
      </c>
      <c r="I11" s="362"/>
      <c r="J11" s="361"/>
      <c r="K11" s="361"/>
      <c r="L11" s="361"/>
      <c r="M11" s="361"/>
      <c r="N11" s="361"/>
      <c r="O11" s="368" t="s">
        <v>110</v>
      </c>
      <c r="P11" s="369" t="s">
        <v>79</v>
      </c>
      <c r="Q11" s="370">
        <f>VLOOKUP(Table2[[#This Row],[Course Title]],'TSD-Data'!$A$1:$E$56,4,FALSE)</f>
        <v>100</v>
      </c>
      <c r="R11" s="369">
        <f>VLOOKUP(Table2[[#This Row],[Course Title]],'TSD-Data'!$A$1:$F$53,6,FALSE)</f>
        <v>16</v>
      </c>
      <c r="S11" s="371">
        <f>VLOOKUP(Table2[[#This Row],[Course Title]],'TSD-Data'!$A$1:$E$56,5,FALSE)</f>
        <v>2</v>
      </c>
      <c r="T11" s="157">
        <v>30</v>
      </c>
      <c r="U11" s="157"/>
      <c r="V11" s="157"/>
      <c r="W11" s="370"/>
      <c r="X11" s="370"/>
      <c r="Y11" s="369"/>
      <c r="Z11" s="369"/>
      <c r="AA11" s="369"/>
      <c r="AB11" s="364"/>
      <c r="AC11" s="372">
        <f ca="1">Table2[[#This Row],[End Date]]+2-TODAY()</f>
        <v>43</v>
      </c>
      <c r="AD11" s="369">
        <f>IF(ISBLANK(Table2[[#This Row],[Roster Received By]]),1,0)</f>
        <v>1</v>
      </c>
      <c r="AE11" s="369">
        <f ca="1">IF(Table2[[#This Row],[Start Date]]&gt;TODAY(),1,)</f>
        <v>1</v>
      </c>
      <c r="AF11" s="106"/>
    </row>
    <row r="12" spans="1:32" x14ac:dyDescent="0.25">
      <c r="A12" s="363" t="s">
        <v>373</v>
      </c>
      <c r="B12" s="364" t="s">
        <v>40</v>
      </c>
      <c r="C12" s="365" t="str">
        <f>VLOOKUP(Table2[[#This Row],[Course Title]],'TSD-Data'!$A$1:$E$56,2,FALSE)</f>
        <v>A-493-2098</v>
      </c>
      <c r="D12" s="365" t="str">
        <f>VLOOKUP(Table2[[#This Row],[Course Title]],'TSD-Data'!$A$1:$E$56,3,FALSE)</f>
        <v>09WW</v>
      </c>
      <c r="E12" s="364" t="s">
        <v>267</v>
      </c>
      <c r="F12" s="366">
        <v>45574</v>
      </c>
      <c r="G12" s="366">
        <v>45575</v>
      </c>
      <c r="H12" s="367" t="s">
        <v>374</v>
      </c>
      <c r="I12" s="362"/>
      <c r="J12" s="361"/>
      <c r="K12" s="361"/>
      <c r="L12" s="361"/>
      <c r="M12" s="361"/>
      <c r="N12" s="361"/>
      <c r="O12" s="368" t="s">
        <v>110</v>
      </c>
      <c r="P12" s="369" t="s">
        <v>79</v>
      </c>
      <c r="Q12" s="370">
        <f>VLOOKUP(Table2[[#This Row],[Course Title]],'TSD-Data'!$A$1:$E$56,4,FALSE)</f>
        <v>100</v>
      </c>
      <c r="R12" s="369">
        <f>VLOOKUP(Table2[[#This Row],[Course Title]],'TSD-Data'!$A$1:$F$53,6,FALSE)</f>
        <v>16</v>
      </c>
      <c r="S12" s="371">
        <f>VLOOKUP(Table2[[#This Row],[Course Title]],'TSD-Data'!$A$1:$E$56,5,FALSE)</f>
        <v>2</v>
      </c>
      <c r="T12" s="157">
        <v>30</v>
      </c>
      <c r="U12" s="157"/>
      <c r="V12" s="157"/>
      <c r="W12" s="370"/>
      <c r="X12" s="370"/>
      <c r="Y12" s="369"/>
      <c r="Z12" s="369"/>
      <c r="AA12" s="369"/>
      <c r="AB12" s="364"/>
      <c r="AC12" s="372">
        <f ca="1">Table2[[#This Row],[End Date]]+2-TODAY()</f>
        <v>45</v>
      </c>
      <c r="AD12" s="369">
        <f>IF(ISBLANK(Table2[[#This Row],[Roster Received By]]),1,0)</f>
        <v>1</v>
      </c>
      <c r="AE12" s="369">
        <f ca="1">IF(Table2[[#This Row],[Start Date]]&gt;TODAY(),1,)</f>
        <v>1</v>
      </c>
      <c r="AF12" s="106"/>
    </row>
    <row r="13" spans="1:32" x14ac:dyDescent="0.25">
      <c r="A13" s="62" t="s">
        <v>375</v>
      </c>
      <c r="B13" s="116" t="s">
        <v>264</v>
      </c>
      <c r="C13" s="100" t="str">
        <f>VLOOKUP(Table2[[#This Row],[Course Title]],'TSD-Data'!$A$1:$E$56,2,FALSE)</f>
        <v>Function</v>
      </c>
      <c r="D13" s="100" t="str">
        <f>VLOOKUP(Table2[[#This Row],[Course Title]],'TSD-Data'!$A$1:$E$56,3,FALSE)</f>
        <v>Function</v>
      </c>
      <c r="E13" s="99" t="s">
        <v>267</v>
      </c>
      <c r="F13" s="102">
        <v>45576</v>
      </c>
      <c r="G13" s="102">
        <v>45576</v>
      </c>
      <c r="H13" s="102"/>
      <c r="I13" s="101"/>
      <c r="J13" s="105"/>
      <c r="K13" s="105"/>
      <c r="L13" s="105"/>
      <c r="M13" s="105"/>
      <c r="N13" s="105"/>
      <c r="O13" s="15"/>
      <c r="P13" s="15"/>
      <c r="Q13" s="15">
        <f>VLOOKUP(Table2[[#This Row],[Course Title]],'TSD-Data'!$A$1:$E$56,4,FALSE)</f>
        <v>0</v>
      </c>
      <c r="R13" s="15">
        <f>VLOOKUP(Table2[[#This Row],[Course Title]],'TSD-Data'!$A$1:$F$53,6,FALSE)</f>
        <v>0</v>
      </c>
      <c r="S13" s="15">
        <f>VLOOKUP(Table2[[#This Row],[Course Title]],'TSD-Data'!$A$1:$E$56,5,FALSE)</f>
        <v>0</v>
      </c>
      <c r="T13" s="15">
        <v>0</v>
      </c>
      <c r="U13" s="15"/>
      <c r="V13" s="15"/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99" t="s">
        <v>100</v>
      </c>
      <c r="AC13" s="71">
        <f ca="1">Table2[[#This Row],[End Date]]+2-TODAY()</f>
        <v>46</v>
      </c>
      <c r="AD13" s="15">
        <f>IF(ISBLANK(Table2[[#This Row],[Roster Received By]]),1,0)</f>
        <v>0</v>
      </c>
      <c r="AE13" s="15">
        <f ca="1">IF(Table2[[#This Row],[Start Date]]&gt;TODAY(),1,)</f>
        <v>1</v>
      </c>
      <c r="AF13" s="135"/>
    </row>
    <row r="14" spans="1:32" x14ac:dyDescent="0.25">
      <c r="A14" s="99" t="s">
        <v>376</v>
      </c>
      <c r="B14" s="116" t="s">
        <v>258</v>
      </c>
      <c r="C14" s="100" t="str">
        <f>VLOOKUP(Table2[[#This Row],[Course Title]],'TSD-Data'!$A$1:$E$56,2,FALSE)</f>
        <v>Holiday</v>
      </c>
      <c r="D14" s="100" t="str">
        <f>VLOOKUP(Table2[[#This Row],[Course Title]],'TSD-Data'!$A$1:$E$56,3,FALSE)</f>
        <v>Holiday</v>
      </c>
      <c r="E14" s="99"/>
      <c r="F14" s="67">
        <v>45579</v>
      </c>
      <c r="G14" s="102">
        <v>45579</v>
      </c>
      <c r="H14" s="102"/>
      <c r="I14" s="101"/>
      <c r="J14" s="105"/>
      <c r="K14" s="105"/>
      <c r="L14" s="105"/>
      <c r="M14" s="105"/>
      <c r="N14" s="105"/>
      <c r="O14" s="15"/>
      <c r="P14" s="15"/>
      <c r="Q14" s="15">
        <f>VLOOKUP(Table2[[#This Row],[Course Title]],'TSD-Data'!$A$1:$E$56,4,FALSE)</f>
        <v>0</v>
      </c>
      <c r="R14" s="15">
        <f>VLOOKUP(Table2[[#This Row],[Course Title]],'TSD-Data'!$A$1:$F$53,6,FALSE)</f>
        <v>0</v>
      </c>
      <c r="S14" s="15">
        <f>VLOOKUP(Table2[[#This Row],[Course Title]],'TSD-Data'!$A$1:$E$56,5,FALSE)</f>
        <v>0</v>
      </c>
      <c r="T14" s="15">
        <v>0</v>
      </c>
      <c r="U14" s="15"/>
      <c r="V14" s="15"/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99" t="s">
        <v>100</v>
      </c>
      <c r="AC14" s="71">
        <f ca="1">Table2[[#This Row],[End Date]]+2-TODAY()</f>
        <v>49</v>
      </c>
      <c r="AD14" s="15">
        <f>IF(ISBLANK(Table2[[#This Row],[Roster Received By]]),1,0)</f>
        <v>0</v>
      </c>
      <c r="AE14" s="15">
        <f ca="1">IF(Table2[[#This Row],[Start Date]]&gt;TODAY(),1,)</f>
        <v>1</v>
      </c>
      <c r="AF14" s="135"/>
    </row>
    <row r="15" spans="1:32" x14ac:dyDescent="0.25">
      <c r="A15" s="62"/>
      <c r="B15" s="116" t="s">
        <v>46</v>
      </c>
      <c r="C15" s="100" t="str">
        <f>VLOOKUP(Table2[[#This Row],[Course Title]],'TSD-Data'!$A$1:$E$56,2,FALSE)</f>
        <v>A-493-0070</v>
      </c>
      <c r="D15" s="100" t="str">
        <f>VLOOKUP(Table2[[#This Row],[Course Title]],'TSD-Data'!$A$1:$E$56,3,FALSE)</f>
        <v>450V</v>
      </c>
      <c r="E15" s="99" t="s">
        <v>267</v>
      </c>
      <c r="F15" s="102">
        <v>45580</v>
      </c>
      <c r="G15" s="102">
        <v>45580</v>
      </c>
      <c r="H15" s="105">
        <v>0.33333333333333331</v>
      </c>
      <c r="I15" s="226"/>
      <c r="J15" s="108"/>
      <c r="K15" s="108"/>
      <c r="L15" s="108"/>
      <c r="M15" s="108"/>
      <c r="N15" s="108"/>
      <c r="O15" s="15" t="s">
        <v>175</v>
      </c>
      <c r="P15" s="15"/>
      <c r="Q15" s="15">
        <f>VLOOKUP(Table2[[#This Row],[Course Title]],'TSD-Data'!$A$1:$E$56,4,FALSE)</f>
        <v>30</v>
      </c>
      <c r="R15" s="15">
        <f>VLOOKUP(Table2[[#This Row],[Course Title]],'TSD-Data'!$A$1:$F$53,6,FALSE)</f>
        <v>8</v>
      </c>
      <c r="S15" s="15">
        <f>VLOOKUP(Table2[[#This Row],[Course Title]],'TSD-Data'!$A$1:$E$56,5,FALSE)</f>
        <v>1</v>
      </c>
      <c r="T15" s="15">
        <v>21</v>
      </c>
      <c r="U15" s="15"/>
      <c r="V15" s="15"/>
      <c r="W15" s="15"/>
      <c r="X15" s="103"/>
      <c r="Y15" s="15"/>
      <c r="Z15" s="15"/>
      <c r="AA15" s="15"/>
      <c r="AB15" s="99"/>
      <c r="AC15" s="71">
        <f ca="1">Table2[[#This Row],[End Date]]+2-TODAY()</f>
        <v>50</v>
      </c>
      <c r="AD15" s="15">
        <f>IF(ISBLANK(Table2[[#This Row],[Roster Received By]]),1,0)</f>
        <v>1</v>
      </c>
      <c r="AE15" s="15">
        <f ca="1">IF(Table2[[#This Row],[Start Date]]&gt;TODAY(),1,)</f>
        <v>1</v>
      </c>
      <c r="AF15" s="136"/>
    </row>
    <row r="16" spans="1:32" x14ac:dyDescent="0.25">
      <c r="A16" s="62"/>
      <c r="B16" s="116" t="s">
        <v>50</v>
      </c>
      <c r="C16" s="100" t="str">
        <f>VLOOKUP(Table2[[#This Row],[Course Title]],'TSD-Data'!$A$1:$E$56,2,FALSE)</f>
        <v>A-493-0331</v>
      </c>
      <c r="D16" s="100" t="str">
        <f>VLOOKUP(Table2[[#This Row],[Course Title]],'TSD-Data'!$A$1:$E$56,3,FALSE)</f>
        <v>10UG</v>
      </c>
      <c r="E16" s="99" t="s">
        <v>80</v>
      </c>
      <c r="F16" s="102">
        <v>45580</v>
      </c>
      <c r="G16" s="102">
        <v>45582</v>
      </c>
      <c r="H16" s="102"/>
      <c r="I16" s="101">
        <v>0.5</v>
      </c>
      <c r="J16" s="101">
        <v>0.375</v>
      </c>
      <c r="K16" s="101">
        <v>0.79166666666666663</v>
      </c>
      <c r="L16" s="101">
        <v>0.75</v>
      </c>
      <c r="M16" s="101">
        <v>0.25</v>
      </c>
      <c r="N16" s="101">
        <v>4.1666666666666664E-2</v>
      </c>
      <c r="O16" s="15" t="s">
        <v>186</v>
      </c>
      <c r="P16" s="15"/>
      <c r="Q16" s="15">
        <f>VLOOKUP(Table2[[#This Row],[Course Title]],'TSD-Data'!$A$1:$E$56,4,FALSE)</f>
        <v>45</v>
      </c>
      <c r="R16" s="15">
        <f>VLOOKUP(Table2[[#This Row],[Course Title]],'TSD-Data'!$A$1:$F$53,6,FALSE)</f>
        <v>24</v>
      </c>
      <c r="S16" s="15">
        <f>VLOOKUP(Table2[[#This Row],[Course Title]],'TSD-Data'!$A$1:$E$56,5,FALSE)</f>
        <v>3</v>
      </c>
      <c r="T16" s="15">
        <v>805</v>
      </c>
      <c r="U16" s="15"/>
      <c r="V16" s="15"/>
      <c r="W16" s="15"/>
      <c r="X16" s="103"/>
      <c r="Y16" s="15"/>
      <c r="Z16" s="15"/>
      <c r="AA16" s="15"/>
      <c r="AB16" s="99"/>
      <c r="AC16" s="71">
        <f ca="1">Table2[[#This Row],[End Date]]+2-TODAY()</f>
        <v>52</v>
      </c>
      <c r="AD16" s="15">
        <f>IF(ISBLANK(Table2[[#This Row],[Roster Received By]]),1,0)</f>
        <v>1</v>
      </c>
      <c r="AE16" s="15">
        <f ca="1">IF(Table2[[#This Row],[Start Date]]&gt;TODAY(),1,)</f>
        <v>1</v>
      </c>
      <c r="AF16" s="106"/>
    </row>
    <row r="17" spans="1:32" x14ac:dyDescent="0.25">
      <c r="A17" s="62"/>
      <c r="B17" s="99" t="s">
        <v>51</v>
      </c>
      <c r="C17" s="100" t="str">
        <f>VLOOKUP(Table2[[#This Row],[Course Title]],'TSD-Data'!$A$1:$E$56,2,FALSE)</f>
        <v>A-493-0335</v>
      </c>
      <c r="D17" s="100" t="str">
        <f>VLOOKUP(Table2[[#This Row],[Course Title]],'TSD-Data'!$A$1:$E$56,3,FALSE)</f>
        <v>09ND</v>
      </c>
      <c r="E17" s="99" t="s">
        <v>80</v>
      </c>
      <c r="F17" s="102">
        <v>45580</v>
      </c>
      <c r="G17" s="102">
        <v>45583</v>
      </c>
      <c r="H17" s="102"/>
      <c r="I17" s="101">
        <v>0.5</v>
      </c>
      <c r="J17" s="101">
        <v>0.375</v>
      </c>
      <c r="K17" s="101">
        <v>0.79166666666666663</v>
      </c>
      <c r="L17" s="101">
        <v>0.75</v>
      </c>
      <c r="M17" s="101">
        <v>0.25</v>
      </c>
      <c r="N17" s="101">
        <v>4.1666666666666664E-2</v>
      </c>
      <c r="O17" s="15" t="s">
        <v>179</v>
      </c>
      <c r="P17" s="15"/>
      <c r="Q17" s="15">
        <f>VLOOKUP(Table2[[#This Row],[Course Title]],'TSD-Data'!$A$1:$E$56,4,FALSE)</f>
        <v>45</v>
      </c>
      <c r="R17" s="15">
        <f>VLOOKUP(Table2[[#This Row],[Course Title]],'TSD-Data'!$A$1:$F$53,6,FALSE)</f>
        <v>32</v>
      </c>
      <c r="S17" s="15">
        <f>VLOOKUP(Table2[[#This Row],[Course Title]],'TSD-Data'!$A$1:$E$56,5,FALSE)</f>
        <v>4</v>
      </c>
      <c r="T17" s="15">
        <v>400</v>
      </c>
      <c r="U17" s="15"/>
      <c r="V17" s="15"/>
      <c r="W17" s="15"/>
      <c r="X17" s="103"/>
      <c r="Y17" s="15"/>
      <c r="Z17" s="15"/>
      <c r="AA17" s="15"/>
      <c r="AB17" s="99"/>
      <c r="AC17" s="71">
        <f ca="1">Table2[[#This Row],[End Date]]+2-TODAY()</f>
        <v>53</v>
      </c>
      <c r="AD17" s="15">
        <f>IF(ISBLANK(Table2[[#This Row],[Roster Received By]]),1,0)</f>
        <v>1</v>
      </c>
      <c r="AE17" s="15">
        <f ca="1">IF(Table2[[#This Row],[Start Date]]&gt;TODAY(),1,)</f>
        <v>1</v>
      </c>
      <c r="AF17" s="106"/>
    </row>
    <row r="18" spans="1:32" x14ac:dyDescent="0.25">
      <c r="A18" s="62"/>
      <c r="B18" s="116" t="s">
        <v>61</v>
      </c>
      <c r="C18" s="100" t="str">
        <f>VLOOKUP(Table2[[#This Row],[Course Title]],'TSD-Data'!$A$1:$E$56,2,FALSE)</f>
        <v>A-493-0078</v>
      </c>
      <c r="D18" s="100">
        <f>VLOOKUP(Table2[[#This Row],[Course Title]],'TSD-Data'!$A$1:$E$56,3,FALSE)</f>
        <v>1228</v>
      </c>
      <c r="E18" s="99" t="s">
        <v>80</v>
      </c>
      <c r="F18" s="102">
        <v>45580</v>
      </c>
      <c r="G18" s="102">
        <v>45583</v>
      </c>
      <c r="H18" s="102"/>
      <c r="I18" s="101">
        <v>0.54166666666666663</v>
      </c>
      <c r="J18" s="101">
        <v>0.41666666666666669</v>
      </c>
      <c r="K18" s="101">
        <v>0.83333333333333337</v>
      </c>
      <c r="L18" s="101">
        <v>0.79166666666666663</v>
      </c>
      <c r="M18" s="101">
        <v>0.29166666666666669</v>
      </c>
      <c r="N18" s="101">
        <v>8.3333333333333329E-2</v>
      </c>
      <c r="O18" s="15" t="s">
        <v>141</v>
      </c>
      <c r="P18" s="15"/>
      <c r="Q18" s="15">
        <f>VLOOKUP(Table2[[#This Row],[Course Title]],'TSD-Data'!$A$1:$E$56,4,FALSE)</f>
        <v>45</v>
      </c>
      <c r="R18" s="15">
        <f>VLOOKUP(Table2[[#This Row],[Course Title]],'TSD-Data'!$A$1:$F$53,6,FALSE)</f>
        <v>32</v>
      </c>
      <c r="S18" s="15">
        <f>VLOOKUP(Table2[[#This Row],[Course Title]],'TSD-Data'!$A$1:$E$56,5,FALSE)</f>
        <v>4</v>
      </c>
      <c r="T18" s="15">
        <v>840</v>
      </c>
      <c r="U18" s="15"/>
      <c r="V18" s="15"/>
      <c r="W18" s="15"/>
      <c r="X18" s="103"/>
      <c r="Y18" s="15"/>
      <c r="Z18" s="15"/>
      <c r="AA18" s="15"/>
      <c r="AB18" s="99"/>
      <c r="AC18" s="71">
        <f ca="1">Table2[[#This Row],[End Date]]+2-TODAY()</f>
        <v>53</v>
      </c>
      <c r="AD18" s="15">
        <f>IF(ISBLANK(Table2[[#This Row],[Roster Received By]]),1,0)</f>
        <v>1</v>
      </c>
      <c r="AE18" s="15">
        <f ca="1">IF(Table2[[#This Row],[Start Date]]&gt;TODAY(),1,)</f>
        <v>1</v>
      </c>
      <c r="AF18" s="135"/>
    </row>
    <row r="19" spans="1:32" x14ac:dyDescent="0.25">
      <c r="A19" s="62"/>
      <c r="B19" s="116" t="s">
        <v>42</v>
      </c>
      <c r="C19" s="100" t="str">
        <f>VLOOKUP(Table2[[#This Row],[Course Title]],'TSD-Data'!$A$1:$E$56,2,FALSE)</f>
        <v>A-493-0015</v>
      </c>
      <c r="D19" s="100">
        <f>VLOOKUP(Table2[[#This Row],[Course Title]],'TSD-Data'!$A$1:$E$56,3,FALSE)</f>
        <v>3879</v>
      </c>
      <c r="E19" s="65" t="s">
        <v>267</v>
      </c>
      <c r="F19" s="102">
        <v>45581</v>
      </c>
      <c r="G19" s="102">
        <v>45581</v>
      </c>
      <c r="H19" s="105">
        <v>0.33333333333333331</v>
      </c>
      <c r="I19" s="226"/>
      <c r="J19" s="108"/>
      <c r="K19" s="108"/>
      <c r="L19" s="108"/>
      <c r="M19" s="108"/>
      <c r="N19" s="108"/>
      <c r="O19" s="15" t="s">
        <v>175</v>
      </c>
      <c r="P19" s="15"/>
      <c r="Q19" s="15">
        <f>VLOOKUP(Table2[[#This Row],[Course Title]],'TSD-Data'!$A$1:$E$56,4,FALSE)</f>
        <v>30</v>
      </c>
      <c r="R19" s="15">
        <f>VLOOKUP(Table2[[#This Row],[Course Title]],'TSD-Data'!$A$1:$F$53,6,FALSE)</f>
        <v>4</v>
      </c>
      <c r="S19" s="15">
        <f>VLOOKUP(Table2[[#This Row],[Course Title]],'TSD-Data'!$A$1:$E$56,5,FALSE)</f>
        <v>0.5</v>
      </c>
      <c r="T19" s="15">
        <v>38</v>
      </c>
      <c r="U19" s="15"/>
      <c r="V19" s="15"/>
      <c r="W19" s="15"/>
      <c r="X19" s="103"/>
      <c r="Y19" s="15"/>
      <c r="Z19" s="15"/>
      <c r="AA19" s="15"/>
      <c r="AB19" s="99"/>
      <c r="AC19" s="71">
        <f ca="1">Table2[[#This Row],[End Date]]+2-TODAY()</f>
        <v>51</v>
      </c>
      <c r="AD19" s="15">
        <f>IF(ISBLANK(Table2[[#This Row],[Roster Received By]]),1,0)</f>
        <v>1</v>
      </c>
      <c r="AE19" s="15">
        <f ca="1">IF(Table2[[#This Row],[Start Date]]&gt;TODAY(),1,)</f>
        <v>1</v>
      </c>
      <c r="AF19" s="106"/>
    </row>
    <row r="20" spans="1:32" x14ac:dyDescent="0.25">
      <c r="A20" s="62"/>
      <c r="B20" s="99" t="s">
        <v>44</v>
      </c>
      <c r="C20" s="100" t="str">
        <f>VLOOKUP(Table2[[#This Row],[Course Title]],'TSD-Data'!$A$1:$E$56,2,FALSE)</f>
        <v>A-493-0020</v>
      </c>
      <c r="D20" s="100">
        <f>VLOOKUP(Table2[[#This Row],[Course Title]],'TSD-Data'!$A$1:$E$56,3,FALSE)</f>
        <v>3888</v>
      </c>
      <c r="E20" s="99" t="s">
        <v>267</v>
      </c>
      <c r="F20" s="102">
        <v>45581</v>
      </c>
      <c r="G20" s="102">
        <v>45581</v>
      </c>
      <c r="H20" s="105">
        <v>1200.5</v>
      </c>
      <c r="I20" s="101"/>
      <c r="J20" s="108"/>
      <c r="K20" s="108"/>
      <c r="L20" s="108"/>
      <c r="M20" s="108"/>
      <c r="N20" s="108"/>
      <c r="O20" s="15" t="s">
        <v>175</v>
      </c>
      <c r="P20" s="15"/>
      <c r="Q20" s="15">
        <f>VLOOKUP(Table2[[#This Row],[Course Title]],'TSD-Data'!$A$1:$E$56,4,FALSE)</f>
        <v>30</v>
      </c>
      <c r="R20" s="15">
        <f>VLOOKUP(Table2[[#This Row],[Course Title]],'TSD-Data'!$A$1:$F$53,6,FALSE)</f>
        <v>4</v>
      </c>
      <c r="S20" s="15">
        <f>VLOOKUP(Table2[[#This Row],[Course Title]],'TSD-Data'!$A$1:$E$56,5,FALSE)</f>
        <v>0.5</v>
      </c>
      <c r="T20" s="15">
        <v>7</v>
      </c>
      <c r="U20" s="15"/>
      <c r="V20" s="15"/>
      <c r="W20" s="15"/>
      <c r="X20" s="103"/>
      <c r="Y20" s="15"/>
      <c r="Z20" s="15"/>
      <c r="AA20" s="15"/>
      <c r="AB20" s="99"/>
      <c r="AC20" s="71">
        <f ca="1">Table2[[#This Row],[End Date]]+2-TODAY()</f>
        <v>51</v>
      </c>
      <c r="AD20" s="15">
        <f>IF(ISBLANK(Table2[[#This Row],[Roster Received By]]),1,0)</f>
        <v>1</v>
      </c>
      <c r="AE20" s="15">
        <f ca="1">IF(Table2[[#This Row],[Start Date]]&gt;TODAY(),1,)</f>
        <v>1</v>
      </c>
      <c r="AF20" s="106"/>
    </row>
    <row r="21" spans="1:32" x14ac:dyDescent="0.25">
      <c r="A21" s="62"/>
      <c r="B21" s="116" t="s">
        <v>39</v>
      </c>
      <c r="C21" s="100" t="str">
        <f>VLOOKUP(Table2[[#This Row],[Course Title]],'TSD-Data'!$A$1:$E$56,2,FALSE)</f>
        <v>A-570-0100</v>
      </c>
      <c r="D21" s="100" t="str">
        <f>VLOOKUP(Table2[[#This Row],[Course Title]],'TSD-Data'!$A$1:$E$56,3,FALSE)</f>
        <v>18B7</v>
      </c>
      <c r="E21" s="99" t="s">
        <v>80</v>
      </c>
      <c r="F21" s="102">
        <v>45585</v>
      </c>
      <c r="G21" s="102">
        <v>45589</v>
      </c>
      <c r="H21" s="105"/>
      <c r="I21" s="105">
        <v>0.79166666666666663</v>
      </c>
      <c r="J21" s="101">
        <v>0.66666666666666663</v>
      </c>
      <c r="K21" s="101">
        <v>8.3333333333333329E-2</v>
      </c>
      <c r="L21" s="101">
        <v>0</v>
      </c>
      <c r="M21" s="101">
        <v>0.54166666666666663</v>
      </c>
      <c r="N21" s="101">
        <v>0.33333333333333331</v>
      </c>
      <c r="O21" s="15" t="s">
        <v>79</v>
      </c>
      <c r="P21" s="15"/>
      <c r="Q21" s="15">
        <f>VLOOKUP(Table2[[#This Row],[Course Title]],'TSD-Data'!$A$1:$E$56,4,FALSE)</f>
        <v>45</v>
      </c>
      <c r="R21" s="15">
        <f>VLOOKUP(Table2[[#This Row],[Course Title]],'TSD-Data'!$A$1:$F$53,6,FALSE)</f>
        <v>16</v>
      </c>
      <c r="S21" s="15">
        <f>VLOOKUP(Table2[[#This Row],[Course Title]],'TSD-Data'!$A$1:$E$56,5,FALSE)</f>
        <v>2</v>
      </c>
      <c r="T21" s="15">
        <v>132</v>
      </c>
      <c r="U21" s="15"/>
      <c r="V21" s="15"/>
      <c r="W21" s="103"/>
      <c r="X21" s="103"/>
      <c r="Y21" s="15"/>
      <c r="Z21" s="15"/>
      <c r="AA21" s="15"/>
      <c r="AB21" s="99"/>
      <c r="AC21" s="71">
        <f ca="1">Table2[[#This Row],[End Date]]+2-TODAY()</f>
        <v>59</v>
      </c>
      <c r="AD21" s="15">
        <f>IF(ISBLANK(Table2[[#This Row],[Roster Received By]]),1,0)</f>
        <v>1</v>
      </c>
      <c r="AE21" s="15">
        <f ca="1">IF(Table2[[#This Row],[Start Date]]&gt;TODAY(),1,)</f>
        <v>1</v>
      </c>
      <c r="AF21" s="106"/>
    </row>
    <row r="22" spans="1:32" x14ac:dyDescent="0.25">
      <c r="A22" s="65"/>
      <c r="B22" s="99" t="s">
        <v>45</v>
      </c>
      <c r="C22" s="100" t="str">
        <f>VLOOKUP(Table2[[#This Row],[Course Title]],'TSD-Data'!$A$1:$E$56,2,FALSE)</f>
        <v>A-493-0069</v>
      </c>
      <c r="D22" s="100" t="str">
        <f>VLOOKUP(Table2[[#This Row],[Course Title]],'TSD-Data'!$A$1:$E$56,3,FALSE)</f>
        <v>450U</v>
      </c>
      <c r="E22" s="99" t="s">
        <v>267</v>
      </c>
      <c r="F22" s="102">
        <v>45586</v>
      </c>
      <c r="G22" s="102">
        <v>45590</v>
      </c>
      <c r="H22" s="105">
        <v>0.33333333333333331</v>
      </c>
      <c r="I22" s="226"/>
      <c r="J22" s="108"/>
      <c r="K22" s="108"/>
      <c r="L22" s="108"/>
      <c r="M22" s="108"/>
      <c r="N22" s="108"/>
      <c r="O22" s="15" t="s">
        <v>175</v>
      </c>
      <c r="P22" s="15"/>
      <c r="Q22" s="15">
        <f>VLOOKUP(Table2[[#This Row],[Course Title]],'TSD-Data'!$A$1:$E$56,4,FALSE)</f>
        <v>25</v>
      </c>
      <c r="R22" s="15">
        <f>VLOOKUP(Table2[[#This Row],[Course Title]],'TSD-Data'!$A$1:$F$53,6,FALSE)</f>
        <v>40</v>
      </c>
      <c r="S22" s="15">
        <f>VLOOKUP(Table2[[#This Row],[Course Title]],'TSD-Data'!$A$1:$E$56,5,FALSE)</f>
        <v>5</v>
      </c>
      <c r="T22" s="15">
        <v>13</v>
      </c>
      <c r="U22" s="15"/>
      <c r="V22" s="15"/>
      <c r="W22" s="103"/>
      <c r="X22" s="103"/>
      <c r="Y22" s="15"/>
      <c r="Z22" s="15"/>
      <c r="AA22" s="100"/>
      <c r="AB22" s="99"/>
      <c r="AC22" s="71">
        <f ca="1">Table2[[#This Row],[End Date]]+2-TODAY()</f>
        <v>60</v>
      </c>
      <c r="AD22" s="15">
        <f>IF(ISBLANK(Table2[[#This Row],[Roster Received By]]),1,0)</f>
        <v>1</v>
      </c>
      <c r="AE22" s="15">
        <f ca="1">IF(Table2[[#This Row],[Start Date]]&gt;TODAY(),1,)</f>
        <v>1</v>
      </c>
      <c r="AF22" s="136"/>
    </row>
    <row r="23" spans="1:32" x14ac:dyDescent="0.25">
      <c r="A23" s="99"/>
      <c r="B23" s="99" t="s">
        <v>47</v>
      </c>
      <c r="C23" s="100" t="str">
        <f>VLOOKUP(Table2[[#This Row],[Course Title]],'TSD-Data'!$A$1:$E$56,2,FALSE)</f>
        <v>A-493-0030</v>
      </c>
      <c r="D23" s="100" t="str">
        <f>VLOOKUP(Table2[[#This Row],[Course Title]],'TSD-Data'!$A$1:$E$56,3,FALSE)</f>
        <v>286X</v>
      </c>
      <c r="E23" s="99" t="s">
        <v>267</v>
      </c>
      <c r="F23" s="102">
        <v>45586</v>
      </c>
      <c r="G23" s="102">
        <v>45590</v>
      </c>
      <c r="H23" s="105">
        <v>0.33333333333333331</v>
      </c>
      <c r="I23" s="108"/>
      <c r="J23" s="102"/>
      <c r="K23" s="102"/>
      <c r="L23" s="102"/>
      <c r="M23" s="102"/>
      <c r="N23" s="102"/>
      <c r="O23" s="15" t="s">
        <v>196</v>
      </c>
      <c r="P23" s="15"/>
      <c r="Q23" s="103">
        <f>VLOOKUP(Table2[[#This Row],[Course Title]],'TSD-Data'!$A$1:$E$56,4,FALSE)</f>
        <v>25</v>
      </c>
      <c r="R23" s="15">
        <f>VLOOKUP(Table2[[#This Row],[Course Title]],'TSD-Data'!$A$1:$F$53,6,FALSE)</f>
        <v>40</v>
      </c>
      <c r="S23" s="15">
        <f>VLOOKUP(Table2[[#This Row],[Course Title]],'TSD-Data'!$A$1:$E$56,5,FALSE)</f>
        <v>5</v>
      </c>
      <c r="T23" s="15">
        <v>63</v>
      </c>
      <c r="U23" s="15"/>
      <c r="V23" s="15"/>
      <c r="W23" s="103"/>
      <c r="X23" s="103"/>
      <c r="Y23" s="15"/>
      <c r="Z23" s="15"/>
      <c r="AA23" s="100"/>
      <c r="AB23" s="99"/>
      <c r="AC23" s="71">
        <f ca="1">Table2[[#This Row],[End Date]]+2-TODAY()</f>
        <v>60</v>
      </c>
      <c r="AD23" s="15">
        <f>IF(ISBLANK(Table2[[#This Row],[Roster Received By]]),1,0)</f>
        <v>1</v>
      </c>
      <c r="AE23" s="15">
        <f ca="1">IF(Table2[[#This Row],[Start Date]]&gt;TODAY(),1,)</f>
        <v>1</v>
      </c>
      <c r="AF23" s="106"/>
    </row>
    <row r="24" spans="1:32" x14ac:dyDescent="0.25">
      <c r="A24" s="99"/>
      <c r="B24" s="116" t="s">
        <v>38</v>
      </c>
      <c r="C24" s="100" t="str">
        <f>VLOOKUP(Table2[[#This Row],[Course Title]],'TSD-Data'!$A$1:$E$56,2,FALSE)</f>
        <v>A-493-0061</v>
      </c>
      <c r="D24" s="100" t="str">
        <f>VLOOKUP(Table2[[#This Row],[Course Title]],'TSD-Data'!$A$1:$E$56,3,FALSE)</f>
        <v>288E</v>
      </c>
      <c r="E24" s="99" t="s">
        <v>80</v>
      </c>
      <c r="F24" s="67">
        <v>45586</v>
      </c>
      <c r="G24" s="67">
        <v>45589</v>
      </c>
      <c r="H24" s="105"/>
      <c r="I24" s="105">
        <v>0.33333333333333331</v>
      </c>
      <c r="J24" s="105">
        <v>0.20833333333333334</v>
      </c>
      <c r="K24" s="105">
        <v>0.625</v>
      </c>
      <c r="L24" s="105">
        <v>0.58333333333333337</v>
      </c>
      <c r="M24" s="105">
        <v>8.3333333333333329E-2</v>
      </c>
      <c r="N24" s="105">
        <v>0.875</v>
      </c>
      <c r="O24" s="108" t="s">
        <v>138</v>
      </c>
      <c r="P24" s="15"/>
      <c r="Q24" s="15">
        <f>VLOOKUP(Table2[[#This Row],[Course Title]],'TSD-Data'!$A$1:$E$56,4,FALSE)</f>
        <v>45</v>
      </c>
      <c r="R24" s="15">
        <f>VLOOKUP(Table2[[#This Row],[Course Title]],'TSD-Data'!$A$1:$F$53,6,FALSE)</f>
        <v>30</v>
      </c>
      <c r="S24" s="15">
        <f>VLOOKUP(Table2[[#This Row],[Course Title]],'TSD-Data'!$A$1:$E$56,5,FALSE)</f>
        <v>4</v>
      </c>
      <c r="T24" s="15">
        <v>369</v>
      </c>
      <c r="U24" s="15"/>
      <c r="V24" s="15"/>
      <c r="W24" s="15"/>
      <c r="X24" s="103"/>
      <c r="Y24" s="15"/>
      <c r="Z24" s="15"/>
      <c r="AA24" s="15"/>
      <c r="AB24" s="99"/>
      <c r="AC24" s="71">
        <f ca="1">Table2[[#This Row],[End Date]]+2-TODAY()</f>
        <v>59</v>
      </c>
      <c r="AD24" s="15">
        <f>IF(ISBLANK(Table2[[#This Row],[Roster Received By]]),1,0)</f>
        <v>1</v>
      </c>
      <c r="AE24" s="15">
        <f ca="1">IF(Table2[[#This Row],[Start Date]]&gt;TODAY(),1,)</f>
        <v>1</v>
      </c>
      <c r="AF24" s="106"/>
    </row>
    <row r="25" spans="1:32" x14ac:dyDescent="0.25">
      <c r="A25" s="62"/>
      <c r="B25" s="99" t="s">
        <v>165</v>
      </c>
      <c r="C25" s="100" t="str">
        <f>VLOOKUP(Table2[[#This Row],[Course Title]],'TSD-Data'!$A$1:$E$56,2,FALSE)</f>
        <v>A-322-2604</v>
      </c>
      <c r="D25" s="100" t="str">
        <f>VLOOKUP(Table2[[#This Row],[Course Title]],'TSD-Data'!$A$1:$E$56,3,FALSE)</f>
        <v>10ZZ</v>
      </c>
      <c r="E25" s="99" t="s">
        <v>80</v>
      </c>
      <c r="F25" s="102">
        <v>45586</v>
      </c>
      <c r="G25" s="102">
        <v>45590</v>
      </c>
      <c r="H25" s="105"/>
      <c r="I25" s="105">
        <v>0.33333333333333331</v>
      </c>
      <c r="J25" s="105">
        <v>0.20833333333333334</v>
      </c>
      <c r="K25" s="105">
        <v>0.625</v>
      </c>
      <c r="L25" s="105">
        <v>0.58333333333333337</v>
      </c>
      <c r="M25" s="105">
        <v>8.3333333333333329E-2</v>
      </c>
      <c r="N25" s="105">
        <v>0.875</v>
      </c>
      <c r="O25" s="108" t="s">
        <v>124</v>
      </c>
      <c r="P25" s="15"/>
      <c r="Q25" s="15">
        <f>VLOOKUP(Table2[[#This Row],[Course Title]],'TSD-Data'!$A$1:$E$56,4,FALSE)</f>
        <v>45</v>
      </c>
      <c r="R25" s="15">
        <f>VLOOKUP(Table2[[#This Row],[Course Title]],'TSD-Data'!$A$1:$F$53,6,FALSE)</f>
        <v>24</v>
      </c>
      <c r="S25" s="15">
        <f>VLOOKUP(Table2[[#This Row],[Course Title]],'TSD-Data'!$A$1:$E$56,5,FALSE)</f>
        <v>3</v>
      </c>
      <c r="T25" s="15">
        <v>357</v>
      </c>
      <c r="U25" s="15"/>
      <c r="V25" s="15"/>
      <c r="W25" s="15"/>
      <c r="X25" s="103"/>
      <c r="Y25" s="15"/>
      <c r="Z25" s="15"/>
      <c r="AA25" s="15"/>
      <c r="AB25" s="99"/>
      <c r="AC25" s="71">
        <f ca="1">Table2[[#This Row],[End Date]]+2-TODAY()</f>
        <v>60</v>
      </c>
      <c r="AD25" s="15">
        <f>IF(ISBLANK(Table2[[#This Row],[Roster Received By]]),1,0)</f>
        <v>1</v>
      </c>
      <c r="AE25" s="15">
        <f ca="1">IF(Table2[[#This Row],[Start Date]]&gt;TODAY(),1,)</f>
        <v>1</v>
      </c>
      <c r="AF25" s="106"/>
    </row>
    <row r="26" spans="1:32" x14ac:dyDescent="0.25">
      <c r="A26" s="62"/>
      <c r="B26" s="99" t="s">
        <v>59</v>
      </c>
      <c r="C26" s="100" t="str">
        <f>VLOOKUP(Table2[[#This Row],[Course Title]],'TSD-Data'!$A$1:$E$56,2,FALSE)</f>
        <v>A-493-0550</v>
      </c>
      <c r="D26" s="100" t="str">
        <f>VLOOKUP(Table2[[#This Row],[Course Title]],'TSD-Data'!$A$1:$E$56,3,FALSE)</f>
        <v>09K5</v>
      </c>
      <c r="E26" s="99" t="s">
        <v>80</v>
      </c>
      <c r="F26" s="102">
        <v>45586</v>
      </c>
      <c r="G26" s="102">
        <v>45589</v>
      </c>
      <c r="H26" s="102"/>
      <c r="I26" s="101">
        <v>0.33333333333333331</v>
      </c>
      <c r="J26" s="105">
        <v>0.20833333333333334</v>
      </c>
      <c r="K26" s="105">
        <v>0.625</v>
      </c>
      <c r="L26" s="105">
        <v>0.58333333333333337</v>
      </c>
      <c r="M26" s="105">
        <v>8.3333333333333329E-2</v>
      </c>
      <c r="N26" s="105">
        <v>0.875</v>
      </c>
      <c r="O26" s="108" t="s">
        <v>145</v>
      </c>
      <c r="P26" s="15"/>
      <c r="Q26" s="15">
        <f>VLOOKUP(Table2[[#This Row],[Course Title]],'TSD-Data'!$A$1:$E$56,4,FALSE)</f>
        <v>45</v>
      </c>
      <c r="R26" s="15">
        <f>VLOOKUP(Table2[[#This Row],[Course Title]],'TSD-Data'!$A$1:$F$53,6,FALSE)</f>
        <v>32</v>
      </c>
      <c r="S26" s="15">
        <f>VLOOKUP(Table2[[#This Row],[Course Title]],'TSD-Data'!$A$1:$E$56,5,FALSE)</f>
        <v>4</v>
      </c>
      <c r="T26" s="15">
        <v>845</v>
      </c>
      <c r="U26" s="15"/>
      <c r="V26" s="15"/>
      <c r="W26" s="15"/>
      <c r="X26" s="103"/>
      <c r="Y26" s="15"/>
      <c r="Z26" s="15"/>
      <c r="AA26" s="15"/>
      <c r="AB26" s="99"/>
      <c r="AC26" s="71">
        <f ca="1">Table2[[#This Row],[End Date]]+2-TODAY()</f>
        <v>59</v>
      </c>
      <c r="AD26" s="15">
        <f>IF(ISBLANK(Table2[[#This Row],[Roster Received By]]),1,0)</f>
        <v>1</v>
      </c>
      <c r="AE26" s="15">
        <f ca="1">IF(Table2[[#This Row],[Start Date]]&gt;TODAY(),1,)</f>
        <v>1</v>
      </c>
      <c r="AF26" s="106"/>
    </row>
    <row r="27" spans="1:32" s="391" customFormat="1" x14ac:dyDescent="0.25">
      <c r="A27" s="363"/>
      <c r="B27" s="364" t="s">
        <v>17</v>
      </c>
      <c r="C27" s="365" t="str">
        <f>VLOOKUP(Table2[[#This Row],[Course Title]],'TSD-Data'!$A$1:$E$56,2,FALSE)</f>
        <v>A-493-0012</v>
      </c>
      <c r="D27" s="365">
        <f>VLOOKUP(Table2[[#This Row],[Course Title]],'TSD-Data'!$A$1:$E$56,3,FALSE)</f>
        <v>3682</v>
      </c>
      <c r="E27" s="364" t="s">
        <v>241</v>
      </c>
      <c r="F27" s="366">
        <v>45586</v>
      </c>
      <c r="G27" s="366">
        <v>45589</v>
      </c>
      <c r="H27" s="158">
        <v>0.33333333333333331</v>
      </c>
      <c r="I27" s="378"/>
      <c r="J27" s="366"/>
      <c r="K27" s="366"/>
      <c r="L27" s="366"/>
      <c r="M27" s="366"/>
      <c r="N27" s="366"/>
      <c r="O27" s="368" t="s">
        <v>94</v>
      </c>
      <c r="P27" s="369"/>
      <c r="Q27" s="370">
        <f>VLOOKUP(Table2[[#This Row],[Course Title]],'TSD-Data'!$A$1:$E$56,4,FALSE)</f>
        <v>40</v>
      </c>
      <c r="R27" s="369">
        <f>VLOOKUP(Table2[[#This Row],[Course Title]],'TSD-Data'!$A$1:$F$53,6,FALSE)</f>
        <v>40</v>
      </c>
      <c r="S27" s="371">
        <f>VLOOKUP(Table2[[#This Row],[Course Title]],'TSD-Data'!$A$1:$E$56,5,FALSE)</f>
        <v>5</v>
      </c>
      <c r="T27" s="157"/>
      <c r="U27" s="157"/>
      <c r="V27" s="157"/>
      <c r="W27" s="370"/>
      <c r="X27" s="370"/>
      <c r="Y27" s="369"/>
      <c r="Z27" s="369"/>
      <c r="AA27" s="369"/>
      <c r="AB27" s="364"/>
      <c r="AC27" s="372">
        <f ca="1">Table2[[#This Row],[End Date]]+2-TODAY()</f>
        <v>59</v>
      </c>
      <c r="AD27" s="369">
        <f>IF(ISBLANK(Table2[[#This Row],[Roster Received By]]),1,0)</f>
        <v>1</v>
      </c>
      <c r="AE27" s="369">
        <f ca="1">IF(Table2[[#This Row],[Start Date]]&gt;TODAY(),1,)</f>
        <v>1</v>
      </c>
      <c r="AF27" s="390"/>
    </row>
    <row r="28" spans="1:32" x14ac:dyDescent="0.25">
      <c r="A28" s="62"/>
      <c r="B28" s="99" t="s">
        <v>40</v>
      </c>
      <c r="C28" s="100" t="str">
        <f>VLOOKUP(Table2[[#This Row],[Course Title]],'TSD-Data'!$A$1:$E$56,2,FALSE)</f>
        <v>A-493-2098</v>
      </c>
      <c r="D28" s="100" t="str">
        <f>VLOOKUP(Table2[[#This Row],[Course Title]],'TSD-Data'!$A$1:$E$56,3,FALSE)</f>
        <v>09WW</v>
      </c>
      <c r="E28" s="99" t="s">
        <v>80</v>
      </c>
      <c r="F28" s="102">
        <v>45592</v>
      </c>
      <c r="G28" s="102">
        <v>45596</v>
      </c>
      <c r="H28" s="105"/>
      <c r="I28" s="105">
        <v>0.79166666666666663</v>
      </c>
      <c r="J28" s="101">
        <v>0.66666666666666663</v>
      </c>
      <c r="K28" s="101">
        <v>8.3333333333333329E-2</v>
      </c>
      <c r="L28" s="101">
        <v>0</v>
      </c>
      <c r="M28" s="101">
        <v>0.54166666666666663</v>
      </c>
      <c r="N28" s="101">
        <v>0.33333333333333331</v>
      </c>
      <c r="O28" s="15" t="s">
        <v>110</v>
      </c>
      <c r="P28" s="15"/>
      <c r="Q28" s="15">
        <f>VLOOKUP(Table2[[#This Row],[Course Title]],'TSD-Data'!$A$1:$E$56,4,FALSE)</f>
        <v>100</v>
      </c>
      <c r="R28" s="15">
        <f>VLOOKUP(Table2[[#This Row],[Course Title]],'TSD-Data'!$A$1:$F$53,6,FALSE)</f>
        <v>16</v>
      </c>
      <c r="S28" s="15">
        <f>VLOOKUP(Table2[[#This Row],[Course Title]],'TSD-Data'!$A$1:$E$56,5,FALSE)</f>
        <v>2</v>
      </c>
      <c r="T28" s="15">
        <v>161</v>
      </c>
      <c r="U28" s="15"/>
      <c r="V28" s="15"/>
      <c r="W28" s="103"/>
      <c r="X28" s="103"/>
      <c r="Y28" s="15"/>
      <c r="Z28" s="15"/>
      <c r="AA28" s="15"/>
      <c r="AB28" s="99"/>
      <c r="AC28" s="71">
        <f ca="1">Table2[[#This Row],[End Date]]+2-TODAY()</f>
        <v>66</v>
      </c>
      <c r="AD28" s="15">
        <f>IF(ISBLANK(Table2[[#This Row],[Roster Received By]]),1,0)</f>
        <v>1</v>
      </c>
      <c r="AE28" s="15">
        <f ca="1">IF(Table2[[#This Row],[Start Date]]&gt;TODAY(),1,)</f>
        <v>1</v>
      </c>
      <c r="AF28" s="106"/>
    </row>
    <row r="29" spans="1:32" x14ac:dyDescent="0.25">
      <c r="A29" s="62"/>
      <c r="B29" s="116" t="s">
        <v>88</v>
      </c>
      <c r="C29" s="100" t="str">
        <f>VLOOKUP(Table2[[#This Row],[Course Title]],'TSD-Data'!$A$1:$E$56,2,FALSE)</f>
        <v>A-493-0014</v>
      </c>
      <c r="D29" s="100">
        <f>VLOOKUP(Table2[[#This Row],[Course Title]],'TSD-Data'!$A$1:$E$56,3,FALSE)</f>
        <v>3878</v>
      </c>
      <c r="E29" s="65" t="s">
        <v>267</v>
      </c>
      <c r="F29" s="102">
        <v>45593</v>
      </c>
      <c r="G29" s="102">
        <v>45595</v>
      </c>
      <c r="H29" s="105">
        <v>0.33333333333333331</v>
      </c>
      <c r="I29" s="226"/>
      <c r="J29" s="108"/>
      <c r="K29" s="108"/>
      <c r="L29" s="108"/>
      <c r="M29" s="108"/>
      <c r="N29" s="108"/>
      <c r="O29" s="15" t="s">
        <v>175</v>
      </c>
      <c r="P29" s="15"/>
      <c r="Q29" s="15">
        <f>VLOOKUP(Table2[[#This Row],[Course Title]],'TSD-Data'!$A$1:$E$56,4,FALSE)</f>
        <v>25</v>
      </c>
      <c r="R29" s="15">
        <f>VLOOKUP(Table2[[#This Row],[Course Title]],'TSD-Data'!$A$1:$F$53,6,FALSE)</f>
        <v>24</v>
      </c>
      <c r="S29" s="15">
        <f>VLOOKUP(Table2[[#This Row],[Course Title]],'TSD-Data'!$A$1:$E$56,5,FALSE)</f>
        <v>3</v>
      </c>
      <c r="T29" s="15">
        <v>66</v>
      </c>
      <c r="U29" s="15"/>
      <c r="V29" s="15"/>
      <c r="W29" s="15"/>
      <c r="X29" s="103"/>
      <c r="Y29" s="15"/>
      <c r="Z29" s="15"/>
      <c r="AA29" s="15"/>
      <c r="AB29" s="99"/>
      <c r="AC29" s="71">
        <f ca="1">Table2[[#This Row],[End Date]]+2-TODAY()</f>
        <v>65</v>
      </c>
      <c r="AD29" s="15">
        <f>IF(ISBLANK(Table2[[#This Row],[Roster Received By]]),1,0)</f>
        <v>1</v>
      </c>
      <c r="AE29" s="15">
        <f ca="1">IF(Table2[[#This Row],[Start Date]]&gt;TODAY(),1,)</f>
        <v>1</v>
      </c>
      <c r="AF29" s="106"/>
    </row>
    <row r="30" spans="1:32" x14ac:dyDescent="0.25">
      <c r="A30" s="62"/>
      <c r="B30" s="116" t="s">
        <v>61</v>
      </c>
      <c r="C30" s="100" t="str">
        <f>VLOOKUP(Table2[[#This Row],[Course Title]],'TSD-Data'!$A$1:$E$56,2,FALSE)</f>
        <v>A-493-0078</v>
      </c>
      <c r="D30" s="100">
        <f>VLOOKUP(Table2[[#This Row],[Course Title]],'TSD-Data'!$A$1:$E$56,3,FALSE)</f>
        <v>1228</v>
      </c>
      <c r="E30" s="99" t="s">
        <v>80</v>
      </c>
      <c r="F30" s="102">
        <v>45593</v>
      </c>
      <c r="G30" s="102">
        <v>45596</v>
      </c>
      <c r="H30" s="105"/>
      <c r="I30" s="105">
        <v>0.33333333333333331</v>
      </c>
      <c r="J30" s="105">
        <v>0.20833333333333334</v>
      </c>
      <c r="K30" s="105">
        <v>0.625</v>
      </c>
      <c r="L30" s="105">
        <v>0.58333333333333337</v>
      </c>
      <c r="M30" s="105">
        <v>8.3333333333333329E-2</v>
      </c>
      <c r="N30" s="105">
        <v>0.875</v>
      </c>
      <c r="O30" s="15" t="s">
        <v>141</v>
      </c>
      <c r="P30" s="15"/>
      <c r="Q30" s="103">
        <f>VLOOKUP(Table2[[#This Row],[Course Title]],'TSD-Data'!$A$1:$E$56,4,FALSE)</f>
        <v>45</v>
      </c>
      <c r="R30" s="15">
        <f>VLOOKUP(Table2[[#This Row],[Course Title]],'TSD-Data'!$A$1:$F$53,6,FALSE)</f>
        <v>32</v>
      </c>
      <c r="S30" s="15">
        <f>VLOOKUP(Table2[[#This Row],[Course Title]],'TSD-Data'!$A$1:$E$56,5,FALSE)</f>
        <v>4</v>
      </c>
      <c r="T30" s="15">
        <v>508</v>
      </c>
      <c r="U30" s="15"/>
      <c r="V30" s="15"/>
      <c r="W30" s="103"/>
      <c r="X30" s="103"/>
      <c r="Y30" s="15"/>
      <c r="Z30" s="15"/>
      <c r="AA30" s="15"/>
      <c r="AB30" s="99"/>
      <c r="AC30" s="71">
        <f ca="1">Table2[[#This Row],[End Date]]+2-TODAY()</f>
        <v>66</v>
      </c>
      <c r="AD30" s="15">
        <f>IF(ISBLANK(Table2[[#This Row],[Roster Received By]]),1,0)</f>
        <v>1</v>
      </c>
      <c r="AE30" s="15">
        <f ca="1">IF(Table2[[#This Row],[Start Date]]&gt;TODAY(),1,)</f>
        <v>1</v>
      </c>
      <c r="AF30" s="106"/>
    </row>
    <row r="31" spans="1:32" x14ac:dyDescent="0.25">
      <c r="A31" s="151" t="s">
        <v>377</v>
      </c>
      <c r="B31" s="116" t="s">
        <v>53</v>
      </c>
      <c r="C31" s="100" t="str">
        <f>VLOOKUP(Table2[[#This Row],[Course Title]],'TSD-Data'!$A$1:$E$56,2,FALSE)</f>
        <v>A-493-0072</v>
      </c>
      <c r="D31" s="100" t="str">
        <f>VLOOKUP(Table2[[#This Row],[Course Title]],'TSD-Data'!$A$1:$E$56,3,FALSE)</f>
        <v>713U</v>
      </c>
      <c r="E31" s="99" t="s">
        <v>266</v>
      </c>
      <c r="F31" s="102">
        <v>45593</v>
      </c>
      <c r="G31" s="102">
        <v>45597</v>
      </c>
      <c r="H31" s="105">
        <v>0.33333333333333331</v>
      </c>
      <c r="I31" s="226"/>
      <c r="J31" s="108"/>
      <c r="K31" s="108"/>
      <c r="L31" s="108"/>
      <c r="M31" s="108"/>
      <c r="N31" s="108"/>
      <c r="O31" s="15" t="s">
        <v>171</v>
      </c>
      <c r="P31" s="15"/>
      <c r="Q31" s="15">
        <f>VLOOKUP(Table2[[#This Row],[Course Title]],'TSD-Data'!$A$1:$E$56,4,FALSE)</f>
        <v>30</v>
      </c>
      <c r="R31" s="15">
        <f>VLOOKUP(Table2[[#This Row],[Course Title]],'TSD-Data'!$A$1:$F$53,6,FALSE)</f>
        <v>40</v>
      </c>
      <c r="S31" s="15">
        <f>VLOOKUP(Table2[[#This Row],[Course Title]],'TSD-Data'!$A$1:$E$56,5,FALSE)</f>
        <v>5</v>
      </c>
      <c r="T31" s="15">
        <v>170</v>
      </c>
      <c r="U31" s="15"/>
      <c r="V31" s="15"/>
      <c r="W31" s="15"/>
      <c r="X31" s="103"/>
      <c r="Y31" s="15"/>
      <c r="Z31" s="15"/>
      <c r="AA31" s="15"/>
      <c r="AB31" s="99"/>
      <c r="AC31" s="71">
        <f ca="1">Table2[[#This Row],[End Date]]+2-TODAY()</f>
        <v>67</v>
      </c>
      <c r="AD31" s="15">
        <f>IF(ISBLANK(Table2[[#This Row],[Roster Received By]]),1,0)</f>
        <v>1</v>
      </c>
      <c r="AE31" s="15">
        <f ca="1">IF(Table2[[#This Row],[Start Date]]&gt;TODAY(),1,)</f>
        <v>1</v>
      </c>
      <c r="AF31" s="106"/>
    </row>
    <row r="32" spans="1:32" x14ac:dyDescent="0.25">
      <c r="A32" s="363"/>
      <c r="B32" s="383" t="s">
        <v>28</v>
      </c>
      <c r="C32" s="365" t="str">
        <f>VLOOKUP(Table2[[#This Row],[Course Title]],'TSD-Data'!$A$1:$E$56,2,FALSE)</f>
        <v>A-493-0013</v>
      </c>
      <c r="D32" s="365">
        <f>VLOOKUP(Table2[[#This Row],[Course Title]],'TSD-Data'!$A$1:$E$56,3,FALSE)</f>
        <v>3683</v>
      </c>
      <c r="E32" s="152" t="s">
        <v>86</v>
      </c>
      <c r="F32" s="366">
        <v>45593</v>
      </c>
      <c r="G32" s="366">
        <v>45593</v>
      </c>
      <c r="H32" s="158">
        <v>0.33333333333333331</v>
      </c>
      <c r="I32" s="367"/>
      <c r="J32" s="384"/>
      <c r="K32" s="384"/>
      <c r="L32" s="384"/>
      <c r="M32" s="384"/>
      <c r="N32" s="384"/>
      <c r="O32" s="369" t="s">
        <v>94</v>
      </c>
      <c r="P32" s="369"/>
      <c r="Q32" s="370">
        <f>VLOOKUP(Table2[[#This Row],[Course Title]],'TSD-Data'!$A$1:$E$56,4,FALSE)</f>
        <v>40</v>
      </c>
      <c r="R32" s="369">
        <f>VLOOKUP(Table2[[#This Row],[Course Title]],'TSD-Data'!$A$1:$F$53,6,FALSE)</f>
        <v>24</v>
      </c>
      <c r="S32" s="371">
        <f>VLOOKUP(Table2[[#This Row],[Course Title]],'TSD-Data'!$A$1:$E$56,5,FALSE)</f>
        <v>3</v>
      </c>
      <c r="T32" s="157"/>
      <c r="U32" s="157"/>
      <c r="V32" s="157"/>
      <c r="W32" s="370"/>
      <c r="X32" s="370"/>
      <c r="Y32" s="369"/>
      <c r="Z32" s="369"/>
      <c r="AA32" s="369"/>
      <c r="AB32" s="364"/>
      <c r="AC32" s="372">
        <f ca="1">Table2[[#This Row],[End Date]]+2-TODAY()</f>
        <v>63</v>
      </c>
      <c r="AD32" s="369">
        <f>IF(ISBLANK(Table2[[#This Row],[Roster Received By]]),1,0)</f>
        <v>1</v>
      </c>
      <c r="AE32" s="369">
        <f ca="1">IF(Table2[[#This Row],[Start Date]]&gt;TODAY(),1,)</f>
        <v>1</v>
      </c>
      <c r="AF32" s="106"/>
    </row>
    <row r="33" spans="1:32" x14ac:dyDescent="0.25">
      <c r="A33" s="62"/>
      <c r="B33" s="116" t="s">
        <v>50</v>
      </c>
      <c r="C33" s="100" t="str">
        <f>VLOOKUP(Table2[[#This Row],[Course Title]],'TSD-Data'!$A$1:$E$56,2,FALSE)</f>
        <v>A-493-0331</v>
      </c>
      <c r="D33" s="100" t="str">
        <f>VLOOKUP(Table2[[#This Row],[Course Title]],'TSD-Data'!$A$1:$E$56,3,FALSE)</f>
        <v>10UG</v>
      </c>
      <c r="E33" s="99" t="s">
        <v>80</v>
      </c>
      <c r="F33" s="102">
        <v>45594</v>
      </c>
      <c r="G33" s="102">
        <v>45596</v>
      </c>
      <c r="H33" s="102"/>
      <c r="I33" s="105">
        <v>0.79166666666666663</v>
      </c>
      <c r="J33" s="101">
        <v>0.66666666666666663</v>
      </c>
      <c r="K33" s="101">
        <v>8.3333333333333329E-2</v>
      </c>
      <c r="L33" s="101">
        <v>0</v>
      </c>
      <c r="M33" s="101">
        <v>0.54166666666666663</v>
      </c>
      <c r="N33" s="101">
        <v>0.33333333333333331</v>
      </c>
      <c r="O33" s="15" t="s">
        <v>186</v>
      </c>
      <c r="P33" s="15"/>
      <c r="Q33" s="15">
        <f>VLOOKUP(Table2[[#This Row],[Course Title]],'TSD-Data'!$A$1:$E$56,4,FALSE)</f>
        <v>45</v>
      </c>
      <c r="R33" s="15">
        <f>VLOOKUP(Table2[[#This Row],[Course Title]],'TSD-Data'!$A$1:$F$53,6,FALSE)</f>
        <v>24</v>
      </c>
      <c r="S33" s="15">
        <f>VLOOKUP(Table2[[#This Row],[Course Title]],'TSD-Data'!$A$1:$E$56,5,FALSE)</f>
        <v>3</v>
      </c>
      <c r="T33" s="15">
        <v>169</v>
      </c>
      <c r="U33" s="15"/>
      <c r="V33" s="15"/>
      <c r="W33" s="15"/>
      <c r="X33" s="103"/>
      <c r="Y33" s="15"/>
      <c r="Z33" s="15"/>
      <c r="AA33" s="15"/>
      <c r="AB33" s="99"/>
      <c r="AC33" s="71">
        <f ca="1">Table2[[#This Row],[End Date]]+2-TODAY()</f>
        <v>66</v>
      </c>
      <c r="AD33" s="15">
        <f>IF(ISBLANK(Table2[[#This Row],[Roster Received By]]),1,0)</f>
        <v>1</v>
      </c>
      <c r="AE33" s="15">
        <f ca="1">IF(Table2[[#This Row],[Start Date]]&gt;TODAY(),1,)</f>
        <v>1</v>
      </c>
      <c r="AF33" s="106"/>
    </row>
    <row r="34" spans="1:32" x14ac:dyDescent="0.25">
      <c r="A34" s="62"/>
      <c r="B34" s="116" t="s">
        <v>97</v>
      </c>
      <c r="C34" s="100" t="str">
        <f>VLOOKUP(Table2[[#This Row],[Course Title]],'TSD-Data'!$A$1:$E$56,2,FALSE)</f>
        <v>A-493-0019</v>
      </c>
      <c r="D34" s="100">
        <f>VLOOKUP(Table2[[#This Row],[Course Title]],'TSD-Data'!$A$1:$E$56,3,FALSE)</f>
        <v>3882</v>
      </c>
      <c r="E34" s="99" t="s">
        <v>267</v>
      </c>
      <c r="F34" s="102">
        <v>45596</v>
      </c>
      <c r="G34" s="102">
        <v>45597</v>
      </c>
      <c r="H34" s="105">
        <v>0.33333333333333331</v>
      </c>
      <c r="I34" s="226"/>
      <c r="J34" s="108"/>
      <c r="K34" s="108"/>
      <c r="L34" s="108"/>
      <c r="M34" s="108"/>
      <c r="N34" s="108"/>
      <c r="O34" s="15" t="s">
        <v>175</v>
      </c>
      <c r="P34" s="15"/>
      <c r="Q34" s="15">
        <f>VLOOKUP(Table2[[#This Row],[Course Title]],'TSD-Data'!$A$1:$E$56,4,FALSE)</f>
        <v>25</v>
      </c>
      <c r="R34" s="15">
        <f>VLOOKUP(Table2[[#This Row],[Course Title]],'TSD-Data'!$A$1:$F$53,6,FALSE)</f>
        <v>16</v>
      </c>
      <c r="S34" s="15">
        <f>VLOOKUP(Table2[[#This Row],[Course Title]],'TSD-Data'!$A$1:$E$56,5,FALSE)</f>
        <v>2</v>
      </c>
      <c r="T34" s="15">
        <v>5</v>
      </c>
      <c r="U34" s="15"/>
      <c r="V34" s="15"/>
      <c r="W34" s="15"/>
      <c r="X34" s="103"/>
      <c r="Y34" s="15"/>
      <c r="Z34" s="15"/>
      <c r="AA34" s="15"/>
      <c r="AB34" s="99"/>
      <c r="AC34" s="71">
        <f ca="1">Table2[[#This Row],[End Date]]+2-TODAY()</f>
        <v>67</v>
      </c>
      <c r="AD34" s="15">
        <f>IF(ISBLANK(Table2[[#This Row],[Roster Received By]]),1,0)</f>
        <v>1</v>
      </c>
      <c r="AE34" s="15">
        <f ca="1">IF(Table2[[#This Row],[Start Date]]&gt;TODAY(),1,)</f>
        <v>1</v>
      </c>
      <c r="AF34" s="106"/>
    </row>
    <row r="35" spans="1:32" x14ac:dyDescent="0.25">
      <c r="A35" s="99"/>
      <c r="B35" s="116" t="s">
        <v>165</v>
      </c>
      <c r="C35" s="100" t="str">
        <f>VLOOKUP(Table2[[#This Row],[Course Title]],'TSD-Data'!$A$1:$E$56,2,FALSE)</f>
        <v>A-322-2604</v>
      </c>
      <c r="D35" s="100" t="str">
        <f>VLOOKUP(Table2[[#This Row],[Course Title]],'TSD-Data'!$A$1:$E$56,3,FALSE)</f>
        <v>10ZZ</v>
      </c>
      <c r="E35" s="99" t="s">
        <v>80</v>
      </c>
      <c r="F35" s="67">
        <v>45599</v>
      </c>
      <c r="G35" s="67">
        <v>45603</v>
      </c>
      <c r="H35" s="67"/>
      <c r="I35" s="101">
        <v>0.79166666666666663</v>
      </c>
      <c r="J35" s="101">
        <v>0.66666666666666663</v>
      </c>
      <c r="K35" s="101">
        <v>8.3333333333333329E-2</v>
      </c>
      <c r="L35" s="101">
        <v>0</v>
      </c>
      <c r="M35" s="101">
        <v>0.54166666666666663</v>
      </c>
      <c r="N35" s="101">
        <v>0.33333333333333331</v>
      </c>
      <c r="O35" s="15" t="s">
        <v>124</v>
      </c>
      <c r="P35" s="15"/>
      <c r="Q35" s="15">
        <f>VLOOKUP(Table2[[#This Row],[Course Title]],'TSD-Data'!$A$1:$E$56,4,FALSE)</f>
        <v>45</v>
      </c>
      <c r="R35" s="15">
        <f>VLOOKUP(Table2[[#This Row],[Course Title]],'TSD-Data'!$A$1:$F$53,6,FALSE)</f>
        <v>24</v>
      </c>
      <c r="S35" s="15">
        <f>VLOOKUP(Table2[[#This Row],[Course Title]],'TSD-Data'!$A$1:$E$56,5,FALSE)</f>
        <v>3</v>
      </c>
      <c r="T35" s="15">
        <v>105</v>
      </c>
      <c r="U35" s="15"/>
      <c r="V35" s="15"/>
      <c r="W35" s="15"/>
      <c r="X35" s="103"/>
      <c r="Y35" s="15"/>
      <c r="Z35" s="15"/>
      <c r="AA35" s="100"/>
      <c r="AB35" s="99"/>
      <c r="AC35" s="71">
        <f ca="1">Table2[[#This Row],[End Date]]+2-TODAY()</f>
        <v>73</v>
      </c>
      <c r="AD35" s="15">
        <f>IF(ISBLANK(Table2[[#This Row],[Roster Received By]]),1,0)</f>
        <v>1</v>
      </c>
      <c r="AE35" s="15">
        <f ca="1">IF(Table2[[#This Row],[Start Date]]&gt;TODAY(),1,)</f>
        <v>1</v>
      </c>
      <c r="AF35" s="106"/>
    </row>
    <row r="36" spans="1:32" x14ac:dyDescent="0.25">
      <c r="A36" s="62"/>
      <c r="B36" s="116" t="s">
        <v>15</v>
      </c>
      <c r="C36" s="100" t="str">
        <f>VLOOKUP(Table2[[#This Row],[Course Title]],'TSD-Data'!$A$1:$E$56,2,FALSE)</f>
        <v>A-4J-0022</v>
      </c>
      <c r="D36" s="100" t="str">
        <f>VLOOKUP(Table2[[#This Row],[Course Title]],'TSD-Data'!$A$1:$E$56,3,FALSE)</f>
        <v>09ER</v>
      </c>
      <c r="E36" s="99" t="s">
        <v>80</v>
      </c>
      <c r="F36" s="102">
        <v>45600</v>
      </c>
      <c r="G36" s="102">
        <v>45604</v>
      </c>
      <c r="H36" s="105"/>
      <c r="I36" s="101">
        <v>0.79166666666666663</v>
      </c>
      <c r="J36" s="101">
        <v>0.66666666666666663</v>
      </c>
      <c r="K36" s="101">
        <v>8.3333333333333329E-2</v>
      </c>
      <c r="L36" s="101">
        <v>0</v>
      </c>
      <c r="M36" s="101">
        <v>0.54166666666666663</v>
      </c>
      <c r="N36" s="101">
        <v>0.33333333333333331</v>
      </c>
      <c r="O36" s="15" t="s">
        <v>79</v>
      </c>
      <c r="P36" s="15"/>
      <c r="Q36" s="15">
        <f>VLOOKUP(Table2[[#This Row],[Course Title]],'TSD-Data'!$A$1:$E$56,4,FALSE)</f>
        <v>45</v>
      </c>
      <c r="R36" s="15">
        <f>VLOOKUP(Table2[[#This Row],[Course Title]],'TSD-Data'!$A$1:$F$53,6,FALSE)</f>
        <v>16</v>
      </c>
      <c r="S36" s="15">
        <f>VLOOKUP(Table2[[#This Row],[Course Title]],'TSD-Data'!$A$1:$E$56,5,FALSE)</f>
        <v>2</v>
      </c>
      <c r="T36" s="15">
        <v>58</v>
      </c>
      <c r="U36" s="15"/>
      <c r="V36" s="15"/>
      <c r="W36" s="15"/>
      <c r="X36" s="103"/>
      <c r="Y36" s="15"/>
      <c r="Z36" s="15"/>
      <c r="AA36" s="15"/>
      <c r="AB36" s="99"/>
      <c r="AC36" s="71">
        <f ca="1">Table2[[#This Row],[End Date]]+2-TODAY()</f>
        <v>74</v>
      </c>
      <c r="AD36" s="15">
        <f>IF(ISBLANK(Table2[[#This Row],[Roster Received By]]),1,0)</f>
        <v>1</v>
      </c>
      <c r="AE36" s="15">
        <f ca="1">IF(Table2[[#This Row],[Start Date]]&gt;TODAY(),1,)</f>
        <v>1</v>
      </c>
      <c r="AF36" s="106"/>
    </row>
    <row r="37" spans="1:32" x14ac:dyDescent="0.25">
      <c r="A37" s="62"/>
      <c r="B37" s="116" t="s">
        <v>38</v>
      </c>
      <c r="C37" s="100" t="str">
        <f>VLOOKUP(Table2[[#This Row],[Course Title]],'TSD-Data'!$A$1:$E$56,2,FALSE)</f>
        <v>A-493-0061</v>
      </c>
      <c r="D37" s="100" t="str">
        <f>VLOOKUP(Table2[[#This Row],[Course Title]],'TSD-Data'!$A$1:$E$56,3,FALSE)</f>
        <v>288E</v>
      </c>
      <c r="E37" s="99" t="s">
        <v>80</v>
      </c>
      <c r="F37" s="102">
        <v>45600</v>
      </c>
      <c r="G37" s="102">
        <v>45603</v>
      </c>
      <c r="H37" s="105"/>
      <c r="I37" s="101">
        <v>0.54166666666666663</v>
      </c>
      <c r="J37" s="101">
        <v>0.41666666666666669</v>
      </c>
      <c r="K37" s="101">
        <v>0.875</v>
      </c>
      <c r="L37" s="101">
        <v>0.79166666666666663</v>
      </c>
      <c r="M37" s="101">
        <v>0.33333333333333331</v>
      </c>
      <c r="N37" s="101">
        <v>0.125</v>
      </c>
      <c r="O37" s="15" t="s">
        <v>138</v>
      </c>
      <c r="P37" s="15"/>
      <c r="Q37" s="15">
        <f>VLOOKUP(Table2[[#This Row],[Course Title]],'TSD-Data'!$A$1:$E$56,4,FALSE)</f>
        <v>45</v>
      </c>
      <c r="R37" s="15">
        <f>VLOOKUP(Table2[[#This Row],[Course Title]],'TSD-Data'!$A$1:$F$53,6,FALSE)</f>
        <v>30</v>
      </c>
      <c r="S37" s="15">
        <f>VLOOKUP(Table2[[#This Row],[Course Title]],'TSD-Data'!$A$1:$E$56,5,FALSE)</f>
        <v>4</v>
      </c>
      <c r="T37" s="15">
        <v>533</v>
      </c>
      <c r="U37" s="15"/>
      <c r="V37" s="15"/>
      <c r="W37" s="15"/>
      <c r="X37" s="103"/>
      <c r="Y37" s="15"/>
      <c r="Z37" s="15"/>
      <c r="AA37" s="15"/>
      <c r="AB37" s="99"/>
      <c r="AC37" s="71">
        <f ca="1">Table2[[#This Row],[End Date]]+2-TODAY()</f>
        <v>73</v>
      </c>
      <c r="AD37" s="15">
        <f>IF(ISBLANK(Table2[[#This Row],[Roster Received By]]),1,0)</f>
        <v>1</v>
      </c>
      <c r="AE37" s="15">
        <f ca="1">IF(Table2[[#This Row],[Start Date]]&gt;TODAY(),1,)</f>
        <v>1</v>
      </c>
      <c r="AF37" s="106"/>
    </row>
    <row r="38" spans="1:32" x14ac:dyDescent="0.25">
      <c r="A38" s="62"/>
      <c r="B38" s="116" t="s">
        <v>51</v>
      </c>
      <c r="C38" s="100" t="str">
        <f>VLOOKUP(Table2[[#This Row],[Course Title]],'TSD-Data'!$A$1:$E$56,2,FALSE)</f>
        <v>A-493-0335</v>
      </c>
      <c r="D38" s="100" t="str">
        <f>VLOOKUP(Table2[[#This Row],[Course Title]],'TSD-Data'!$A$1:$E$56,3,FALSE)</f>
        <v>09ND</v>
      </c>
      <c r="E38" s="99" t="s">
        <v>80</v>
      </c>
      <c r="F38" s="102">
        <v>45600</v>
      </c>
      <c r="G38" s="102">
        <v>45603</v>
      </c>
      <c r="H38" s="108"/>
      <c r="I38" s="101">
        <v>0.5</v>
      </c>
      <c r="J38" s="101">
        <v>0.375</v>
      </c>
      <c r="K38" s="101">
        <v>0.79166666666666663</v>
      </c>
      <c r="L38" s="101">
        <v>0.75</v>
      </c>
      <c r="M38" s="101">
        <v>0.25</v>
      </c>
      <c r="N38" s="101">
        <v>4.1666666666666664E-2</v>
      </c>
      <c r="O38" s="15" t="s">
        <v>179</v>
      </c>
      <c r="P38" s="15"/>
      <c r="Q38" s="15">
        <f>VLOOKUP(Table2[[#This Row],[Course Title]],'TSD-Data'!$A$1:$E$56,4,FALSE)</f>
        <v>45</v>
      </c>
      <c r="R38" s="15">
        <f>VLOOKUP(Table2[[#This Row],[Course Title]],'TSD-Data'!$A$1:$F$53,6,FALSE)</f>
        <v>32</v>
      </c>
      <c r="S38" s="15">
        <f>VLOOKUP(Table2[[#This Row],[Course Title]],'TSD-Data'!$A$1:$E$56,5,FALSE)</f>
        <v>4</v>
      </c>
      <c r="T38" s="15">
        <v>400</v>
      </c>
      <c r="U38" s="15"/>
      <c r="V38" s="15"/>
      <c r="W38" s="15"/>
      <c r="X38" s="103"/>
      <c r="Y38" s="15"/>
      <c r="Z38" s="15"/>
      <c r="AA38" s="107"/>
      <c r="AB38" s="99"/>
      <c r="AC38" s="71">
        <f ca="1">Table2[[#This Row],[End Date]]+2-TODAY()</f>
        <v>73</v>
      </c>
      <c r="AD38" s="15">
        <f>IF(ISBLANK(Table2[[#This Row],[Roster Received By]]),1,0)</f>
        <v>1</v>
      </c>
      <c r="AE38" s="15">
        <f ca="1">IF(Table2[[#This Row],[Start Date]]&gt;TODAY(),1,)</f>
        <v>1</v>
      </c>
      <c r="AF38" s="106"/>
    </row>
    <row r="39" spans="1:32" x14ac:dyDescent="0.25">
      <c r="A39" s="99"/>
      <c r="B39" s="99" t="s">
        <v>59</v>
      </c>
      <c r="C39" s="100" t="str">
        <f>VLOOKUP(Table2[[#This Row],[Course Title]],'TSD-Data'!$A$1:$E$56,2,FALSE)</f>
        <v>A-493-0550</v>
      </c>
      <c r="D39" s="100" t="str">
        <f>VLOOKUP(Table2[[#This Row],[Course Title]],'TSD-Data'!$A$1:$E$56,3,FALSE)</f>
        <v>09K5</v>
      </c>
      <c r="E39" s="99" t="s">
        <v>80</v>
      </c>
      <c r="F39" s="102">
        <v>45600</v>
      </c>
      <c r="G39" s="102">
        <v>45603</v>
      </c>
      <c r="H39" s="105"/>
      <c r="I39" s="105">
        <v>0.41666666666666669</v>
      </c>
      <c r="J39" s="101">
        <v>0.29166666666666669</v>
      </c>
      <c r="K39" s="101">
        <v>0.70833333333333337</v>
      </c>
      <c r="L39" s="101">
        <v>0.66666666666666663</v>
      </c>
      <c r="M39" s="101">
        <v>0.16666666666666666</v>
      </c>
      <c r="N39" s="101">
        <v>0.95833333333333337</v>
      </c>
      <c r="O39" s="15" t="s">
        <v>145</v>
      </c>
      <c r="P39" s="15"/>
      <c r="Q39" s="15">
        <f>VLOOKUP(Table2[[#This Row],[Course Title]],'TSD-Data'!$A$1:$E$56,4,FALSE)</f>
        <v>45</v>
      </c>
      <c r="R39" s="15">
        <f>VLOOKUP(Table2[[#This Row],[Course Title]],'TSD-Data'!$A$1:$F$53,6,FALSE)</f>
        <v>32</v>
      </c>
      <c r="S39" s="15">
        <f>VLOOKUP(Table2[[#This Row],[Course Title]],'TSD-Data'!$A$1:$E$56,5,FALSE)</f>
        <v>4</v>
      </c>
      <c r="T39" s="15">
        <v>465</v>
      </c>
      <c r="U39" s="15"/>
      <c r="V39" s="15"/>
      <c r="W39" s="15"/>
      <c r="X39" s="103"/>
      <c r="Y39" s="15"/>
      <c r="Z39" s="15"/>
      <c r="AA39" s="15"/>
      <c r="AB39" s="99"/>
      <c r="AC39" s="71">
        <f ca="1">Table2[[#This Row],[End Date]]+2-TODAY()</f>
        <v>73</v>
      </c>
      <c r="AD39" s="15">
        <f>IF(ISBLANK(Table2[[#This Row],[Roster Received By]]),1,0)</f>
        <v>1</v>
      </c>
      <c r="AE39" s="15">
        <f ca="1">IF(Table2[[#This Row],[Start Date]]&gt;TODAY(),1,)</f>
        <v>1</v>
      </c>
      <c r="AF39" s="106"/>
    </row>
    <row r="40" spans="1:32" x14ac:dyDescent="0.25">
      <c r="A40" s="99"/>
      <c r="B40" s="116" t="s">
        <v>61</v>
      </c>
      <c r="C40" s="100" t="str">
        <f>VLOOKUP(Table2[[#This Row],[Course Title]],'TSD-Data'!$A$1:$E$56,2,FALSE)</f>
        <v>A-493-0078</v>
      </c>
      <c r="D40" s="100">
        <f>VLOOKUP(Table2[[#This Row],[Course Title]],'TSD-Data'!$A$1:$E$56,3,FALSE)</f>
        <v>1228</v>
      </c>
      <c r="E40" s="99" t="s">
        <v>80</v>
      </c>
      <c r="F40" s="102">
        <v>45600</v>
      </c>
      <c r="G40" s="102">
        <v>45603</v>
      </c>
      <c r="H40" s="105"/>
      <c r="I40" s="105">
        <v>0.41666666666666669</v>
      </c>
      <c r="J40" s="101">
        <v>0.29166666666666669</v>
      </c>
      <c r="K40" s="101">
        <v>0.70833333333333337</v>
      </c>
      <c r="L40" s="101">
        <v>0.66666666666666663</v>
      </c>
      <c r="M40" s="101">
        <v>0.16666666666666666</v>
      </c>
      <c r="N40" s="101">
        <v>0.95833333333333337</v>
      </c>
      <c r="O40" s="15" t="s">
        <v>141</v>
      </c>
      <c r="P40" s="15"/>
      <c r="Q40" s="103">
        <f>VLOOKUP(Table2[[#This Row],[Course Title]],'TSD-Data'!$A$1:$E$56,4,FALSE)</f>
        <v>45</v>
      </c>
      <c r="R40" s="15">
        <f>VLOOKUP(Table2[[#This Row],[Course Title]],'TSD-Data'!$A$1:$F$53,6,FALSE)</f>
        <v>32</v>
      </c>
      <c r="S40" s="15">
        <f>VLOOKUP(Table2[[#This Row],[Course Title]],'TSD-Data'!$A$1:$E$56,5,FALSE)</f>
        <v>4</v>
      </c>
      <c r="T40" s="15">
        <v>446</v>
      </c>
      <c r="U40" s="15"/>
      <c r="V40" s="15"/>
      <c r="W40" s="103"/>
      <c r="X40" s="103"/>
      <c r="Y40" s="15"/>
      <c r="Z40" s="15"/>
      <c r="AA40" s="100"/>
      <c r="AB40" s="99"/>
      <c r="AC40" s="71">
        <f ca="1">Table2[[#This Row],[End Date]]+2-TODAY()</f>
        <v>73</v>
      </c>
      <c r="AD40" s="15">
        <f>IF(ISBLANK(Table2[[#This Row],[Roster Received By]]),1,0)</f>
        <v>1</v>
      </c>
      <c r="AE40" s="15">
        <f ca="1">IF(Table2[[#This Row],[Start Date]]&gt;TODAY(),1,)</f>
        <v>1</v>
      </c>
      <c r="AF40" s="106"/>
    </row>
    <row r="41" spans="1:32" x14ac:dyDescent="0.25">
      <c r="A41" s="62" t="s">
        <v>378</v>
      </c>
      <c r="B41" s="99" t="s">
        <v>258</v>
      </c>
      <c r="C41" s="100" t="str">
        <f>VLOOKUP(Table2[[#This Row],[Course Title]],'TSD-Data'!$A$1:$E$56,2,FALSE)</f>
        <v>Holiday</v>
      </c>
      <c r="D41" s="100" t="str">
        <f>VLOOKUP(Table2[[#This Row],[Course Title]],'TSD-Data'!$A$1:$E$56,3,FALSE)</f>
        <v>Holiday</v>
      </c>
      <c r="E41" s="65"/>
      <c r="F41" s="102">
        <v>45607</v>
      </c>
      <c r="G41" s="102">
        <v>45607</v>
      </c>
      <c r="H41" s="105"/>
      <c r="I41" s="105"/>
      <c r="J41" s="102"/>
      <c r="K41" s="102"/>
      <c r="L41" s="102"/>
      <c r="M41" s="102"/>
      <c r="N41" s="102"/>
      <c r="O41" s="15"/>
      <c r="P41" s="15"/>
      <c r="Q41" s="15">
        <f>VLOOKUP(Table2[[#This Row],[Course Title]],'TSD-Data'!$A$1:$E$56,4,FALSE)</f>
        <v>0</v>
      </c>
      <c r="R41" s="15">
        <f>VLOOKUP(Table2[[#This Row],[Course Title]],'TSD-Data'!$A$1:$F$53,6,FALSE)</f>
        <v>0</v>
      </c>
      <c r="S41" s="15">
        <f>VLOOKUP(Table2[[#This Row],[Course Title]],'TSD-Data'!$A$1:$E$56,5,FALSE)</f>
        <v>0</v>
      </c>
      <c r="T41" s="15">
        <v>0</v>
      </c>
      <c r="U41" s="15"/>
      <c r="V41" s="15"/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99" t="s">
        <v>100</v>
      </c>
      <c r="AC41" s="71">
        <f ca="1">Table2[[#This Row],[End Date]]+2-TODAY()</f>
        <v>77</v>
      </c>
      <c r="AD41" s="15">
        <f>IF(ISBLANK(Table2[[#This Row],[Roster Received By]]),1,0)</f>
        <v>0</v>
      </c>
      <c r="AE41" s="15">
        <f ca="1">IF(Table2[[#This Row],[Start Date]]&gt;TODAY(),1,)</f>
        <v>1</v>
      </c>
      <c r="AF41" s="106"/>
    </row>
    <row r="42" spans="1:32" x14ac:dyDescent="0.25">
      <c r="A42" s="62"/>
      <c r="B42" s="116" t="s">
        <v>32</v>
      </c>
      <c r="C42" s="100" t="str">
        <f>VLOOKUP(Table2[[#This Row],[Course Title]],'TSD-Data'!$A$1:$E$56,2,FALSE)</f>
        <v>A-493-2300</v>
      </c>
      <c r="D42" s="100" t="str">
        <f>VLOOKUP(Table2[[#This Row],[Course Title]],'TSD-Data'!$A$1:$E$56,3,FALSE)</f>
        <v>993F</v>
      </c>
      <c r="E42" s="99" t="s">
        <v>206</v>
      </c>
      <c r="F42" s="102">
        <v>45608</v>
      </c>
      <c r="G42" s="102">
        <v>45609</v>
      </c>
      <c r="H42" s="105">
        <v>0.33333333333333331</v>
      </c>
      <c r="I42" s="105"/>
      <c r="J42" s="102"/>
      <c r="K42" s="102"/>
      <c r="L42" s="102"/>
      <c r="M42" s="102"/>
      <c r="N42" s="102"/>
      <c r="O42" s="15" t="s">
        <v>94</v>
      </c>
      <c r="P42" s="15"/>
      <c r="Q42" s="103">
        <f>VLOOKUP(Table2[[#This Row],[Course Title]],'TSD-Data'!$A$1:$E$56,4,FALSE)</f>
        <v>30</v>
      </c>
      <c r="R42" s="15">
        <f>VLOOKUP(Table2[[#This Row],[Course Title]],'TSD-Data'!$A$1:$F$53,6,FALSE)</f>
        <v>16</v>
      </c>
      <c r="S42" s="104">
        <f>VLOOKUP(Table2[[#This Row],[Course Title]],'TSD-Data'!$A$1:$E$56,5,FALSE)</f>
        <v>2</v>
      </c>
      <c r="T42" s="104">
        <v>13</v>
      </c>
      <c r="U42" s="104"/>
      <c r="V42" s="104"/>
      <c r="W42" s="103"/>
      <c r="X42" s="103"/>
      <c r="Y42" s="15"/>
      <c r="Z42" s="15"/>
      <c r="AA42" s="15"/>
      <c r="AB42" s="99"/>
      <c r="AC42" s="71">
        <f ca="1">Table2[[#This Row],[End Date]]+2-TODAY()</f>
        <v>79</v>
      </c>
      <c r="AD42" s="15">
        <f>IF(ISBLANK(Table2[[#This Row],[Roster Received By]]),1,0)</f>
        <v>1</v>
      </c>
      <c r="AE42" s="15">
        <f ca="1">IF(Table2[[#This Row],[Start Date]]&gt;TODAY(),1,)</f>
        <v>1</v>
      </c>
      <c r="AF42" s="138"/>
    </row>
    <row r="43" spans="1:32" x14ac:dyDescent="0.25">
      <c r="A43" s="62"/>
      <c r="B43" s="116" t="s">
        <v>50</v>
      </c>
      <c r="C43" s="100" t="str">
        <f>VLOOKUP(Table2[[#This Row],[Course Title]],'TSD-Data'!$A$1:$E$56,2,FALSE)</f>
        <v>A-493-0331</v>
      </c>
      <c r="D43" s="100" t="str">
        <f>VLOOKUP(Table2[[#This Row],[Course Title]],'TSD-Data'!$A$1:$E$56,3,FALSE)</f>
        <v>10UG</v>
      </c>
      <c r="E43" s="99" t="s">
        <v>80</v>
      </c>
      <c r="F43" s="102">
        <v>45608</v>
      </c>
      <c r="G43" s="102">
        <v>45610</v>
      </c>
      <c r="H43" s="108"/>
      <c r="I43" s="101">
        <v>0.5</v>
      </c>
      <c r="J43" s="101">
        <v>0.375</v>
      </c>
      <c r="K43" s="101">
        <v>0.83333333333333337</v>
      </c>
      <c r="L43" s="101">
        <v>0.75</v>
      </c>
      <c r="M43" s="101">
        <v>0.29166666666666669</v>
      </c>
      <c r="N43" s="101">
        <v>8.3333333333333329E-2</v>
      </c>
      <c r="O43" s="15" t="s">
        <v>186</v>
      </c>
      <c r="P43" s="15"/>
      <c r="Q43" s="15">
        <f>VLOOKUP(Table2[[#This Row],[Course Title]],'TSD-Data'!$A$1:$E$56,4,FALSE)</f>
        <v>45</v>
      </c>
      <c r="R43" s="15">
        <f>VLOOKUP(Table2[[#This Row],[Course Title]],'TSD-Data'!$A$1:$F$53,6,FALSE)</f>
        <v>24</v>
      </c>
      <c r="S43" s="15">
        <f>VLOOKUP(Table2[[#This Row],[Course Title]],'TSD-Data'!$A$1:$E$56,5,FALSE)</f>
        <v>3</v>
      </c>
      <c r="T43" s="15">
        <v>805</v>
      </c>
      <c r="U43" s="15"/>
      <c r="V43" s="15"/>
      <c r="W43" s="15"/>
      <c r="X43" s="103"/>
      <c r="Y43" s="15"/>
      <c r="Z43" s="15"/>
      <c r="AA43" s="15"/>
      <c r="AB43" s="99"/>
      <c r="AC43" s="71">
        <f ca="1">Table2[[#This Row],[End Date]]+2-TODAY()</f>
        <v>80</v>
      </c>
      <c r="AD43" s="15">
        <f>IF(ISBLANK(Table2[[#This Row],[Roster Received By]]),1,0)</f>
        <v>1</v>
      </c>
      <c r="AE43" s="15">
        <f ca="1">IF(Table2[[#This Row],[Start Date]]&gt;TODAY(),1,)</f>
        <v>1</v>
      </c>
      <c r="AF43" s="106"/>
    </row>
    <row r="44" spans="1:32" x14ac:dyDescent="0.25">
      <c r="A44" s="62"/>
      <c r="B44" s="99" t="s">
        <v>49</v>
      </c>
      <c r="C44" s="100" t="str">
        <f>VLOOKUP(Table2[[#This Row],[Course Title]],'TSD-Data'!$A$1:$E$56,2,FALSE)</f>
        <v>A-493-0092</v>
      </c>
      <c r="D44" s="100">
        <f>VLOOKUP(Table2[[#This Row],[Course Title]],'TSD-Data'!$A$1:$E$56,3,FALSE)</f>
        <v>5891</v>
      </c>
      <c r="E44" s="99" t="s">
        <v>267</v>
      </c>
      <c r="F44" s="67">
        <v>45609</v>
      </c>
      <c r="G44" s="67">
        <v>45611</v>
      </c>
      <c r="H44" s="105">
        <v>0.33333333333333331</v>
      </c>
      <c r="I44" s="226"/>
      <c r="J44" s="226"/>
      <c r="K44" s="226"/>
      <c r="L44" s="226"/>
      <c r="M44" s="226"/>
      <c r="N44" s="226"/>
      <c r="O44" s="15" t="s">
        <v>179</v>
      </c>
      <c r="P44" s="15"/>
      <c r="Q44" s="15">
        <f>VLOOKUP(Table2[[#This Row],[Course Title]],'TSD-Data'!$A$1:$E$56,4,FALSE)</f>
        <v>25</v>
      </c>
      <c r="R44" s="15">
        <f>VLOOKUP(Table2[[#This Row],[Course Title]],'TSD-Data'!$A$1:$F$53,6,FALSE)</f>
        <v>24</v>
      </c>
      <c r="S44" s="15">
        <f>VLOOKUP(Table2[[#This Row],[Course Title]],'TSD-Data'!$A$1:$E$56,5,FALSE)</f>
        <v>3</v>
      </c>
      <c r="T44" s="15">
        <v>72</v>
      </c>
      <c r="U44" s="15"/>
      <c r="V44" s="15"/>
      <c r="W44" s="15"/>
      <c r="X44" s="103"/>
      <c r="Y44" s="15"/>
      <c r="Z44" s="15"/>
      <c r="AA44" s="15"/>
      <c r="AB44" s="99"/>
      <c r="AC44" s="71">
        <f ca="1">Table2[[#This Row],[End Date]]+2-TODAY()</f>
        <v>81</v>
      </c>
      <c r="AD44" s="15">
        <f>IF(ISBLANK(Table2[[#This Row],[Roster Received By]]),1,0)</f>
        <v>1</v>
      </c>
      <c r="AE44" s="15">
        <f ca="1">IF(Table2[[#This Row],[Start Date]]&gt;TODAY(),1,)</f>
        <v>1</v>
      </c>
      <c r="AF44" s="106"/>
    </row>
    <row r="45" spans="1:32" x14ac:dyDescent="0.25">
      <c r="A45" s="62"/>
      <c r="B45" s="99" t="s">
        <v>34</v>
      </c>
      <c r="C45" s="100" t="str">
        <f>VLOOKUP(Table2[[#This Row],[Course Title]],'TSD-Data'!$A$1:$E$56,2,FALSE)</f>
        <v>A-493-0216</v>
      </c>
      <c r="D45" s="100" t="str">
        <f>VLOOKUP(Table2[[#This Row],[Course Title]],'TSD-Data'!$A$1:$E$56,3,FALSE)</f>
        <v>12X8</v>
      </c>
      <c r="E45" s="99" t="s">
        <v>206</v>
      </c>
      <c r="F45" s="102">
        <v>45610</v>
      </c>
      <c r="G45" s="102">
        <v>45610</v>
      </c>
      <c r="H45" s="105">
        <v>0.33333333333333331</v>
      </c>
      <c r="I45" s="108"/>
      <c r="J45" s="230"/>
      <c r="K45" s="230"/>
      <c r="L45" s="230"/>
      <c r="M45" s="230"/>
      <c r="N45" s="230"/>
      <c r="O45" s="15" t="s">
        <v>94</v>
      </c>
      <c r="P45" s="15"/>
      <c r="Q45" s="103">
        <f>VLOOKUP(Table2[[#This Row],[Course Title]],'TSD-Data'!$A$1:$E$56,4,FALSE)</f>
        <v>30</v>
      </c>
      <c r="R45" s="15">
        <f>VLOOKUP(Table2[[#This Row],[Course Title]],'TSD-Data'!$A$1:$F$53,6,FALSE)</f>
        <v>8</v>
      </c>
      <c r="S45" s="104">
        <f>VLOOKUP(Table2[[#This Row],[Course Title]],'TSD-Data'!$A$1:$E$56,5,FALSE)</f>
        <v>1</v>
      </c>
      <c r="T45" s="104">
        <v>7</v>
      </c>
      <c r="U45" s="104"/>
      <c r="V45" s="104"/>
      <c r="W45" s="103"/>
      <c r="X45" s="103"/>
      <c r="Y45" s="15"/>
      <c r="Z45" s="15"/>
      <c r="AA45" s="15"/>
      <c r="AB45" s="99"/>
      <c r="AC45" s="71">
        <f ca="1">Table2[[#This Row],[End Date]]+2-TODAY()</f>
        <v>80</v>
      </c>
      <c r="AD45" s="15">
        <f>IF(ISBLANK(Table2[[#This Row],[Roster Received By]]),1,0)</f>
        <v>1</v>
      </c>
      <c r="AE45" s="15">
        <f ca="1">IF(Table2[[#This Row],[Start Date]]&gt;TODAY(),1,)</f>
        <v>1</v>
      </c>
      <c r="AF45" s="106"/>
    </row>
    <row r="46" spans="1:32" x14ac:dyDescent="0.25">
      <c r="A46" s="99"/>
      <c r="B46" s="99" t="s">
        <v>37</v>
      </c>
      <c r="C46" s="100" t="str">
        <f>VLOOKUP(Table2[[#This Row],[Course Title]],'TSD-Data'!$A$1:$E$56,2,FALSE)</f>
        <v>A-493-0665</v>
      </c>
      <c r="D46" s="100" t="str">
        <f>VLOOKUP(Table2[[#This Row],[Course Title]],'TSD-Data'!$A$1:$E$56,3,FALSE)</f>
        <v>10KW</v>
      </c>
      <c r="E46" s="99" t="s">
        <v>80</v>
      </c>
      <c r="F46" s="102">
        <v>45613</v>
      </c>
      <c r="G46" s="102">
        <v>45617</v>
      </c>
      <c r="H46" s="105"/>
      <c r="I46" s="105">
        <v>0.79166666666666663</v>
      </c>
      <c r="J46" s="101">
        <v>0.66666666666666663</v>
      </c>
      <c r="K46" s="101">
        <v>0.125</v>
      </c>
      <c r="L46" s="101">
        <v>4.1666666666666664E-2</v>
      </c>
      <c r="M46" s="101">
        <v>0.58333333333333337</v>
      </c>
      <c r="N46" s="101">
        <v>0.375</v>
      </c>
      <c r="O46" s="15" t="s">
        <v>110</v>
      </c>
      <c r="P46" s="15"/>
      <c r="Q46" s="15">
        <f>VLOOKUP(Table2[[#This Row],[Course Title]],'TSD-Data'!$A$1:$E$56,4,FALSE)</f>
        <v>45</v>
      </c>
      <c r="R46" s="15">
        <f>VLOOKUP(Table2[[#This Row],[Course Title]],'TSD-Data'!$A$1:$F$53,6,FALSE)</f>
        <v>24</v>
      </c>
      <c r="S46" s="15">
        <f>VLOOKUP(Table2[[#This Row],[Course Title]],'TSD-Data'!$A$1:$E$56,5,FALSE)</f>
        <v>3</v>
      </c>
      <c r="T46" s="15">
        <v>39</v>
      </c>
      <c r="U46" s="15"/>
      <c r="V46" s="15"/>
      <c r="W46" s="15"/>
      <c r="X46" s="103"/>
      <c r="Y46" s="15"/>
      <c r="Z46" s="15"/>
      <c r="AA46" s="100"/>
      <c r="AB46" s="99"/>
      <c r="AC46" s="71">
        <f ca="1">Table2[[#This Row],[End Date]]+2-TODAY()</f>
        <v>87</v>
      </c>
      <c r="AD46" s="15">
        <f>IF(ISBLANK(Table2[[#This Row],[Roster Received By]]),1,0)</f>
        <v>1</v>
      </c>
      <c r="AE46" s="15">
        <f ca="1">IF(Table2[[#This Row],[Start Date]]&gt;TODAY(),1,)</f>
        <v>1</v>
      </c>
      <c r="AF46" s="106"/>
    </row>
    <row r="47" spans="1:32" x14ac:dyDescent="0.25">
      <c r="A47" s="62"/>
      <c r="B47" s="116" t="s">
        <v>17</v>
      </c>
      <c r="C47" s="100" t="str">
        <f>VLOOKUP(Table2[[#This Row],[Course Title]],'TSD-Data'!$A$1:$E$56,2,FALSE)</f>
        <v>A-493-0012</v>
      </c>
      <c r="D47" s="100">
        <f>VLOOKUP(Table2[[#This Row],[Course Title]],'TSD-Data'!$A$1:$E$56,3,FALSE)</f>
        <v>3682</v>
      </c>
      <c r="E47" s="65" t="s">
        <v>180</v>
      </c>
      <c r="F47" s="67">
        <v>45614</v>
      </c>
      <c r="G47" s="67">
        <v>45618</v>
      </c>
      <c r="H47" s="105">
        <v>0.33333333333333331</v>
      </c>
      <c r="I47" s="226"/>
      <c r="J47" s="108"/>
      <c r="K47" s="108"/>
      <c r="L47" s="108"/>
      <c r="M47" s="108"/>
      <c r="N47" s="108"/>
      <c r="O47" s="15" t="s">
        <v>94</v>
      </c>
      <c r="P47" s="15"/>
      <c r="Q47" s="15">
        <f>VLOOKUP(Table2[[#This Row],[Course Title]],'TSD-Data'!$A$1:$E$56,4,FALSE)</f>
        <v>40</v>
      </c>
      <c r="R47" s="15">
        <f>VLOOKUP(Table2[[#This Row],[Course Title]],'TSD-Data'!$A$1:$F$53,6,FALSE)</f>
        <v>40</v>
      </c>
      <c r="S47" s="15">
        <f>VLOOKUP(Table2[[#This Row],[Course Title]],'TSD-Data'!$A$1:$E$56,5,FALSE)</f>
        <v>5</v>
      </c>
      <c r="T47" s="15">
        <v>80</v>
      </c>
      <c r="U47" s="15"/>
      <c r="V47" s="15"/>
      <c r="W47" s="15"/>
      <c r="X47" s="103"/>
      <c r="Y47" s="15"/>
      <c r="Z47" s="15"/>
      <c r="AA47" s="100"/>
      <c r="AB47" s="99"/>
      <c r="AC47" s="71">
        <f ca="1">Table2[[#This Row],[End Date]]+2-TODAY()</f>
        <v>88</v>
      </c>
      <c r="AD47" s="15">
        <f>IF(ISBLANK(Table2[[#This Row],[Roster Received By]]),1,0)</f>
        <v>1</v>
      </c>
      <c r="AE47" s="15">
        <f ca="1">IF(Table2[[#This Row],[Start Date]]&gt;TODAY(),1,)</f>
        <v>1</v>
      </c>
      <c r="AF47" s="106"/>
    </row>
    <row r="48" spans="1:32" x14ac:dyDescent="0.25">
      <c r="A48" s="99"/>
      <c r="B48" s="116" t="s">
        <v>32</v>
      </c>
      <c r="C48" s="100" t="str">
        <f>VLOOKUP(Table2[[#This Row],[Course Title]],'TSD-Data'!$A$1:$E$56,2,FALSE)</f>
        <v>A-493-2300</v>
      </c>
      <c r="D48" s="100" t="str">
        <f>VLOOKUP(Table2[[#This Row],[Course Title]],'TSD-Data'!$A$1:$E$56,3,FALSE)</f>
        <v>993F</v>
      </c>
      <c r="E48" s="99" t="s">
        <v>180</v>
      </c>
      <c r="F48" s="102">
        <v>45614</v>
      </c>
      <c r="G48" s="102">
        <v>45615</v>
      </c>
      <c r="H48" s="105">
        <v>0.33333333333333331</v>
      </c>
      <c r="I48" s="105"/>
      <c r="J48" s="102"/>
      <c r="K48" s="102"/>
      <c r="L48" s="102"/>
      <c r="M48" s="102"/>
      <c r="N48" s="102"/>
      <c r="O48" s="15" t="s">
        <v>94</v>
      </c>
      <c r="P48" s="15"/>
      <c r="Q48" s="103">
        <f>VLOOKUP(Table2[[#This Row],[Course Title]],'TSD-Data'!$A$1:$E$56,4,FALSE)</f>
        <v>30</v>
      </c>
      <c r="R48" s="15">
        <f>VLOOKUP(Table2[[#This Row],[Course Title]],'TSD-Data'!$A$1:$F$53,6,FALSE)</f>
        <v>16</v>
      </c>
      <c r="S48" s="104">
        <f>VLOOKUP(Table2[[#This Row],[Course Title]],'TSD-Data'!$A$1:$E$56,5,FALSE)</f>
        <v>2</v>
      </c>
      <c r="T48" s="104">
        <v>6</v>
      </c>
      <c r="U48" s="104"/>
      <c r="V48" s="104"/>
      <c r="W48" s="103"/>
      <c r="X48" s="103"/>
      <c r="Y48" s="15"/>
      <c r="Z48" s="15"/>
      <c r="AA48" s="100"/>
      <c r="AB48" s="99"/>
      <c r="AC48" s="71">
        <f ca="1">Table2[[#This Row],[End Date]]+2-TODAY()</f>
        <v>85</v>
      </c>
      <c r="AD48" s="15">
        <f>IF(ISBLANK(Table2[[#This Row],[Roster Received By]]),1,0)</f>
        <v>1</v>
      </c>
      <c r="AE48" s="15">
        <f ca="1">IF(Table2[[#This Row],[Start Date]]&gt;TODAY(),1,)</f>
        <v>1</v>
      </c>
      <c r="AF48" s="106"/>
    </row>
    <row r="49" spans="1:32" x14ac:dyDescent="0.25">
      <c r="A49" s="62"/>
      <c r="B49" s="116" t="s">
        <v>51</v>
      </c>
      <c r="C49" s="100" t="str">
        <f>VLOOKUP(Table2[[#This Row],[Course Title]],'TSD-Data'!$A$1:$E$56,2,FALSE)</f>
        <v>A-493-0335</v>
      </c>
      <c r="D49" s="100" t="str">
        <f>VLOOKUP(Table2[[#This Row],[Course Title]],'TSD-Data'!$A$1:$E$56,3,FALSE)</f>
        <v>09ND</v>
      </c>
      <c r="E49" s="99" t="s">
        <v>80</v>
      </c>
      <c r="F49" s="102">
        <v>45614</v>
      </c>
      <c r="G49" s="102">
        <v>45617</v>
      </c>
      <c r="H49" s="102"/>
      <c r="I49" s="105">
        <v>0.79166666666666663</v>
      </c>
      <c r="J49" s="101">
        <v>0.66666666666666663</v>
      </c>
      <c r="K49" s="101">
        <v>0.125</v>
      </c>
      <c r="L49" s="101">
        <v>4.1666666666666664E-2</v>
      </c>
      <c r="M49" s="101">
        <v>0.58333333333333337</v>
      </c>
      <c r="N49" s="101">
        <v>0.375</v>
      </c>
      <c r="O49" s="15" t="s">
        <v>116</v>
      </c>
      <c r="P49" s="15"/>
      <c r="Q49" s="15">
        <f>VLOOKUP(Table2[[#This Row],[Course Title]],'TSD-Data'!$A$1:$E$56,4,FALSE)</f>
        <v>45</v>
      </c>
      <c r="R49" s="15">
        <f>VLOOKUP(Table2[[#This Row],[Course Title]],'TSD-Data'!$A$1:$F$53,6,FALSE)</f>
        <v>32</v>
      </c>
      <c r="S49" s="15">
        <f>VLOOKUP(Table2[[#This Row],[Course Title]],'TSD-Data'!$A$1:$E$56,5,FALSE)</f>
        <v>4</v>
      </c>
      <c r="T49" s="15">
        <v>112</v>
      </c>
      <c r="U49" s="15"/>
      <c r="V49" s="15"/>
      <c r="W49" s="15"/>
      <c r="X49" s="103"/>
      <c r="Y49" s="15"/>
      <c r="Z49" s="15"/>
      <c r="AA49" s="15"/>
      <c r="AB49" s="99"/>
      <c r="AC49" s="71">
        <f ca="1">Table2[[#This Row],[End Date]]+2-TODAY()</f>
        <v>87</v>
      </c>
      <c r="AD49" s="15">
        <f>IF(ISBLANK(Table2[[#This Row],[Roster Received By]]),1,0)</f>
        <v>1</v>
      </c>
      <c r="AE49" s="15">
        <f ca="1">IF(Table2[[#This Row],[Start Date]]&gt;TODAY(),1,)</f>
        <v>1</v>
      </c>
      <c r="AF49" s="106"/>
    </row>
    <row r="50" spans="1:32" x14ac:dyDescent="0.25">
      <c r="A50" s="62"/>
      <c r="B50" s="99" t="s">
        <v>59</v>
      </c>
      <c r="C50" s="100" t="str">
        <f>VLOOKUP(Table2[[#This Row],[Course Title]],'TSD-Data'!$A$1:$E$56,2,FALSE)</f>
        <v>A-493-0550</v>
      </c>
      <c r="D50" s="100" t="str">
        <f>VLOOKUP(Table2[[#This Row],[Course Title]],'TSD-Data'!$A$1:$E$56,3,FALSE)</f>
        <v>09K5</v>
      </c>
      <c r="E50" s="99" t="s">
        <v>80</v>
      </c>
      <c r="F50" s="102">
        <v>45614</v>
      </c>
      <c r="G50" s="102">
        <v>45617</v>
      </c>
      <c r="H50" s="105"/>
      <c r="I50" s="101">
        <v>0.33333333333333331</v>
      </c>
      <c r="J50" s="105">
        <v>0.20833333333333334</v>
      </c>
      <c r="K50" s="105">
        <v>0.66666666666666663</v>
      </c>
      <c r="L50" s="105">
        <v>0.58333333333333337</v>
      </c>
      <c r="M50" s="105">
        <v>0.125</v>
      </c>
      <c r="N50" s="105">
        <v>0.91666666666666663</v>
      </c>
      <c r="O50" s="15" t="s">
        <v>145</v>
      </c>
      <c r="P50" s="15"/>
      <c r="Q50" s="15">
        <f>VLOOKUP(Table2[[#This Row],[Course Title]],'TSD-Data'!$A$1:$E$56,4,FALSE)</f>
        <v>45</v>
      </c>
      <c r="R50" s="15">
        <f>VLOOKUP(Table2[[#This Row],[Course Title]],'TSD-Data'!$A$1:$F$53,6,FALSE)</f>
        <v>32</v>
      </c>
      <c r="S50" s="15">
        <f>VLOOKUP(Table2[[#This Row],[Course Title]],'TSD-Data'!$A$1:$E$56,5,FALSE)</f>
        <v>4</v>
      </c>
      <c r="T50" s="15">
        <v>845</v>
      </c>
      <c r="U50" s="15"/>
      <c r="V50" s="15"/>
      <c r="W50" s="15"/>
      <c r="X50" s="103"/>
      <c r="Y50" s="15"/>
      <c r="Z50" s="15"/>
      <c r="AA50" s="15"/>
      <c r="AB50" s="99"/>
      <c r="AC50" s="71">
        <f ca="1">Table2[[#This Row],[End Date]]+2-TODAY()</f>
        <v>87</v>
      </c>
      <c r="AD50" s="15">
        <f>IF(ISBLANK(Table2[[#This Row],[Roster Received By]]),1,0)</f>
        <v>1</v>
      </c>
      <c r="AE50" s="15">
        <f ca="1">IF(Table2[[#This Row],[Start Date]]&gt;TODAY(),1,)</f>
        <v>1</v>
      </c>
      <c r="AF50" s="106"/>
    </row>
    <row r="51" spans="1:32" x14ac:dyDescent="0.25">
      <c r="A51" s="62"/>
      <c r="B51" s="99" t="s">
        <v>61</v>
      </c>
      <c r="C51" s="100" t="str">
        <f>VLOOKUP(Table2[[#This Row],[Course Title]],'TSD-Data'!$A$1:$E$56,2,FALSE)</f>
        <v>A-493-0078</v>
      </c>
      <c r="D51" s="100">
        <f>VLOOKUP(Table2[[#This Row],[Course Title]],'TSD-Data'!$A$1:$E$56,3,FALSE)</f>
        <v>1228</v>
      </c>
      <c r="E51" s="99" t="s">
        <v>80</v>
      </c>
      <c r="F51" s="67">
        <v>45614</v>
      </c>
      <c r="G51" s="67">
        <v>45617</v>
      </c>
      <c r="H51" s="67"/>
      <c r="I51" s="105">
        <v>0.29166666666666669</v>
      </c>
      <c r="J51" s="105">
        <v>0.16666666666666666</v>
      </c>
      <c r="K51" s="105">
        <v>0.625</v>
      </c>
      <c r="L51" s="105">
        <v>0.54166666666666663</v>
      </c>
      <c r="M51" s="105">
        <v>8.3333333333333329E-2</v>
      </c>
      <c r="N51" s="105">
        <v>0.875</v>
      </c>
      <c r="O51" s="15" t="s">
        <v>141</v>
      </c>
      <c r="P51" s="15"/>
      <c r="Q51" s="15">
        <f>VLOOKUP(Table2[[#This Row],[Course Title]],'TSD-Data'!$A$1:$E$56,4,FALSE)</f>
        <v>45</v>
      </c>
      <c r="R51" s="15">
        <f>VLOOKUP(Table2[[#This Row],[Course Title]],'TSD-Data'!$A$1:$F$53,6,FALSE)</f>
        <v>32</v>
      </c>
      <c r="S51" s="15">
        <f>VLOOKUP(Table2[[#This Row],[Course Title]],'TSD-Data'!$A$1:$E$56,5,FALSE)</f>
        <v>4</v>
      </c>
      <c r="T51" s="15">
        <v>62</v>
      </c>
      <c r="U51" s="15"/>
      <c r="V51" s="15"/>
      <c r="W51" s="15"/>
      <c r="X51" s="103"/>
      <c r="Y51" s="15"/>
      <c r="Z51" s="15"/>
      <c r="AA51" s="15"/>
      <c r="AB51" s="99"/>
      <c r="AC51" s="71">
        <f ca="1">Table2[[#This Row],[End Date]]+2-TODAY()</f>
        <v>87</v>
      </c>
      <c r="AD51" s="15">
        <f>IF(ISBLANK(Table2[[#This Row],[Roster Received By]]),1,0)</f>
        <v>1</v>
      </c>
      <c r="AE51" s="15">
        <f ca="1">IF(Table2[[#This Row],[Start Date]]&gt;TODAY(),1,)</f>
        <v>1</v>
      </c>
      <c r="AF51" s="106"/>
    </row>
    <row r="52" spans="1:32" x14ac:dyDescent="0.25">
      <c r="A52" s="62"/>
      <c r="B52" s="99" t="s">
        <v>52</v>
      </c>
      <c r="C52" s="100" t="str">
        <f>VLOOKUP(Table2[[#This Row],[Course Title]],'TSD-Data'!$A$1:$E$56,2,FALSE)</f>
        <v>A-493-0085</v>
      </c>
      <c r="D52" s="100">
        <f>VLOOKUP(Table2[[#This Row],[Course Title]],'TSD-Data'!$A$1:$E$56,3,FALSE)</f>
        <v>3555</v>
      </c>
      <c r="E52" s="99" t="s">
        <v>80</v>
      </c>
      <c r="F52" s="102">
        <v>45614</v>
      </c>
      <c r="G52" s="102">
        <v>45617</v>
      </c>
      <c r="H52" s="102"/>
      <c r="I52" s="101">
        <v>0.5</v>
      </c>
      <c r="J52" s="101">
        <v>0.375</v>
      </c>
      <c r="K52" s="101">
        <v>0.83333333333333337</v>
      </c>
      <c r="L52" s="101">
        <v>0.75</v>
      </c>
      <c r="M52" s="101">
        <v>0.29166666666666669</v>
      </c>
      <c r="N52" s="101">
        <v>8.3333333333333329E-2</v>
      </c>
      <c r="O52" s="15" t="s">
        <v>192</v>
      </c>
      <c r="P52" s="15"/>
      <c r="Q52" s="15">
        <f>VLOOKUP(Table2[[#This Row],[Course Title]],'TSD-Data'!$A$1:$E$56,4,FALSE)</f>
        <v>45</v>
      </c>
      <c r="R52" s="15">
        <f>VLOOKUP(Table2[[#This Row],[Course Title]],'TSD-Data'!$A$1:$F$53,6,FALSE)</f>
        <v>32</v>
      </c>
      <c r="S52" s="15">
        <f>VLOOKUP(Table2[[#This Row],[Course Title]],'TSD-Data'!$A$1:$E$56,5,FALSE)</f>
        <v>4</v>
      </c>
      <c r="T52" s="15">
        <v>503</v>
      </c>
      <c r="U52" s="15"/>
      <c r="V52" s="15"/>
      <c r="W52" s="15"/>
      <c r="X52" s="103"/>
      <c r="Y52" s="15"/>
      <c r="Z52" s="15"/>
      <c r="AA52" s="100"/>
      <c r="AB52" s="99"/>
      <c r="AC52" s="71">
        <f ca="1">Table2[[#This Row],[End Date]]+2-TODAY()</f>
        <v>87</v>
      </c>
      <c r="AD52" s="15">
        <f>IF(ISBLANK(Table2[[#This Row],[Roster Received By]]),1,0)</f>
        <v>1</v>
      </c>
      <c r="AE52" s="15">
        <f ca="1">IF(Table2[[#This Row],[Start Date]]&gt;TODAY(),1,)</f>
        <v>1</v>
      </c>
      <c r="AF52" s="106"/>
    </row>
    <row r="53" spans="1:32" x14ac:dyDescent="0.25">
      <c r="A53" s="100"/>
      <c r="B53" s="99" t="s">
        <v>39</v>
      </c>
      <c r="C53" s="100" t="str">
        <f>VLOOKUP(Table2[[#This Row],[Course Title]],'TSD-Data'!$A$1:$E$56,2,FALSE)</f>
        <v>A-570-0100</v>
      </c>
      <c r="D53" s="100" t="str">
        <f>VLOOKUP(Table2[[#This Row],[Course Title]],'TSD-Data'!$A$1:$E$56,3,FALSE)</f>
        <v>18B7</v>
      </c>
      <c r="E53" s="99" t="s">
        <v>80</v>
      </c>
      <c r="F53" s="110">
        <v>45614</v>
      </c>
      <c r="G53" s="110">
        <v>45617</v>
      </c>
      <c r="H53" s="105"/>
      <c r="I53" s="105">
        <v>0.33333333333333331</v>
      </c>
      <c r="J53" s="105">
        <v>0.20833333333333334</v>
      </c>
      <c r="K53" s="105">
        <v>0.66666666666666663</v>
      </c>
      <c r="L53" s="105">
        <v>0.58333333333333337</v>
      </c>
      <c r="M53" s="105">
        <v>0.125</v>
      </c>
      <c r="N53" s="105">
        <v>0.91666666666666663</v>
      </c>
      <c r="O53" s="15" t="s">
        <v>79</v>
      </c>
      <c r="P53" s="15"/>
      <c r="Q53" s="15">
        <f>VLOOKUP(Table2[[#This Row],[Course Title]],'TSD-Data'!$A$1:$E$56,4,FALSE)</f>
        <v>45</v>
      </c>
      <c r="R53" s="15">
        <f>VLOOKUP(Table2[[#This Row],[Course Title]],'TSD-Data'!$A$1:$F$53,6,FALSE)</f>
        <v>16</v>
      </c>
      <c r="S53" s="15">
        <f>VLOOKUP(Table2[[#This Row],[Course Title]],'TSD-Data'!$A$1:$E$56,5,FALSE)</f>
        <v>2</v>
      </c>
      <c r="T53" s="15">
        <v>404</v>
      </c>
      <c r="U53" s="15"/>
      <c r="V53" s="15"/>
      <c r="W53" s="104"/>
      <c r="X53" s="104"/>
      <c r="Y53" s="100"/>
      <c r="Z53" s="100"/>
      <c r="AA53" s="104"/>
      <c r="AB53" s="99"/>
      <c r="AC53" s="71">
        <f ca="1">Table2[[#This Row],[End Date]]+2-TODAY()</f>
        <v>87</v>
      </c>
      <c r="AD53" s="15">
        <f>IF(ISBLANK(Table2[[#This Row],[Roster Received By]]),1,0)</f>
        <v>1</v>
      </c>
      <c r="AE53" s="15">
        <f ca="1">IF(Table2[[#This Row],[Start Date]]&gt;TODAY(),1,)</f>
        <v>1</v>
      </c>
      <c r="AF53" s="106"/>
    </row>
    <row r="54" spans="1:32" x14ac:dyDescent="0.25">
      <c r="A54" s="62"/>
      <c r="B54" s="99" t="s">
        <v>53</v>
      </c>
      <c r="C54" s="100" t="str">
        <f>VLOOKUP(Table2[[#This Row],[Course Title]],'TSD-Data'!$A$1:$E$56,2,FALSE)</f>
        <v>A-493-0072</v>
      </c>
      <c r="D54" s="100" t="str">
        <f>VLOOKUP(Table2[[#This Row],[Course Title]],'TSD-Data'!$A$1:$E$56,3,FALSE)</f>
        <v>713U</v>
      </c>
      <c r="E54" s="99" t="s">
        <v>267</v>
      </c>
      <c r="F54" s="102">
        <v>45614</v>
      </c>
      <c r="G54" s="102">
        <v>45618</v>
      </c>
      <c r="H54" s="105">
        <v>0.33333333333333331</v>
      </c>
      <c r="I54" s="226"/>
      <c r="J54" s="226"/>
      <c r="K54" s="226"/>
      <c r="L54" s="226"/>
      <c r="M54" s="226"/>
      <c r="N54" s="226"/>
      <c r="O54" s="15" t="s">
        <v>90</v>
      </c>
      <c r="P54" s="15" t="s">
        <v>179</v>
      </c>
      <c r="Q54" s="15">
        <f>VLOOKUP(Table2[[#This Row],[Course Title]],'TSD-Data'!$A$1:$E$56,4,FALSE)</f>
        <v>30</v>
      </c>
      <c r="R54" s="15">
        <f>VLOOKUP(Table2[[#This Row],[Course Title]],'TSD-Data'!$A$1:$F$53,6,FALSE)</f>
        <v>40</v>
      </c>
      <c r="S54" s="15">
        <f>VLOOKUP(Table2[[#This Row],[Course Title]],'TSD-Data'!$A$1:$E$56,5,FALSE)</f>
        <v>5</v>
      </c>
      <c r="T54" s="15">
        <v>170</v>
      </c>
      <c r="U54" s="15"/>
      <c r="V54" s="15"/>
      <c r="W54" s="15"/>
      <c r="X54" s="103"/>
      <c r="Y54" s="15"/>
      <c r="Z54" s="15"/>
      <c r="AA54" s="15"/>
      <c r="AB54" s="99"/>
      <c r="AC54" s="71">
        <f ca="1">Table2[[#This Row],[End Date]]+2-TODAY()</f>
        <v>88</v>
      </c>
      <c r="AD54" s="15">
        <f>IF(ISBLANK(Table2[[#This Row],[Roster Received By]]),1,0)</f>
        <v>1</v>
      </c>
      <c r="AE54" s="15">
        <f ca="1">IF(Table2[[#This Row],[Start Date]]&gt;TODAY(),1,)</f>
        <v>1</v>
      </c>
      <c r="AF54" s="106"/>
    </row>
    <row r="55" spans="1:32" x14ac:dyDescent="0.25">
      <c r="A55" s="100"/>
      <c r="B55" s="99" t="s">
        <v>40</v>
      </c>
      <c r="C55" s="100" t="str">
        <f>VLOOKUP(Table2[[#This Row],[Course Title]],'TSD-Data'!$A$1:$E$56,2,FALSE)</f>
        <v>A-493-2098</v>
      </c>
      <c r="D55" s="100" t="str">
        <f>VLOOKUP(Table2[[#This Row],[Course Title]],'TSD-Data'!$A$1:$E$56,3,FALSE)</f>
        <v>09WW</v>
      </c>
      <c r="E55" s="99" t="s">
        <v>80</v>
      </c>
      <c r="F55" s="102">
        <v>45614</v>
      </c>
      <c r="G55" s="102">
        <v>45618</v>
      </c>
      <c r="H55" s="105"/>
      <c r="I55" s="105">
        <v>0.54166666666666663</v>
      </c>
      <c r="J55" s="101">
        <v>0.41666666666666669</v>
      </c>
      <c r="K55" s="101">
        <v>0.875</v>
      </c>
      <c r="L55" s="101">
        <v>0.79166666666666663</v>
      </c>
      <c r="M55" s="101">
        <v>0.33333333333333331</v>
      </c>
      <c r="N55" s="101">
        <v>0.125</v>
      </c>
      <c r="O55" s="15" t="s">
        <v>79</v>
      </c>
      <c r="P55" s="15"/>
      <c r="Q55" s="15">
        <f>VLOOKUP(Table2[[#This Row],[Course Title]],'TSD-Data'!$A$1:$E$56,4,FALSE)</f>
        <v>100</v>
      </c>
      <c r="R55" s="15">
        <f>VLOOKUP(Table2[[#This Row],[Course Title]],'TSD-Data'!$A$1:$F$53,6,FALSE)</f>
        <v>16</v>
      </c>
      <c r="S55" s="15">
        <f>VLOOKUP(Table2[[#This Row],[Course Title]],'TSD-Data'!$A$1:$E$56,5,FALSE)</f>
        <v>2</v>
      </c>
      <c r="T55" s="15">
        <v>1432</v>
      </c>
      <c r="U55" s="15"/>
      <c r="V55" s="15"/>
      <c r="W55" s="104"/>
      <c r="X55" s="104"/>
      <c r="Y55" s="100"/>
      <c r="Z55" s="100"/>
      <c r="AA55" s="104"/>
      <c r="AB55" s="99"/>
      <c r="AC55" s="71">
        <f ca="1">Table2[[#This Row],[End Date]]+2-TODAY()</f>
        <v>88</v>
      </c>
      <c r="AD55" s="15">
        <f>IF(ISBLANK(Table2[[#This Row],[Roster Received By]]),1,0)</f>
        <v>1</v>
      </c>
      <c r="AE55" s="15">
        <f ca="1">IF(Table2[[#This Row],[Start Date]]&gt;TODAY(),1,)</f>
        <v>1</v>
      </c>
      <c r="AF55" s="106"/>
    </row>
    <row r="56" spans="1:32" x14ac:dyDescent="0.25">
      <c r="A56" s="100"/>
      <c r="B56" s="99" t="s">
        <v>54</v>
      </c>
      <c r="C56" s="100" t="str">
        <f>VLOOKUP(Table2[[#This Row],[Course Title]],'TSD-Data'!$A$1:$E$56,2,FALSE)</f>
        <v>F-4J-0023</v>
      </c>
      <c r="D56" s="100" t="str">
        <f>VLOOKUP(Table2[[#This Row],[Course Title]],'TSD-Data'!$A$1:$E$56,3,FALSE)</f>
        <v>11A2</v>
      </c>
      <c r="E56" s="99" t="s">
        <v>80</v>
      </c>
      <c r="F56" s="102">
        <v>45614</v>
      </c>
      <c r="G56" s="102">
        <v>45618</v>
      </c>
      <c r="H56" s="105"/>
      <c r="I56" s="105">
        <v>0.54166666666666663</v>
      </c>
      <c r="J56" s="101">
        <v>0.41666666666666669</v>
      </c>
      <c r="K56" s="101">
        <v>0.875</v>
      </c>
      <c r="L56" s="101">
        <v>0.79166666666666663</v>
      </c>
      <c r="M56" s="101">
        <v>0.33333333333333331</v>
      </c>
      <c r="N56" s="101">
        <v>0.125</v>
      </c>
      <c r="O56" s="15" t="s">
        <v>192</v>
      </c>
      <c r="P56" s="15"/>
      <c r="Q56" s="15">
        <f>VLOOKUP(Table2[[#This Row],[Course Title]],'TSD-Data'!$A$1:$E$56,4,FALSE)</f>
        <v>45</v>
      </c>
      <c r="R56" s="15">
        <f>VLOOKUP(Table2[[#This Row],[Course Title]],'TSD-Data'!$A$1:$F$53,6,FALSE)</f>
        <v>16</v>
      </c>
      <c r="S56" s="15">
        <f>VLOOKUP(Table2[[#This Row],[Course Title]],'TSD-Data'!$A$1:$E$56,5,FALSE)</f>
        <v>2</v>
      </c>
      <c r="T56" s="15">
        <v>70</v>
      </c>
      <c r="U56" s="15"/>
      <c r="V56" s="15"/>
      <c r="W56" s="104"/>
      <c r="X56" s="104"/>
      <c r="Y56" s="100"/>
      <c r="Z56" s="100"/>
      <c r="AA56" s="104"/>
      <c r="AB56" s="99"/>
      <c r="AC56" s="71">
        <f ca="1">Table2[[#This Row],[End Date]]+2-TODAY()</f>
        <v>88</v>
      </c>
      <c r="AD56" s="15">
        <f>IF(ISBLANK(Table2[[#This Row],[Roster Received By]]),1,0)</f>
        <v>1</v>
      </c>
      <c r="AE56" s="15">
        <f ca="1">IF(Table2[[#This Row],[Start Date]]&gt;TODAY(),1,)</f>
        <v>1</v>
      </c>
      <c r="AF56" s="106"/>
    </row>
    <row r="57" spans="1:32" x14ac:dyDescent="0.25">
      <c r="A57" s="62"/>
      <c r="B57" s="99" t="s">
        <v>57</v>
      </c>
      <c r="C57" s="100" t="str">
        <f>VLOOKUP(Table2[[#This Row],[Course Title]],'TSD-Data'!$A$1:$E$56,2,FALSE)</f>
        <v>A-493-0099</v>
      </c>
      <c r="D57" s="100" t="str">
        <f>VLOOKUP(Table2[[#This Row],[Course Title]],'TSD-Data'!$A$1:$E$56,3,FALSE)</f>
        <v>12JW</v>
      </c>
      <c r="E57" s="99" t="s">
        <v>80</v>
      </c>
      <c r="F57" s="102">
        <v>45615</v>
      </c>
      <c r="G57" s="102">
        <v>45617</v>
      </c>
      <c r="H57" s="102"/>
      <c r="I57" s="101">
        <v>0.33333333333333331</v>
      </c>
      <c r="J57" s="105">
        <v>0.20833333333333334</v>
      </c>
      <c r="K57" s="105">
        <v>0.66666666666666663</v>
      </c>
      <c r="L57" s="105">
        <v>0.58333333333333337</v>
      </c>
      <c r="M57" s="105">
        <v>0.125</v>
      </c>
      <c r="N57" s="105">
        <v>0.91666666666666663</v>
      </c>
      <c r="O57" s="15" t="s">
        <v>145</v>
      </c>
      <c r="P57" s="15"/>
      <c r="Q57" s="15">
        <f>VLOOKUP(Table2[[#This Row],[Course Title]],'TSD-Data'!$A$1:$E$56,4,FALSE)</f>
        <v>45</v>
      </c>
      <c r="R57" s="15">
        <f>VLOOKUP(Table2[[#This Row],[Course Title]],'TSD-Data'!$A$1:$F$53,6,FALSE)</f>
        <v>24</v>
      </c>
      <c r="S57" s="15">
        <f>VLOOKUP(Table2[[#This Row],[Course Title]],'TSD-Data'!$A$1:$E$56,5,FALSE)</f>
        <v>3</v>
      </c>
      <c r="T57" s="15">
        <v>368</v>
      </c>
      <c r="U57" s="15"/>
      <c r="V57" s="15"/>
      <c r="W57" s="15"/>
      <c r="X57" s="103"/>
      <c r="Y57" s="15"/>
      <c r="Z57" s="15"/>
      <c r="AA57" s="15"/>
      <c r="AB57" s="99"/>
      <c r="AC57" s="71">
        <f ca="1">Table2[[#This Row],[End Date]]+2-TODAY()</f>
        <v>87</v>
      </c>
      <c r="AD57" s="15">
        <f>IF(ISBLANK(Table2[[#This Row],[Roster Received By]]),1,0)</f>
        <v>1</v>
      </c>
      <c r="AE57" s="15">
        <f ca="1">IF(Table2[[#This Row],[Start Date]]&gt;TODAY(),1,)</f>
        <v>1</v>
      </c>
      <c r="AF57" s="139"/>
    </row>
    <row r="58" spans="1:32" x14ac:dyDescent="0.25">
      <c r="A58" s="62"/>
      <c r="B58" s="99" t="s">
        <v>58</v>
      </c>
      <c r="C58" s="100" t="str">
        <f>VLOOKUP(Table2[[#This Row],[Course Title]],'TSD-Data'!$A$1:$E$56,2,FALSE)</f>
        <v xml:space="preserve">A-493-0075 </v>
      </c>
      <c r="D58" s="100" t="str">
        <f>VLOOKUP(Table2[[#This Row],[Course Title]],'TSD-Data'!$A$1:$E$56,3,FALSE)</f>
        <v>714U</v>
      </c>
      <c r="E58" s="99" t="s">
        <v>268</v>
      </c>
      <c r="F58" s="102">
        <v>45615</v>
      </c>
      <c r="G58" s="102">
        <v>45618</v>
      </c>
      <c r="H58" s="105">
        <v>0.33333333333333331</v>
      </c>
      <c r="I58" s="101"/>
      <c r="J58" s="226"/>
      <c r="K58" s="226"/>
      <c r="L58" s="226"/>
      <c r="M58" s="226"/>
      <c r="N58" s="226"/>
      <c r="O58" s="15" t="s">
        <v>160</v>
      </c>
      <c r="P58" s="15"/>
      <c r="Q58" s="15">
        <f>VLOOKUP(Table2[[#This Row],[Course Title]],'TSD-Data'!$A$1:$E$56,4,FALSE)</f>
        <v>30</v>
      </c>
      <c r="R58" s="15">
        <f>VLOOKUP(Table2[[#This Row],[Course Title]],'TSD-Data'!$A$1:$F$53,6,FALSE)</f>
        <v>32</v>
      </c>
      <c r="S58" s="15">
        <f>VLOOKUP(Table2[[#This Row],[Course Title]],'TSD-Data'!$A$1:$E$56,5,FALSE)</f>
        <v>4</v>
      </c>
      <c r="T58" s="15">
        <v>61</v>
      </c>
      <c r="U58" s="15"/>
      <c r="V58" s="15"/>
      <c r="W58" s="15"/>
      <c r="X58" s="103"/>
      <c r="Y58" s="15"/>
      <c r="Z58" s="15"/>
      <c r="AA58" s="104"/>
      <c r="AB58" s="99"/>
      <c r="AC58" s="71">
        <f ca="1">Table2[[#This Row],[End Date]]+2-TODAY()</f>
        <v>88</v>
      </c>
      <c r="AD58" s="15">
        <f>IF(ISBLANK(Table2[[#This Row],[Roster Received By]]),1,0)</f>
        <v>1</v>
      </c>
      <c r="AE58" s="15">
        <f ca="1">IF(Table2[[#This Row],[Start Date]]&gt;TODAY(),1,)</f>
        <v>1</v>
      </c>
      <c r="AF58" s="135"/>
    </row>
    <row r="59" spans="1:32" x14ac:dyDescent="0.25">
      <c r="A59" s="62"/>
      <c r="B59" s="99" t="s">
        <v>60</v>
      </c>
      <c r="C59" s="100" t="str">
        <f>VLOOKUP(Table2[[#This Row],[Course Title]],'TSD-Data'!$A$1:$E$56,2,FALSE)</f>
        <v>A-493-0073</v>
      </c>
      <c r="D59" s="100" t="str">
        <f>VLOOKUP(Table2[[#This Row],[Course Title]],'TSD-Data'!$A$1:$E$56,3,FALSE)</f>
        <v>714S</v>
      </c>
      <c r="E59" s="99" t="s">
        <v>80</v>
      </c>
      <c r="F59" s="102">
        <v>45615</v>
      </c>
      <c r="G59" s="102">
        <v>45618</v>
      </c>
      <c r="H59" s="102"/>
      <c r="I59" s="101">
        <v>0.33333333333333331</v>
      </c>
      <c r="J59" s="105">
        <v>0.20833333333333334</v>
      </c>
      <c r="K59" s="105">
        <v>0.66666666666666663</v>
      </c>
      <c r="L59" s="105">
        <v>0.58333333333333337</v>
      </c>
      <c r="M59" s="105">
        <v>0.125</v>
      </c>
      <c r="N59" s="105">
        <v>0.91666666666666663</v>
      </c>
      <c r="O59" s="15" t="s">
        <v>160</v>
      </c>
      <c r="P59" s="15"/>
      <c r="Q59" s="15">
        <f>VLOOKUP(Table2[[#This Row],[Course Title]],'TSD-Data'!$A$1:$E$56,4,FALSE)</f>
        <v>30</v>
      </c>
      <c r="R59" s="15">
        <f>VLOOKUP(Table2[[#This Row],[Course Title]],'TSD-Data'!$A$1:$F$53,6,FALSE)</f>
        <v>32</v>
      </c>
      <c r="S59" s="15">
        <f>VLOOKUP(Table2[[#This Row],[Course Title]],'TSD-Data'!$A$1:$E$56,5,FALSE)</f>
        <v>4</v>
      </c>
      <c r="T59" s="15">
        <v>284</v>
      </c>
      <c r="U59" s="15"/>
      <c r="V59" s="15"/>
      <c r="W59" s="15"/>
      <c r="X59" s="103"/>
      <c r="Y59" s="15"/>
      <c r="Z59" s="15"/>
      <c r="AA59" s="15"/>
      <c r="AB59" s="99"/>
      <c r="AC59" s="71">
        <f ca="1">Table2[[#This Row],[End Date]]+2-TODAY()</f>
        <v>88</v>
      </c>
      <c r="AD59" s="15">
        <f>IF(ISBLANK(Table2[[#This Row],[Roster Received By]]),1,0)</f>
        <v>1</v>
      </c>
      <c r="AE59" s="15">
        <f ca="1">IF(Table2[[#This Row],[Start Date]]&gt;TODAY(),1,)</f>
        <v>1</v>
      </c>
      <c r="AF59" s="135"/>
    </row>
    <row r="60" spans="1:32" x14ac:dyDescent="0.25">
      <c r="A60" s="62"/>
      <c r="B60" s="99" t="s">
        <v>34</v>
      </c>
      <c r="C60" s="100" t="str">
        <f>VLOOKUP(Table2[[#This Row],[Course Title]],'TSD-Data'!$A$1:$E$56,2,FALSE)</f>
        <v>A-493-0216</v>
      </c>
      <c r="D60" s="100" t="str">
        <f>VLOOKUP(Table2[[#This Row],[Course Title]],'TSD-Data'!$A$1:$E$56,3,FALSE)</f>
        <v>12X8</v>
      </c>
      <c r="E60" s="99" t="s">
        <v>180</v>
      </c>
      <c r="F60" s="102">
        <v>45616</v>
      </c>
      <c r="G60" s="102">
        <v>45616</v>
      </c>
      <c r="H60" s="105">
        <v>0.33333333333333331</v>
      </c>
      <c r="I60" s="105"/>
      <c r="J60" s="102"/>
      <c r="K60" s="102"/>
      <c r="L60" s="102"/>
      <c r="M60" s="102"/>
      <c r="N60" s="102"/>
      <c r="O60" s="15" t="s">
        <v>94</v>
      </c>
      <c r="P60" s="15"/>
      <c r="Q60" s="103">
        <f>VLOOKUP(Table2[[#This Row],[Course Title]],'TSD-Data'!$A$1:$E$56,4,FALSE)</f>
        <v>30</v>
      </c>
      <c r="R60" s="15">
        <f>VLOOKUP(Table2[[#This Row],[Course Title]],'TSD-Data'!$A$1:$F$53,6,FALSE)</f>
        <v>8</v>
      </c>
      <c r="S60" s="104">
        <f>VLOOKUP(Table2[[#This Row],[Course Title]],'TSD-Data'!$A$1:$E$56,5,FALSE)</f>
        <v>1</v>
      </c>
      <c r="T60" s="104">
        <v>6</v>
      </c>
      <c r="U60" s="104"/>
      <c r="V60" s="104"/>
      <c r="W60" s="103"/>
      <c r="X60" s="103"/>
      <c r="Y60" s="15"/>
      <c r="Z60" s="15"/>
      <c r="AA60" s="15"/>
      <c r="AB60" s="99"/>
      <c r="AC60" s="71">
        <f ca="1">Table2[[#This Row],[End Date]]+2-TODAY()</f>
        <v>86</v>
      </c>
      <c r="AD60" s="15">
        <f>IF(ISBLANK(Table2[[#This Row],[Roster Received By]]),1,0)</f>
        <v>1</v>
      </c>
      <c r="AE60" s="15">
        <f ca="1">IF(Table2[[#This Row],[Start Date]]&gt;TODAY(),1,)</f>
        <v>1</v>
      </c>
      <c r="AF60" s="106"/>
    </row>
    <row r="61" spans="1:32" x14ac:dyDescent="0.25">
      <c r="A61" s="62" t="s">
        <v>379</v>
      </c>
      <c r="B61" s="99" t="s">
        <v>264</v>
      </c>
      <c r="C61" s="100" t="str">
        <f>VLOOKUP(Table2[[#This Row],[Course Title]],'TSD-Data'!$A$1:$E$56,2,FALSE)</f>
        <v>Function</v>
      </c>
      <c r="D61" s="100" t="str">
        <f>VLOOKUP(Table2[[#This Row],[Course Title]],'TSD-Data'!$A$1:$E$56,3,FALSE)</f>
        <v>Function</v>
      </c>
      <c r="E61" s="99" t="s">
        <v>267</v>
      </c>
      <c r="F61" s="102">
        <v>45621</v>
      </c>
      <c r="G61" s="102">
        <v>45621</v>
      </c>
      <c r="H61" s="105"/>
      <c r="I61" s="105"/>
      <c r="J61" s="102"/>
      <c r="K61" s="102"/>
      <c r="L61" s="102"/>
      <c r="M61" s="102"/>
      <c r="N61" s="102"/>
      <c r="O61" s="15"/>
      <c r="P61" s="15"/>
      <c r="Q61" s="15">
        <f>VLOOKUP(Table2[[#This Row],[Course Title]],'TSD-Data'!$A$1:$E$56,4,FALSE)</f>
        <v>0</v>
      </c>
      <c r="R61" s="15">
        <f>VLOOKUP(Table2[[#This Row],[Course Title]],'TSD-Data'!$A$1:$F$53,6,FALSE)</f>
        <v>0</v>
      </c>
      <c r="S61" s="15">
        <f>VLOOKUP(Table2[[#This Row],[Course Title]],'TSD-Data'!$A$1:$E$56,5,FALSE)</f>
        <v>0</v>
      </c>
      <c r="T61" s="15">
        <v>0</v>
      </c>
      <c r="U61" s="15"/>
      <c r="V61" s="15"/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99" t="s">
        <v>100</v>
      </c>
      <c r="AC61" s="71">
        <f ca="1">Table2[[#This Row],[End Date]]+2-TODAY()</f>
        <v>91</v>
      </c>
      <c r="AD61" s="15">
        <f>IF(ISBLANK(Table2[[#This Row],[Roster Received By]]),1,0)</f>
        <v>0</v>
      </c>
      <c r="AE61" s="15">
        <f ca="1">IF(Table2[[#This Row],[Start Date]]&gt;TODAY(),1,)</f>
        <v>1</v>
      </c>
      <c r="AF61" s="106"/>
    </row>
    <row r="62" spans="1:32" x14ac:dyDescent="0.25">
      <c r="A62" s="62" t="s">
        <v>380</v>
      </c>
      <c r="B62" s="99" t="s">
        <v>258</v>
      </c>
      <c r="C62" s="100" t="str">
        <f>VLOOKUP(Table2[[#This Row],[Course Title]],'TSD-Data'!$A$1:$E$56,2,FALSE)</f>
        <v>Holiday</v>
      </c>
      <c r="D62" s="100" t="str">
        <f>VLOOKUP(Table2[[#This Row],[Course Title]],'TSD-Data'!$A$1:$E$56,3,FALSE)</f>
        <v>Holiday</v>
      </c>
      <c r="E62" s="99"/>
      <c r="F62" s="102">
        <v>45624</v>
      </c>
      <c r="G62" s="102">
        <v>45624</v>
      </c>
      <c r="H62" s="108"/>
      <c r="I62" s="105"/>
      <c r="J62" s="102"/>
      <c r="K62" s="102"/>
      <c r="L62" s="102"/>
      <c r="M62" s="102"/>
      <c r="N62" s="102"/>
      <c r="O62" s="15"/>
      <c r="P62" s="15"/>
      <c r="Q62" s="15">
        <f>VLOOKUP(Table2[[#This Row],[Course Title]],'TSD-Data'!$A$1:$E$56,4,FALSE)</f>
        <v>0</v>
      </c>
      <c r="R62" s="15">
        <f>VLOOKUP(Table2[[#This Row],[Course Title]],'TSD-Data'!$A$1:$F$53,6,FALSE)</f>
        <v>0</v>
      </c>
      <c r="S62" s="15">
        <f>VLOOKUP(Table2[[#This Row],[Course Title]],'TSD-Data'!$A$1:$E$56,5,FALSE)</f>
        <v>0</v>
      </c>
      <c r="T62" s="15">
        <v>0</v>
      </c>
      <c r="U62" s="15"/>
      <c r="V62" s="15"/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99" t="s">
        <v>100</v>
      </c>
      <c r="AC62" s="71">
        <f ca="1">Table2[[#This Row],[End Date]]+2-TODAY()</f>
        <v>94</v>
      </c>
      <c r="AD62" s="15">
        <f>IF(ISBLANK(Table2[[#This Row],[Roster Received By]]),1,0)</f>
        <v>0</v>
      </c>
      <c r="AE62" s="15">
        <f ca="1">IF(Table2[[#This Row],[Start Date]]&gt;TODAY(),1,)</f>
        <v>1</v>
      </c>
      <c r="AF62" s="106"/>
    </row>
    <row r="63" spans="1:32" x14ac:dyDescent="0.25">
      <c r="A63" s="62"/>
      <c r="B63" s="99" t="s">
        <v>38</v>
      </c>
      <c r="C63" s="100" t="str">
        <f>VLOOKUP(Table2[[#This Row],[Course Title]],'TSD-Data'!$A$1:$E$56,2,FALSE)</f>
        <v>A-493-0061</v>
      </c>
      <c r="D63" s="100" t="str">
        <f>VLOOKUP(Table2[[#This Row],[Course Title]],'TSD-Data'!$A$1:$E$56,3,FALSE)</f>
        <v>288E</v>
      </c>
      <c r="E63" s="99" t="s">
        <v>80</v>
      </c>
      <c r="F63" s="102">
        <v>45627</v>
      </c>
      <c r="G63" s="102">
        <v>45630</v>
      </c>
      <c r="H63" s="105"/>
      <c r="I63" s="101">
        <v>0.29166666666666669</v>
      </c>
      <c r="J63" s="105">
        <v>0.16666666666666666</v>
      </c>
      <c r="K63" s="105">
        <v>0.625</v>
      </c>
      <c r="L63" s="105">
        <v>0.54166666666666663</v>
      </c>
      <c r="M63" s="105">
        <v>8.3333333333333329E-2</v>
      </c>
      <c r="N63" s="105">
        <v>0.875</v>
      </c>
      <c r="O63" s="15" t="s">
        <v>138</v>
      </c>
      <c r="P63" s="15"/>
      <c r="Q63" s="15">
        <f>VLOOKUP(Table2[[#This Row],[Course Title]],'TSD-Data'!$A$1:$E$56,4,FALSE)</f>
        <v>45</v>
      </c>
      <c r="R63" s="15">
        <f>VLOOKUP(Table2[[#This Row],[Course Title]],'TSD-Data'!$A$1:$F$53,6,FALSE)</f>
        <v>30</v>
      </c>
      <c r="S63" s="15">
        <f>VLOOKUP(Table2[[#This Row],[Course Title]],'TSD-Data'!$A$1:$E$56,5,FALSE)</f>
        <v>4</v>
      </c>
      <c r="T63" s="15">
        <v>59</v>
      </c>
      <c r="U63" s="15"/>
      <c r="V63" s="15"/>
      <c r="W63" s="15"/>
      <c r="X63" s="103"/>
      <c r="Y63" s="15"/>
      <c r="Z63" s="15"/>
      <c r="AA63" s="100"/>
      <c r="AB63" s="99"/>
      <c r="AC63" s="71">
        <f ca="1">Table2[[#This Row],[End Date]]+2-TODAY()</f>
        <v>100</v>
      </c>
      <c r="AD63" s="15">
        <f>IF(ISBLANK(Table2[[#This Row],[Roster Received By]]),1,0)</f>
        <v>1</v>
      </c>
      <c r="AE63" s="15">
        <f ca="1">IF(Table2[[#This Row],[Start Date]]&gt;TODAY(),1,)</f>
        <v>1</v>
      </c>
      <c r="AF63" s="106"/>
    </row>
    <row r="64" spans="1:32" x14ac:dyDescent="0.25">
      <c r="A64" s="62"/>
      <c r="B64" s="99" t="s">
        <v>55</v>
      </c>
      <c r="C64" s="100" t="str">
        <f>VLOOKUP(Table2[[#This Row],[Course Title]],'TSD-Data'!$A$1:$E$56,2,FALSE)</f>
        <v>A-493-0103</v>
      </c>
      <c r="D64" s="100" t="str">
        <f>VLOOKUP(Table2[[#This Row],[Course Title]],'TSD-Data'!$A$1:$E$56,3,FALSE)</f>
        <v>12JY</v>
      </c>
      <c r="E64" s="99" t="s">
        <v>292</v>
      </c>
      <c r="F64" s="102">
        <v>45628</v>
      </c>
      <c r="G64" s="102">
        <v>45632</v>
      </c>
      <c r="H64" s="105">
        <v>0.33333333333333331</v>
      </c>
      <c r="I64" s="226"/>
      <c r="J64" s="226"/>
      <c r="K64" s="226"/>
      <c r="L64" s="226"/>
      <c r="M64" s="226"/>
      <c r="N64" s="226"/>
      <c r="O64" s="15" t="s">
        <v>160</v>
      </c>
      <c r="P64" s="15"/>
      <c r="Q64" s="15">
        <f>VLOOKUP(Table2[[#This Row],[Course Title]],'TSD-Data'!$A$1:$E$56,4,FALSE)</f>
        <v>25</v>
      </c>
      <c r="R64" s="15">
        <f>VLOOKUP(Table2[[#This Row],[Course Title]],'TSD-Data'!$A$1:$F$53,6,FALSE)</f>
        <v>40</v>
      </c>
      <c r="S64" s="15">
        <f>VLOOKUP(Table2[[#This Row],[Course Title]],'TSD-Data'!$A$1:$E$56,5,FALSE)</f>
        <v>5</v>
      </c>
      <c r="T64" s="15">
        <v>248</v>
      </c>
      <c r="U64" s="15"/>
      <c r="V64" s="15"/>
      <c r="W64" s="15"/>
      <c r="X64" s="103"/>
      <c r="Y64" s="15"/>
      <c r="Z64" s="15"/>
      <c r="AA64" s="15"/>
      <c r="AB64" s="99"/>
      <c r="AC64" s="71">
        <f ca="1">Table2[[#This Row],[End Date]]+2-TODAY()</f>
        <v>102</v>
      </c>
      <c r="AD64" s="15">
        <f>IF(ISBLANK(Table2[[#This Row],[Roster Received By]]),1,0)</f>
        <v>1</v>
      </c>
      <c r="AE64" s="15">
        <f ca="1">IF(Table2[[#This Row],[Start Date]]&gt;TODAY(),1,)</f>
        <v>1</v>
      </c>
      <c r="AF64" s="106"/>
    </row>
    <row r="65" spans="1:32" x14ac:dyDescent="0.25">
      <c r="A65" s="62"/>
      <c r="B65" s="99" t="s">
        <v>55</v>
      </c>
      <c r="C65" s="100" t="str">
        <f>VLOOKUP(Table2[[#This Row],[Course Title]],'TSD-Data'!$A$1:$E$56,2,FALSE)</f>
        <v>A-493-0103</v>
      </c>
      <c r="D65" s="100" t="str">
        <f>VLOOKUP(Table2[[#This Row],[Course Title]],'TSD-Data'!$A$1:$E$56,3,FALSE)</f>
        <v>12JY</v>
      </c>
      <c r="E65" s="65" t="s">
        <v>268</v>
      </c>
      <c r="F65" s="102">
        <v>45628</v>
      </c>
      <c r="G65" s="102">
        <v>45632</v>
      </c>
      <c r="H65" s="105">
        <v>0.33333333333333331</v>
      </c>
      <c r="I65" s="226"/>
      <c r="J65" s="108"/>
      <c r="K65" s="108"/>
      <c r="L65" s="108"/>
      <c r="M65" s="108"/>
      <c r="N65" s="108"/>
      <c r="O65" s="15" t="s">
        <v>160</v>
      </c>
      <c r="P65" s="15"/>
      <c r="Q65" s="15">
        <f>VLOOKUP(Table2[[#This Row],[Course Title]],'TSD-Data'!$A$1:$E$56,4,FALSE)</f>
        <v>25</v>
      </c>
      <c r="R65" s="15">
        <f>VLOOKUP(Table2[[#This Row],[Course Title]],'TSD-Data'!$A$1:$F$53,6,FALSE)</f>
        <v>40</v>
      </c>
      <c r="S65" s="15">
        <f>VLOOKUP(Table2[[#This Row],[Course Title]],'TSD-Data'!$A$1:$E$56,5,FALSE)</f>
        <v>5</v>
      </c>
      <c r="T65" s="15">
        <v>332</v>
      </c>
      <c r="U65" s="15"/>
      <c r="V65" s="15"/>
      <c r="W65" s="15"/>
      <c r="X65" s="103"/>
      <c r="Y65" s="15"/>
      <c r="Z65" s="15"/>
      <c r="AA65" s="15"/>
      <c r="AB65" s="99"/>
      <c r="AC65" s="71">
        <f ca="1">Table2[[#This Row],[End Date]]+2-TODAY()</f>
        <v>102</v>
      </c>
      <c r="AD65" s="15">
        <f>IF(ISBLANK(Table2[[#This Row],[Roster Received By]]),1,0)</f>
        <v>1</v>
      </c>
      <c r="AE65" s="15">
        <f ca="1">IF(Table2[[#This Row],[Start Date]]&gt;TODAY(),1,)</f>
        <v>1</v>
      </c>
      <c r="AF65" s="106"/>
    </row>
    <row r="66" spans="1:32" x14ac:dyDescent="0.25">
      <c r="A66" s="62"/>
      <c r="B66" s="99" t="s">
        <v>165</v>
      </c>
      <c r="C66" s="100" t="str">
        <f>VLOOKUP(Table2[[#This Row],[Course Title]],'TSD-Data'!$A$1:$E$56,2,FALSE)</f>
        <v>A-322-2604</v>
      </c>
      <c r="D66" s="100" t="str">
        <f>VLOOKUP(Table2[[#This Row],[Course Title]],'TSD-Data'!$A$1:$E$56,3,FALSE)</f>
        <v>10ZZ</v>
      </c>
      <c r="E66" s="99" t="s">
        <v>80</v>
      </c>
      <c r="F66" s="102">
        <v>45628</v>
      </c>
      <c r="G66" s="102">
        <v>45632</v>
      </c>
      <c r="H66" s="102"/>
      <c r="I66" s="101">
        <v>0.54166666666666663</v>
      </c>
      <c r="J66" s="101">
        <v>0.41666666666666669</v>
      </c>
      <c r="K66" s="101">
        <v>0.875</v>
      </c>
      <c r="L66" s="101">
        <v>0.79166666666666663</v>
      </c>
      <c r="M66" s="101">
        <v>0.33333333333333331</v>
      </c>
      <c r="N66" s="101">
        <v>0.125</v>
      </c>
      <c r="O66" s="15" t="s">
        <v>124</v>
      </c>
      <c r="P66" s="15"/>
      <c r="Q66" s="15">
        <f>VLOOKUP(Table2[[#This Row],[Course Title]],'TSD-Data'!$A$1:$E$56,4,FALSE)</f>
        <v>45</v>
      </c>
      <c r="R66" s="15">
        <f>VLOOKUP(Table2[[#This Row],[Course Title]],'TSD-Data'!$A$1:$F$53,6,FALSE)</f>
        <v>24</v>
      </c>
      <c r="S66" s="15">
        <f>VLOOKUP(Table2[[#This Row],[Course Title]],'TSD-Data'!$A$1:$E$56,5,FALSE)</f>
        <v>3</v>
      </c>
      <c r="T66" s="15">
        <v>634</v>
      </c>
      <c r="U66" s="15"/>
      <c r="V66" s="15"/>
      <c r="W66" s="15"/>
      <c r="X66" s="103"/>
      <c r="Y66" s="15"/>
      <c r="Z66" s="15"/>
      <c r="AA66" s="100"/>
      <c r="AB66" s="99"/>
      <c r="AC66" s="71">
        <f ca="1">Table2[[#This Row],[End Date]]+2-TODAY()</f>
        <v>102</v>
      </c>
      <c r="AD66" s="15">
        <f>IF(ISBLANK(Table2[[#This Row],[Roster Received By]]),1,0)</f>
        <v>1</v>
      </c>
      <c r="AE66" s="15">
        <f ca="1">IF(Table2[[#This Row],[Start Date]]&gt;TODAY(),1,)</f>
        <v>1</v>
      </c>
      <c r="AF66" s="106"/>
    </row>
    <row r="67" spans="1:32" x14ac:dyDescent="0.25">
      <c r="A67" s="62"/>
      <c r="B67" s="99" t="s">
        <v>32</v>
      </c>
      <c r="C67" s="100" t="str">
        <f>VLOOKUP(Table2[[#This Row],[Course Title]],'TSD-Data'!$A$1:$E$56,2,FALSE)</f>
        <v>A-493-2300</v>
      </c>
      <c r="D67" s="100" t="str">
        <f>VLOOKUP(Table2[[#This Row],[Course Title]],'TSD-Data'!$A$1:$E$56,3,FALSE)</f>
        <v>993F</v>
      </c>
      <c r="E67" s="99" t="s">
        <v>274</v>
      </c>
      <c r="F67" s="102">
        <v>45628</v>
      </c>
      <c r="G67" s="102">
        <v>45629</v>
      </c>
      <c r="H67" s="105">
        <v>0.33333333333333331</v>
      </c>
      <c r="I67" s="105"/>
      <c r="J67" s="102"/>
      <c r="K67" s="102"/>
      <c r="L67" s="102"/>
      <c r="M67" s="102"/>
      <c r="N67" s="102"/>
      <c r="O67" s="15" t="s">
        <v>94</v>
      </c>
      <c r="P67" s="15"/>
      <c r="Q67" s="103">
        <f>VLOOKUP(Table2[[#This Row],[Course Title]],'TSD-Data'!$A$1:$E$56,4,FALSE)</f>
        <v>30</v>
      </c>
      <c r="R67" s="15">
        <f>VLOOKUP(Table2[[#This Row],[Course Title]],'TSD-Data'!$A$1:$F$53,6,FALSE)</f>
        <v>16</v>
      </c>
      <c r="S67" s="104">
        <f>VLOOKUP(Table2[[#This Row],[Course Title]],'TSD-Data'!$A$1:$E$56,5,FALSE)</f>
        <v>2</v>
      </c>
      <c r="T67" s="104">
        <v>10</v>
      </c>
      <c r="U67" s="104"/>
      <c r="V67" s="104"/>
      <c r="W67" s="103"/>
      <c r="X67" s="103"/>
      <c r="Y67" s="15"/>
      <c r="Z67" s="15"/>
      <c r="AA67" s="100"/>
      <c r="AB67" s="99"/>
      <c r="AC67" s="71">
        <f ca="1">Table2[[#This Row],[End Date]]+2-TODAY()</f>
        <v>99</v>
      </c>
      <c r="AD67" s="15">
        <f>IF(ISBLANK(Table2[[#This Row],[Roster Received By]]),1,0)</f>
        <v>1</v>
      </c>
      <c r="AE67" s="15">
        <f ca="1">IF(Table2[[#This Row],[Start Date]]&gt;TODAY(),1,)</f>
        <v>1</v>
      </c>
      <c r="AF67" s="106"/>
    </row>
    <row r="68" spans="1:32" x14ac:dyDescent="0.25">
      <c r="A68" s="62"/>
      <c r="B68" s="99" t="s">
        <v>59</v>
      </c>
      <c r="C68" s="100" t="str">
        <f>VLOOKUP(Table2[[#This Row],[Course Title]],'TSD-Data'!$A$1:$E$56,2,FALSE)</f>
        <v>A-493-0550</v>
      </c>
      <c r="D68" s="100" t="str">
        <f>VLOOKUP(Table2[[#This Row],[Course Title]],'TSD-Data'!$A$1:$E$56,3,FALSE)</f>
        <v>09K5</v>
      </c>
      <c r="E68" s="99" t="s">
        <v>80</v>
      </c>
      <c r="F68" s="102">
        <v>45628</v>
      </c>
      <c r="G68" s="102">
        <v>45631</v>
      </c>
      <c r="H68" s="102"/>
      <c r="I68" s="105">
        <v>0.33333333333333331</v>
      </c>
      <c r="J68" s="105">
        <v>0.20833333333333334</v>
      </c>
      <c r="K68" s="105">
        <v>0.66666666666666663</v>
      </c>
      <c r="L68" s="105">
        <v>0.58333333333333337</v>
      </c>
      <c r="M68" s="105">
        <v>0.125</v>
      </c>
      <c r="N68" s="105">
        <v>0.91666666666666663</v>
      </c>
      <c r="O68" s="15" t="s">
        <v>145</v>
      </c>
      <c r="P68" s="15"/>
      <c r="Q68" s="15">
        <f>VLOOKUP(Table2[[#This Row],[Course Title]],'TSD-Data'!$A$1:$E$56,4,FALSE)</f>
        <v>45</v>
      </c>
      <c r="R68" s="15">
        <f>VLOOKUP(Table2[[#This Row],[Course Title]],'TSD-Data'!$A$1:$F$53,6,FALSE)</f>
        <v>32</v>
      </c>
      <c r="S68" s="15">
        <f>VLOOKUP(Table2[[#This Row],[Course Title]],'TSD-Data'!$A$1:$E$56,5,FALSE)</f>
        <v>4</v>
      </c>
      <c r="T68" s="15">
        <v>845</v>
      </c>
      <c r="U68" s="15"/>
      <c r="V68" s="15"/>
      <c r="W68" s="15"/>
      <c r="X68" s="103"/>
      <c r="Y68" s="15"/>
      <c r="Z68" s="15"/>
      <c r="AA68" s="15"/>
      <c r="AB68" s="99"/>
      <c r="AC68" s="71">
        <f ca="1">Table2[[#This Row],[End Date]]+2-TODAY()</f>
        <v>101</v>
      </c>
      <c r="AD68" s="15">
        <f>IF(ISBLANK(Table2[[#This Row],[Roster Received By]]),1,0)</f>
        <v>1</v>
      </c>
      <c r="AE68" s="15">
        <f ca="1">IF(Table2[[#This Row],[Start Date]]&gt;TODAY(),1,)</f>
        <v>1</v>
      </c>
      <c r="AF68" s="106"/>
    </row>
    <row r="69" spans="1:32" x14ac:dyDescent="0.25">
      <c r="A69" s="100"/>
      <c r="B69" s="99" t="s">
        <v>39</v>
      </c>
      <c r="C69" s="100" t="str">
        <f>VLOOKUP(Table2[[#This Row],[Course Title]],'TSD-Data'!$A$1:$E$56,2,FALSE)</f>
        <v>A-570-0100</v>
      </c>
      <c r="D69" s="100" t="str">
        <f>VLOOKUP(Table2[[#This Row],[Course Title]],'TSD-Data'!$A$1:$E$56,3,FALSE)</f>
        <v>18B7</v>
      </c>
      <c r="E69" s="99" t="s">
        <v>80</v>
      </c>
      <c r="F69" s="102">
        <v>45628</v>
      </c>
      <c r="G69" s="102">
        <v>45631</v>
      </c>
      <c r="H69" s="105"/>
      <c r="I69" s="105">
        <v>0.54166666666666663</v>
      </c>
      <c r="J69" s="101">
        <v>0.41666666666666669</v>
      </c>
      <c r="K69" s="101">
        <v>0.875</v>
      </c>
      <c r="L69" s="101">
        <v>0.79166666666666663</v>
      </c>
      <c r="M69" s="101">
        <v>0.33333333333333331</v>
      </c>
      <c r="N69" s="101">
        <v>0.125</v>
      </c>
      <c r="O69" s="15" t="s">
        <v>79</v>
      </c>
      <c r="P69" s="15"/>
      <c r="Q69" s="15">
        <f>VLOOKUP(Table2[[#This Row],[Course Title]],'TSD-Data'!$A$1:$E$56,4,FALSE)</f>
        <v>45</v>
      </c>
      <c r="R69" s="15">
        <f>VLOOKUP(Table2[[#This Row],[Course Title]],'TSD-Data'!$A$1:$F$53,6,FALSE)</f>
        <v>16</v>
      </c>
      <c r="S69" s="15">
        <f>VLOOKUP(Table2[[#This Row],[Course Title]],'TSD-Data'!$A$1:$E$56,5,FALSE)</f>
        <v>2</v>
      </c>
      <c r="T69" s="15">
        <v>621</v>
      </c>
      <c r="U69" s="15"/>
      <c r="V69" s="15"/>
      <c r="W69" s="104"/>
      <c r="X69" s="104"/>
      <c r="Y69" s="100"/>
      <c r="Z69" s="100"/>
      <c r="AA69" s="104"/>
      <c r="AB69" s="99"/>
      <c r="AC69" s="71">
        <f ca="1">Table2[[#This Row],[End Date]]+2-TODAY()</f>
        <v>101</v>
      </c>
      <c r="AD69" s="15">
        <f>IF(ISBLANK(Table2[[#This Row],[Roster Received By]]),1,0)</f>
        <v>1</v>
      </c>
      <c r="AE69" s="15">
        <f ca="1">IF(Table2[[#This Row],[Start Date]]&gt;TODAY(),1,)</f>
        <v>1</v>
      </c>
      <c r="AF69" s="106"/>
    </row>
    <row r="70" spans="1:32" x14ac:dyDescent="0.25">
      <c r="A70" s="62"/>
      <c r="B70" s="99" t="s">
        <v>53</v>
      </c>
      <c r="C70" s="100" t="str">
        <f>VLOOKUP(Table2[[#This Row],[Course Title]],'TSD-Data'!$A$1:$E$56,2,FALSE)</f>
        <v>A-493-0072</v>
      </c>
      <c r="D70" s="100" t="str">
        <f>VLOOKUP(Table2[[#This Row],[Course Title]],'TSD-Data'!$A$1:$E$56,3,FALSE)</f>
        <v>713U</v>
      </c>
      <c r="E70" s="99" t="s">
        <v>183</v>
      </c>
      <c r="F70" s="102">
        <v>45628</v>
      </c>
      <c r="G70" s="102">
        <v>45632</v>
      </c>
      <c r="H70" s="105">
        <v>0.33333333333333331</v>
      </c>
      <c r="I70" s="108"/>
      <c r="J70" s="108"/>
      <c r="K70" s="108"/>
      <c r="L70" s="108"/>
      <c r="M70" s="108"/>
      <c r="N70" s="230"/>
      <c r="O70" s="15" t="s">
        <v>171</v>
      </c>
      <c r="P70" s="15" t="s">
        <v>201</v>
      </c>
      <c r="Q70" s="15">
        <f>VLOOKUP(Table2[[#This Row],[Course Title]],'TSD-Data'!$A$1:$E$56,4,FALSE)</f>
        <v>30</v>
      </c>
      <c r="R70" s="15">
        <f>VLOOKUP(Table2[[#This Row],[Course Title]],'TSD-Data'!$A$1:$F$53,6,FALSE)</f>
        <v>40</v>
      </c>
      <c r="S70" s="15">
        <f>VLOOKUP(Table2[[#This Row],[Course Title]],'TSD-Data'!$A$1:$E$56,5,FALSE)</f>
        <v>5</v>
      </c>
      <c r="T70" s="15">
        <v>32</v>
      </c>
      <c r="U70" s="15"/>
      <c r="V70" s="15"/>
      <c r="W70" s="15"/>
      <c r="X70" s="103"/>
      <c r="Y70" s="15"/>
      <c r="Z70" s="15"/>
      <c r="AA70" s="15"/>
      <c r="AB70" s="99"/>
      <c r="AC70" s="71">
        <f ca="1">Table2[[#This Row],[End Date]]+2-TODAY()</f>
        <v>102</v>
      </c>
      <c r="AD70" s="15">
        <f>IF(ISBLANK(Table2[[#This Row],[Roster Received By]]),1,0)</f>
        <v>1</v>
      </c>
      <c r="AE70" s="15">
        <f ca="1">IF(Table2[[#This Row],[Start Date]]&gt;TODAY(),1,)</f>
        <v>1</v>
      </c>
      <c r="AF70" s="135"/>
    </row>
    <row r="71" spans="1:32" x14ac:dyDescent="0.25">
      <c r="A71" s="62"/>
      <c r="B71" s="99" t="s">
        <v>57</v>
      </c>
      <c r="C71" s="100" t="str">
        <f>VLOOKUP(Table2[[#This Row],[Course Title]],'TSD-Data'!$A$1:$E$56,2,FALSE)</f>
        <v>A-493-0099</v>
      </c>
      <c r="D71" s="100" t="str">
        <f>VLOOKUP(Table2[[#This Row],[Course Title]],'TSD-Data'!$A$1:$E$56,3,FALSE)</f>
        <v>12JW</v>
      </c>
      <c r="E71" s="99" t="s">
        <v>80</v>
      </c>
      <c r="F71" s="102">
        <v>45629</v>
      </c>
      <c r="G71" s="102">
        <v>45631</v>
      </c>
      <c r="H71" s="102"/>
      <c r="I71" s="101">
        <v>0.33333333333333331</v>
      </c>
      <c r="J71" s="105">
        <v>0.20833333333333334</v>
      </c>
      <c r="K71" s="105">
        <v>0.66666666666666663</v>
      </c>
      <c r="L71" s="105">
        <v>0.58333333333333337</v>
      </c>
      <c r="M71" s="105">
        <v>0.125</v>
      </c>
      <c r="N71" s="105">
        <v>0.91666666666666663</v>
      </c>
      <c r="O71" s="15" t="s">
        <v>145</v>
      </c>
      <c r="P71" s="15"/>
      <c r="Q71" s="15">
        <f>VLOOKUP(Table2[[#This Row],[Course Title]],'TSD-Data'!$A$1:$E$56,4,FALSE)</f>
        <v>45</v>
      </c>
      <c r="R71" s="15">
        <f>VLOOKUP(Table2[[#This Row],[Course Title]],'TSD-Data'!$A$1:$F$53,6,FALSE)</f>
        <v>24</v>
      </c>
      <c r="S71" s="15">
        <f>VLOOKUP(Table2[[#This Row],[Course Title]],'TSD-Data'!$A$1:$E$56,5,FALSE)</f>
        <v>3</v>
      </c>
      <c r="T71" s="15">
        <v>368</v>
      </c>
      <c r="U71" s="15"/>
      <c r="V71" s="15"/>
      <c r="W71" s="15"/>
      <c r="X71" s="103"/>
      <c r="Y71" s="15"/>
      <c r="Z71" s="15"/>
      <c r="AA71" s="15"/>
      <c r="AB71" s="99"/>
      <c r="AC71" s="71">
        <f ca="1">Table2[[#This Row],[End Date]]+2-TODAY()</f>
        <v>101</v>
      </c>
      <c r="AD71" s="15">
        <f>IF(ISBLANK(Table2[[#This Row],[Roster Received By]]),1,0)</f>
        <v>1</v>
      </c>
      <c r="AE71" s="15">
        <f ca="1">IF(Table2[[#This Row],[Start Date]]&gt;TODAY(),1,)</f>
        <v>1</v>
      </c>
      <c r="AF71" s="106"/>
    </row>
    <row r="72" spans="1:32" x14ac:dyDescent="0.25">
      <c r="A72" s="62"/>
      <c r="B72" s="99" t="s">
        <v>34</v>
      </c>
      <c r="C72" s="100" t="str">
        <f>VLOOKUP(Table2[[#This Row],[Course Title]],'TSD-Data'!$A$1:$E$56,2,FALSE)</f>
        <v>A-493-0216</v>
      </c>
      <c r="D72" s="100" t="str">
        <f>VLOOKUP(Table2[[#This Row],[Course Title]],'TSD-Data'!$A$1:$E$56,3,FALSE)</f>
        <v>12X8</v>
      </c>
      <c r="E72" s="99" t="s">
        <v>274</v>
      </c>
      <c r="F72" s="102">
        <v>45630</v>
      </c>
      <c r="G72" s="102">
        <v>45630</v>
      </c>
      <c r="H72" s="105">
        <v>0.33333333333333331</v>
      </c>
      <c r="I72" s="108"/>
      <c r="J72" s="230"/>
      <c r="K72" s="230"/>
      <c r="L72" s="230"/>
      <c r="M72" s="230"/>
      <c r="N72" s="230"/>
      <c r="O72" s="15" t="s">
        <v>94</v>
      </c>
      <c r="P72" s="15"/>
      <c r="Q72" s="103">
        <f>VLOOKUP(Table2[[#This Row],[Course Title]],'TSD-Data'!$A$1:$E$56,4,FALSE)</f>
        <v>30</v>
      </c>
      <c r="R72" s="15">
        <f>VLOOKUP(Table2[[#This Row],[Course Title]],'TSD-Data'!$A$1:$F$53,6,FALSE)</f>
        <v>8</v>
      </c>
      <c r="S72" s="104">
        <f>VLOOKUP(Table2[[#This Row],[Course Title]],'TSD-Data'!$A$1:$E$56,5,FALSE)</f>
        <v>1</v>
      </c>
      <c r="T72" s="104">
        <v>7</v>
      </c>
      <c r="U72" s="104"/>
      <c r="V72" s="104"/>
      <c r="W72" s="103"/>
      <c r="X72" s="103"/>
      <c r="Y72" s="15"/>
      <c r="Z72" s="15"/>
      <c r="AA72" s="15"/>
      <c r="AB72" s="99"/>
      <c r="AC72" s="71">
        <f ca="1">Table2[[#This Row],[End Date]]+2-TODAY()</f>
        <v>100</v>
      </c>
      <c r="AD72" s="15">
        <f>IF(ISBLANK(Table2[[#This Row],[Roster Received By]]),1,0)</f>
        <v>1</v>
      </c>
      <c r="AE72" s="15">
        <f ca="1">IF(Table2[[#This Row],[Start Date]]&gt;TODAY(),1,)</f>
        <v>1</v>
      </c>
      <c r="AF72" s="106"/>
    </row>
    <row r="73" spans="1:32" x14ac:dyDescent="0.25">
      <c r="A73" s="99"/>
      <c r="B73" s="99" t="s">
        <v>15</v>
      </c>
      <c r="C73" s="100" t="str">
        <f>VLOOKUP(Table2[[#This Row],[Course Title]],'TSD-Data'!$A$1:$E$56,2,FALSE)</f>
        <v>A-4J-0022</v>
      </c>
      <c r="D73" s="100" t="str">
        <f>VLOOKUP(Table2[[#This Row],[Course Title]],'TSD-Data'!$A$1:$E$56,3,FALSE)</f>
        <v>09ER</v>
      </c>
      <c r="E73" s="99" t="s">
        <v>80</v>
      </c>
      <c r="F73" s="102">
        <v>45635</v>
      </c>
      <c r="G73" s="102">
        <v>45639</v>
      </c>
      <c r="H73" s="105"/>
      <c r="I73" s="105">
        <v>0.33333333333333331</v>
      </c>
      <c r="J73" s="105">
        <v>0.20833333333333334</v>
      </c>
      <c r="K73" s="105">
        <v>0.66666666666666663</v>
      </c>
      <c r="L73" s="105">
        <v>0.58333333333333337</v>
      </c>
      <c r="M73" s="105">
        <v>0.125</v>
      </c>
      <c r="N73" s="105">
        <v>0.91666666666666663</v>
      </c>
      <c r="O73" s="15" t="s">
        <v>85</v>
      </c>
      <c r="P73" s="15"/>
      <c r="Q73" s="15">
        <f>VLOOKUP(Table2[[#This Row],[Course Title]],'TSD-Data'!$A$1:$E$56,4,FALSE)</f>
        <v>45</v>
      </c>
      <c r="R73" s="15">
        <f>VLOOKUP(Table2[[#This Row],[Course Title]],'TSD-Data'!$A$1:$F$53,6,FALSE)</f>
        <v>16</v>
      </c>
      <c r="S73" s="15">
        <f>VLOOKUP(Table2[[#This Row],[Course Title]],'TSD-Data'!$A$1:$E$56,5,FALSE)</f>
        <v>2</v>
      </c>
      <c r="T73" s="15">
        <v>85</v>
      </c>
      <c r="U73" s="15"/>
      <c r="V73" s="15"/>
      <c r="W73" s="15"/>
      <c r="X73" s="103"/>
      <c r="Y73" s="15"/>
      <c r="Z73" s="15"/>
      <c r="AA73" s="15"/>
      <c r="AB73" s="99"/>
      <c r="AC73" s="71">
        <f ca="1">Table2[[#This Row],[End Date]]+2-TODAY()</f>
        <v>109</v>
      </c>
      <c r="AD73" s="15">
        <f>IF(ISBLANK(Table2[[#This Row],[Roster Received By]]),1,0)</f>
        <v>1</v>
      </c>
      <c r="AE73" s="15">
        <f ca="1">IF(Table2[[#This Row],[Start Date]]&gt;TODAY(),1,)</f>
        <v>1</v>
      </c>
      <c r="AF73" s="106"/>
    </row>
    <row r="74" spans="1:32" x14ac:dyDescent="0.25">
      <c r="A74" s="99"/>
      <c r="B74" s="99" t="s">
        <v>37</v>
      </c>
      <c r="C74" s="100" t="str">
        <f>VLOOKUP(Table2[[#This Row],[Course Title]],'TSD-Data'!$A$1:$E$56,2,FALSE)</f>
        <v>A-493-0665</v>
      </c>
      <c r="D74" s="100" t="str">
        <f>VLOOKUP(Table2[[#This Row],[Course Title]],'TSD-Data'!$A$1:$E$56,3,FALSE)</f>
        <v>10KW</v>
      </c>
      <c r="E74" s="99" t="s">
        <v>80</v>
      </c>
      <c r="F74" s="102">
        <v>45635</v>
      </c>
      <c r="G74" s="102">
        <v>45639</v>
      </c>
      <c r="H74" s="105"/>
      <c r="I74" s="105">
        <v>0.33333333333333331</v>
      </c>
      <c r="J74" s="105">
        <v>0.20833333333333334</v>
      </c>
      <c r="K74" s="105">
        <v>0.66666666666666663</v>
      </c>
      <c r="L74" s="105">
        <v>0.58333333333333337</v>
      </c>
      <c r="M74" s="105">
        <v>0.125</v>
      </c>
      <c r="N74" s="105">
        <v>0.91666666666666663</v>
      </c>
      <c r="O74" s="15" t="s">
        <v>110</v>
      </c>
      <c r="P74" s="15"/>
      <c r="Q74" s="15">
        <f>VLOOKUP(Table2[[#This Row],[Course Title]],'TSD-Data'!$A$1:$E$56,4,FALSE)</f>
        <v>45</v>
      </c>
      <c r="R74" s="15">
        <f>VLOOKUP(Table2[[#This Row],[Course Title]],'TSD-Data'!$A$1:$F$53,6,FALSE)</f>
        <v>24</v>
      </c>
      <c r="S74" s="15">
        <f>VLOOKUP(Table2[[#This Row],[Course Title]],'TSD-Data'!$A$1:$E$56,5,FALSE)</f>
        <v>3</v>
      </c>
      <c r="T74" s="15">
        <v>172</v>
      </c>
      <c r="U74" s="15"/>
      <c r="V74" s="15"/>
      <c r="W74" s="15"/>
      <c r="X74" s="103"/>
      <c r="Y74" s="15"/>
      <c r="Z74" s="15"/>
      <c r="AA74" s="100"/>
      <c r="AB74" s="99"/>
      <c r="AC74" s="71">
        <f ca="1">Table2[[#This Row],[End Date]]+2-TODAY()</f>
        <v>109</v>
      </c>
      <c r="AD74" s="15">
        <f>IF(ISBLANK(Table2[[#This Row],[Roster Received By]]),1,0)</f>
        <v>1</v>
      </c>
      <c r="AE74" s="15">
        <f ca="1">IF(Table2[[#This Row],[Start Date]]&gt;TODAY(),1,)</f>
        <v>1</v>
      </c>
      <c r="AF74" s="106"/>
    </row>
    <row r="75" spans="1:32" x14ac:dyDescent="0.25">
      <c r="A75" s="62"/>
      <c r="B75" s="99" t="s">
        <v>55</v>
      </c>
      <c r="C75" s="100" t="str">
        <f>VLOOKUP(Table2[[#This Row],[Course Title]],'TSD-Data'!$A$1:$E$56,2,FALSE)</f>
        <v>A-493-0103</v>
      </c>
      <c r="D75" s="100" t="str">
        <f>VLOOKUP(Table2[[#This Row],[Course Title]],'TSD-Data'!$A$1:$E$56,3,FALSE)</f>
        <v>12JY</v>
      </c>
      <c r="E75" s="65" t="s">
        <v>292</v>
      </c>
      <c r="F75" s="102">
        <v>45635</v>
      </c>
      <c r="G75" s="102">
        <v>45639</v>
      </c>
      <c r="H75" s="105">
        <v>0.33333333333333331</v>
      </c>
      <c r="I75" s="226"/>
      <c r="J75" s="226"/>
      <c r="K75" s="226"/>
      <c r="L75" s="226"/>
      <c r="M75" s="226"/>
      <c r="N75" s="226"/>
      <c r="O75" s="15" t="s">
        <v>160</v>
      </c>
      <c r="P75" s="15"/>
      <c r="Q75" s="15">
        <f>VLOOKUP(Table2[[#This Row],[Course Title]],'TSD-Data'!$A$1:$E$56,4,FALSE)</f>
        <v>25</v>
      </c>
      <c r="R75" s="15">
        <f>VLOOKUP(Table2[[#This Row],[Course Title]],'TSD-Data'!$A$1:$F$53,6,FALSE)</f>
        <v>40</v>
      </c>
      <c r="S75" s="15">
        <f>VLOOKUP(Table2[[#This Row],[Course Title]],'TSD-Data'!$A$1:$E$56,5,FALSE)</f>
        <v>5</v>
      </c>
      <c r="T75" s="15">
        <v>248</v>
      </c>
      <c r="U75" s="15"/>
      <c r="V75" s="15"/>
      <c r="W75" s="15"/>
      <c r="X75" s="103"/>
      <c r="Y75" s="15"/>
      <c r="Z75" s="15"/>
      <c r="AA75" s="103"/>
      <c r="AB75" s="99"/>
      <c r="AC75" s="71">
        <f ca="1">Table2[[#This Row],[End Date]]+2-TODAY()</f>
        <v>109</v>
      </c>
      <c r="AD75" s="15">
        <f>IF(ISBLANK(Table2[[#This Row],[Roster Received By]]),1,0)</f>
        <v>1</v>
      </c>
      <c r="AE75" s="15">
        <f ca="1">IF(Table2[[#This Row],[Start Date]]&gt;TODAY(),1,)</f>
        <v>1</v>
      </c>
      <c r="AF75" s="106"/>
    </row>
    <row r="76" spans="1:32" x14ac:dyDescent="0.25">
      <c r="A76" s="62"/>
      <c r="B76" s="99" t="s">
        <v>55</v>
      </c>
      <c r="C76" s="100" t="str">
        <f>VLOOKUP(Table2[[#This Row],[Course Title]],'TSD-Data'!$A$1:$E$56,2,FALSE)</f>
        <v>A-493-0103</v>
      </c>
      <c r="D76" s="100" t="str">
        <f>VLOOKUP(Table2[[#This Row],[Course Title]],'TSD-Data'!$A$1:$E$56,3,FALSE)</f>
        <v>12JY</v>
      </c>
      <c r="E76" s="65" t="s">
        <v>206</v>
      </c>
      <c r="F76" s="102">
        <v>45635</v>
      </c>
      <c r="G76" s="102">
        <v>45639</v>
      </c>
      <c r="H76" s="105">
        <v>0.33333333333333331</v>
      </c>
      <c r="I76" s="101"/>
      <c r="J76" s="226"/>
      <c r="K76" s="226"/>
      <c r="L76" s="226"/>
      <c r="M76" s="226"/>
      <c r="N76" s="226"/>
      <c r="O76" s="15" t="s">
        <v>160</v>
      </c>
      <c r="P76" s="15"/>
      <c r="Q76" s="15">
        <f>VLOOKUP(Table2[[#This Row],[Course Title]],'TSD-Data'!$A$1:$E$56,4,FALSE)</f>
        <v>25</v>
      </c>
      <c r="R76" s="15">
        <f>VLOOKUP(Table2[[#This Row],[Course Title]],'TSD-Data'!$A$1:$F$53,6,FALSE)</f>
        <v>40</v>
      </c>
      <c r="S76" s="15">
        <f>VLOOKUP(Table2[[#This Row],[Course Title]],'TSD-Data'!$A$1:$E$56,5,FALSE)</f>
        <v>5</v>
      </c>
      <c r="T76" s="15">
        <v>86</v>
      </c>
      <c r="U76" s="15"/>
      <c r="V76" s="15"/>
      <c r="W76" s="15"/>
      <c r="X76" s="103"/>
      <c r="Y76" s="15"/>
      <c r="Z76" s="15"/>
      <c r="AA76" s="100"/>
      <c r="AB76" s="99"/>
      <c r="AC76" s="71">
        <f ca="1">Table2[[#This Row],[End Date]]+2-TODAY()</f>
        <v>109</v>
      </c>
      <c r="AD76" s="15">
        <f>IF(ISBLANK(Table2[[#This Row],[Roster Received By]]),1,0)</f>
        <v>1</v>
      </c>
      <c r="AE76" s="15">
        <f ca="1">IF(Table2[[#This Row],[Start Date]]&gt;TODAY(),1,)</f>
        <v>1</v>
      </c>
      <c r="AF76" s="106"/>
    </row>
    <row r="77" spans="1:32" x14ac:dyDescent="0.25">
      <c r="A77" s="99"/>
      <c r="B77" s="99" t="s">
        <v>61</v>
      </c>
      <c r="C77" s="100" t="str">
        <f>VLOOKUP(Table2[[#This Row],[Course Title]],'TSD-Data'!$A$1:$E$56,2,FALSE)</f>
        <v>A-493-0078</v>
      </c>
      <c r="D77" s="100">
        <f>VLOOKUP(Table2[[#This Row],[Course Title]],'TSD-Data'!$A$1:$E$56,3,FALSE)</f>
        <v>1228</v>
      </c>
      <c r="E77" s="99" t="s">
        <v>80</v>
      </c>
      <c r="F77" s="102">
        <v>45635</v>
      </c>
      <c r="G77" s="102">
        <v>45638</v>
      </c>
      <c r="H77" s="102"/>
      <c r="I77" s="101">
        <v>0.33333333333333331</v>
      </c>
      <c r="J77" s="105">
        <v>0.20833333333333334</v>
      </c>
      <c r="K77" s="105">
        <v>0.66666666666666663</v>
      </c>
      <c r="L77" s="105">
        <v>0.58333333333333337</v>
      </c>
      <c r="M77" s="105">
        <v>0.125</v>
      </c>
      <c r="N77" s="105">
        <v>0.91666666666666663</v>
      </c>
      <c r="O77" s="108" t="s">
        <v>141</v>
      </c>
      <c r="P77" s="15"/>
      <c r="Q77" s="15">
        <f>VLOOKUP(Table2[[#This Row],[Course Title]],'TSD-Data'!$A$1:$E$56,4,FALSE)</f>
        <v>45</v>
      </c>
      <c r="R77" s="15">
        <f>VLOOKUP(Table2[[#This Row],[Course Title]],'TSD-Data'!$A$1:$F$53,6,FALSE)</f>
        <v>32</v>
      </c>
      <c r="S77" s="15">
        <f>VLOOKUP(Table2[[#This Row],[Course Title]],'TSD-Data'!$A$1:$E$56,5,FALSE)</f>
        <v>4</v>
      </c>
      <c r="T77" s="15">
        <v>508</v>
      </c>
      <c r="U77" s="15"/>
      <c r="V77" s="15"/>
      <c r="W77" s="15"/>
      <c r="X77" s="103"/>
      <c r="Y77" s="15"/>
      <c r="Z77" s="15"/>
      <c r="AA77" s="15"/>
      <c r="AB77" s="99"/>
      <c r="AC77" s="71">
        <f ca="1">Table2[[#This Row],[End Date]]+2-TODAY()</f>
        <v>108</v>
      </c>
      <c r="AD77" s="15">
        <f>IF(ISBLANK(Table2[[#This Row],[Roster Received By]]),1,0)</f>
        <v>1</v>
      </c>
      <c r="AE77" s="15">
        <f ca="1">IF(Table2[[#This Row],[Start Date]]&gt;TODAY(),1,)</f>
        <v>1</v>
      </c>
      <c r="AF77" s="106"/>
    </row>
    <row r="78" spans="1:32" x14ac:dyDescent="0.25">
      <c r="A78" s="62"/>
      <c r="B78" s="99" t="s">
        <v>231</v>
      </c>
      <c r="C78" s="100" t="str">
        <f>VLOOKUP(Table2[[#This Row],[Course Title]],'TSD-Data'!$A$1:$E$56,2,FALSE)</f>
        <v>A-4J-0019</v>
      </c>
      <c r="D78" s="100" t="s">
        <v>381</v>
      </c>
      <c r="E78" s="99" t="s">
        <v>270</v>
      </c>
      <c r="F78" s="155">
        <v>45635</v>
      </c>
      <c r="G78" s="155">
        <v>45639</v>
      </c>
      <c r="H78" s="105">
        <v>0.33333333333333331</v>
      </c>
      <c r="I78" s="108"/>
      <c r="J78" s="230"/>
      <c r="K78" s="230"/>
      <c r="L78" s="230"/>
      <c r="M78" s="230"/>
      <c r="N78" s="230"/>
      <c r="O78" s="15" t="s">
        <v>205</v>
      </c>
      <c r="P78" s="360" t="s">
        <v>201</v>
      </c>
      <c r="Q78" s="103">
        <f>VLOOKUP(Table2[[#This Row],[Course Title]],'TSD-Data'!$A$1:$E$56,4,FALSE)</f>
        <v>20</v>
      </c>
      <c r="R78" s="15">
        <f>VLOOKUP(Table2[[#This Row],[Course Title]],'TSD-Data'!$A$1:$F$53,6,FALSE)</f>
        <v>0</v>
      </c>
      <c r="S78" s="104">
        <f>VLOOKUP(Table2[[#This Row],[Course Title]],'TSD-Data'!$A$1:$E$56,5,FALSE)</f>
        <v>5</v>
      </c>
      <c r="T78" s="104">
        <v>351</v>
      </c>
      <c r="U78" s="104"/>
      <c r="V78" s="104"/>
      <c r="W78" s="103"/>
      <c r="X78" s="103"/>
      <c r="Y78" s="15"/>
      <c r="Z78" s="15"/>
      <c r="AA78" s="15"/>
      <c r="AB78" s="99"/>
      <c r="AC78" s="71">
        <f ca="1">Table2[[#This Row],[End Date]]+2-TODAY()</f>
        <v>109</v>
      </c>
      <c r="AD78" s="15">
        <f>IF(ISBLANK(Table2[[#This Row],[Roster Received By]]),1,0)</f>
        <v>1</v>
      </c>
      <c r="AE78" s="15">
        <f ca="1">IF(Table2[[#This Row],[Start Date]]&gt;TODAY(),1,)</f>
        <v>1</v>
      </c>
      <c r="AF78" s="106"/>
    </row>
    <row r="79" spans="1:32" x14ac:dyDescent="0.25">
      <c r="A79" s="100"/>
      <c r="B79" s="99" t="s">
        <v>40</v>
      </c>
      <c r="C79" s="100" t="str">
        <f>VLOOKUP(Table2[[#This Row],[Course Title]],'TSD-Data'!$A$1:$E$56,2,FALSE)</f>
        <v>A-493-2098</v>
      </c>
      <c r="D79" s="100" t="str">
        <f>VLOOKUP(Table2[[#This Row],[Course Title]],'TSD-Data'!$A$1:$E$56,3,FALSE)</f>
        <v>09WW</v>
      </c>
      <c r="E79" s="99" t="s">
        <v>80</v>
      </c>
      <c r="F79" s="102">
        <v>45635</v>
      </c>
      <c r="G79" s="102">
        <v>45639</v>
      </c>
      <c r="H79" s="105"/>
      <c r="I79" s="105">
        <v>0.54166666666666663</v>
      </c>
      <c r="J79" s="101">
        <v>0.41666666666666669</v>
      </c>
      <c r="K79" s="101">
        <v>0.875</v>
      </c>
      <c r="L79" s="101">
        <v>0.79166666666666663</v>
      </c>
      <c r="M79" s="101">
        <v>0.33333333333333331</v>
      </c>
      <c r="N79" s="101">
        <v>0.125</v>
      </c>
      <c r="O79" s="15" t="s">
        <v>124</v>
      </c>
      <c r="P79" s="15"/>
      <c r="Q79" s="15">
        <f>VLOOKUP(Table2[[#This Row],[Course Title]],'TSD-Data'!$A$1:$E$56,4,FALSE)</f>
        <v>100</v>
      </c>
      <c r="R79" s="15">
        <f>VLOOKUP(Table2[[#This Row],[Course Title]],'TSD-Data'!$A$1:$F$53,6,FALSE)</f>
        <v>16</v>
      </c>
      <c r="S79" s="15">
        <f>VLOOKUP(Table2[[#This Row],[Course Title]],'TSD-Data'!$A$1:$E$56,5,FALSE)</f>
        <v>2</v>
      </c>
      <c r="T79" s="15">
        <v>1432</v>
      </c>
      <c r="U79" s="15"/>
      <c r="V79" s="15"/>
      <c r="W79" s="104"/>
      <c r="X79" s="104"/>
      <c r="Y79" s="100"/>
      <c r="Z79" s="100"/>
      <c r="AA79" s="104"/>
      <c r="AB79" s="99"/>
      <c r="AC79" s="71">
        <f ca="1">Table2[[#This Row],[End Date]]+2-TODAY()</f>
        <v>109</v>
      </c>
      <c r="AD79" s="15">
        <f>IF(ISBLANK(Table2[[#This Row],[Roster Received By]]),1,0)</f>
        <v>1</v>
      </c>
      <c r="AE79" s="15">
        <f ca="1">IF(Table2[[#This Row],[Start Date]]&gt;TODAY(),1,)</f>
        <v>1</v>
      </c>
      <c r="AF79" s="106"/>
    </row>
    <row r="80" spans="1:32" x14ac:dyDescent="0.25">
      <c r="A80" s="62"/>
      <c r="B80" s="99" t="s">
        <v>58</v>
      </c>
      <c r="C80" s="100" t="str">
        <f>VLOOKUP(Table2[[#This Row],[Course Title]],'TSD-Data'!$A$1:$E$56,2,FALSE)</f>
        <v xml:space="preserve">A-493-0075 </v>
      </c>
      <c r="D80" s="100" t="str">
        <f>VLOOKUP(Table2[[#This Row],[Course Title]],'TSD-Data'!$A$1:$E$56,3,FALSE)</f>
        <v>714U</v>
      </c>
      <c r="E80" s="99" t="s">
        <v>146</v>
      </c>
      <c r="F80" s="102">
        <v>45636</v>
      </c>
      <c r="G80" s="102">
        <v>45639</v>
      </c>
      <c r="H80" s="105">
        <v>0.33333333333333331</v>
      </c>
      <c r="I80" s="108"/>
      <c r="J80" s="230"/>
      <c r="K80" s="230"/>
      <c r="L80" s="230"/>
      <c r="M80" s="230"/>
      <c r="N80" s="230"/>
      <c r="O80" s="15" t="s">
        <v>160</v>
      </c>
      <c r="P80" s="15"/>
      <c r="Q80" s="15">
        <f>VLOOKUP(Table2[[#This Row],[Course Title]],'TSD-Data'!$A$1:$E$56,4,FALSE)</f>
        <v>30</v>
      </c>
      <c r="R80" s="15">
        <f>VLOOKUP(Table2[[#This Row],[Course Title]],'TSD-Data'!$A$1:$F$53,6,FALSE)</f>
        <v>32</v>
      </c>
      <c r="S80" s="15">
        <f>VLOOKUP(Table2[[#This Row],[Course Title]],'TSD-Data'!$A$1:$E$56,5,FALSE)</f>
        <v>4</v>
      </c>
      <c r="T80" s="15">
        <v>19</v>
      </c>
      <c r="U80" s="15"/>
      <c r="V80" s="15"/>
      <c r="W80" s="15"/>
      <c r="X80" s="103"/>
      <c r="Y80" s="15"/>
      <c r="Z80" s="15"/>
      <c r="AA80" s="15"/>
      <c r="AB80" s="99"/>
      <c r="AC80" s="71">
        <f ca="1">Table2[[#This Row],[End Date]]+2-TODAY()</f>
        <v>109</v>
      </c>
      <c r="AD80" s="15">
        <f>IF(ISBLANK(Table2[[#This Row],[Roster Received By]]),1,0)</f>
        <v>1</v>
      </c>
      <c r="AE80" s="15">
        <f ca="1">IF(Table2[[#This Row],[Start Date]]&gt;TODAY(),1,)</f>
        <v>1</v>
      </c>
      <c r="AF80" s="106"/>
    </row>
    <row r="81" spans="1:32" x14ac:dyDescent="0.25">
      <c r="A81" s="99"/>
      <c r="B81" s="99" t="s">
        <v>50</v>
      </c>
      <c r="C81" s="100" t="str">
        <f>VLOOKUP(Table2[[#This Row],[Course Title]],'TSD-Data'!$A$1:$E$56,2,FALSE)</f>
        <v>A-493-0331</v>
      </c>
      <c r="D81" s="100" t="str">
        <f>VLOOKUP(Table2[[#This Row],[Course Title]],'TSD-Data'!$A$1:$E$56,3,FALSE)</f>
        <v>10UG</v>
      </c>
      <c r="E81" s="99" t="s">
        <v>80</v>
      </c>
      <c r="F81" s="102">
        <v>45636</v>
      </c>
      <c r="G81" s="102">
        <v>45638</v>
      </c>
      <c r="H81" s="102"/>
      <c r="I81" s="101">
        <v>0.5</v>
      </c>
      <c r="J81" s="101">
        <v>0.375</v>
      </c>
      <c r="K81" s="101">
        <v>0.83333333333333337</v>
      </c>
      <c r="L81" s="101">
        <v>0.75</v>
      </c>
      <c r="M81" s="101">
        <v>0.29166666666666669</v>
      </c>
      <c r="N81" s="101">
        <v>8.3333333333333329E-2</v>
      </c>
      <c r="O81" s="15" t="s">
        <v>186</v>
      </c>
      <c r="P81" s="15" t="s">
        <v>179</v>
      </c>
      <c r="Q81" s="15">
        <f>VLOOKUP(Table2[[#This Row],[Course Title]],'TSD-Data'!$A$1:$E$56,4,FALSE)</f>
        <v>45</v>
      </c>
      <c r="R81" s="15">
        <f>VLOOKUP(Table2[[#This Row],[Course Title]],'TSD-Data'!$A$1:$F$53,6,FALSE)</f>
        <v>24</v>
      </c>
      <c r="S81" s="15">
        <f>VLOOKUP(Table2[[#This Row],[Course Title]],'TSD-Data'!$A$1:$E$56,5,FALSE)</f>
        <v>3</v>
      </c>
      <c r="T81" s="15">
        <v>805</v>
      </c>
      <c r="U81" s="15"/>
      <c r="V81" s="15"/>
      <c r="W81" s="15"/>
      <c r="X81" s="103"/>
      <c r="Y81" s="15"/>
      <c r="Z81" s="15"/>
      <c r="AA81" s="15"/>
      <c r="AB81" s="99"/>
      <c r="AC81" s="71">
        <f ca="1">Table2[[#This Row],[End Date]]+2-TODAY()</f>
        <v>108</v>
      </c>
      <c r="AD81" s="15">
        <f>IF(ISBLANK(Table2[[#This Row],[Roster Received By]]),1,0)</f>
        <v>1</v>
      </c>
      <c r="AE81" s="15">
        <f ca="1">IF(Table2[[#This Row],[Start Date]]&gt;TODAY(),1,)</f>
        <v>1</v>
      </c>
      <c r="AF81" s="106"/>
    </row>
    <row r="82" spans="1:32" x14ac:dyDescent="0.25">
      <c r="A82" s="62" t="s">
        <v>382</v>
      </c>
      <c r="B82" s="99" t="s">
        <v>264</v>
      </c>
      <c r="C82" s="100" t="str">
        <f>VLOOKUP(Table2[[#This Row],[Course Title]],'TSD-Data'!$A$1:$E$56,2,FALSE)</f>
        <v>Function</v>
      </c>
      <c r="D82" s="100" t="str">
        <f>VLOOKUP(Table2[[#This Row],[Course Title]],'TSD-Data'!$A$1:$E$56,3,FALSE)</f>
        <v>Function</v>
      </c>
      <c r="E82" s="99" t="s">
        <v>268</v>
      </c>
      <c r="F82" s="102">
        <v>45642</v>
      </c>
      <c r="G82" s="102">
        <v>45642</v>
      </c>
      <c r="H82" s="102"/>
      <c r="I82" s="101"/>
      <c r="J82" s="105"/>
      <c r="K82" s="105"/>
      <c r="L82" s="105"/>
      <c r="M82" s="105"/>
      <c r="N82" s="105"/>
      <c r="O82" s="15"/>
      <c r="P82" s="15"/>
      <c r="Q82" s="15">
        <f>VLOOKUP(Table2[[#This Row],[Course Title]],'TSD-Data'!$A$1:$E$56,4,FALSE)</f>
        <v>0</v>
      </c>
      <c r="R82" s="15">
        <f>VLOOKUP(Table2[[#This Row],[Course Title]],'TSD-Data'!$A$1:$F$53,6,FALSE)</f>
        <v>0</v>
      </c>
      <c r="S82" s="15">
        <f>VLOOKUP(Table2[[#This Row],[Course Title]],'TSD-Data'!$A$1:$E$56,5,FALSE)</f>
        <v>0</v>
      </c>
      <c r="T82" s="15">
        <v>0</v>
      </c>
      <c r="U82" s="15"/>
      <c r="V82" s="15"/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99" t="s">
        <v>100</v>
      </c>
      <c r="AC82" s="71">
        <f ca="1">Table2[[#This Row],[End Date]]+2-TODAY()</f>
        <v>112</v>
      </c>
      <c r="AD82" s="15">
        <f>IF(ISBLANK(Table2[[#This Row],[Roster Received By]]),1,0)</f>
        <v>0</v>
      </c>
      <c r="AE82" s="15">
        <f ca="1">IF(Table2[[#This Row],[Start Date]]&gt;TODAY(),1,)</f>
        <v>1</v>
      </c>
      <c r="AF82" s="106"/>
    </row>
    <row r="83" spans="1:32" x14ac:dyDescent="0.25">
      <c r="A83" s="62"/>
      <c r="B83" s="99" t="s">
        <v>55</v>
      </c>
      <c r="C83" s="100" t="str">
        <f>VLOOKUP(Table2[[#This Row],[Course Title]],'TSD-Data'!$A$1:$E$56,2,FALSE)</f>
        <v>A-493-0103</v>
      </c>
      <c r="D83" s="100" t="str">
        <f>VLOOKUP(Table2[[#This Row],[Course Title]],'TSD-Data'!$A$1:$E$56,3,FALSE)</f>
        <v>12JY</v>
      </c>
      <c r="E83" s="65" t="s">
        <v>267</v>
      </c>
      <c r="F83" s="67">
        <v>45642</v>
      </c>
      <c r="G83" s="67">
        <v>45646</v>
      </c>
      <c r="H83" s="105">
        <v>0.33333333333333331</v>
      </c>
      <c r="I83" s="101"/>
      <c r="J83" s="226"/>
      <c r="K83" s="226"/>
      <c r="L83" s="226"/>
      <c r="M83" s="226"/>
      <c r="N83" s="226"/>
      <c r="O83" s="15" t="s">
        <v>160</v>
      </c>
      <c r="P83" s="15"/>
      <c r="Q83" s="15">
        <f>VLOOKUP(Table2[[#This Row],[Course Title]],'TSD-Data'!$A$1:$E$56,4,FALSE)</f>
        <v>25</v>
      </c>
      <c r="R83" s="15">
        <f>VLOOKUP(Table2[[#This Row],[Course Title]],'TSD-Data'!$A$1:$F$53,6,FALSE)</f>
        <v>40</v>
      </c>
      <c r="S83" s="15">
        <f>VLOOKUP(Table2[[#This Row],[Course Title]],'TSD-Data'!$A$1:$E$56,5,FALSE)</f>
        <v>5</v>
      </c>
      <c r="T83" s="15">
        <v>332</v>
      </c>
      <c r="U83" s="15"/>
      <c r="V83" s="15"/>
      <c r="W83" s="15"/>
      <c r="X83" s="103"/>
      <c r="Y83" s="15"/>
      <c r="Z83" s="15"/>
      <c r="AA83" s="15"/>
      <c r="AB83" s="99"/>
      <c r="AC83" s="71">
        <f ca="1">Table2[[#This Row],[End Date]]+2-TODAY()</f>
        <v>116</v>
      </c>
      <c r="AD83" s="15">
        <f>IF(ISBLANK(Table2[[#This Row],[Roster Received By]]),1,0)</f>
        <v>1</v>
      </c>
      <c r="AE83" s="15">
        <f ca="1">IF(Table2[[#This Row],[Start Date]]&gt;TODAY(),1,)</f>
        <v>1</v>
      </c>
      <c r="AF83" s="106"/>
    </row>
    <row r="84" spans="1:32" x14ac:dyDescent="0.25">
      <c r="A84" s="62"/>
      <c r="B84" s="99" t="s">
        <v>55</v>
      </c>
      <c r="C84" s="100" t="str">
        <f>VLOOKUP(Table2[[#This Row],[Course Title]],'TSD-Data'!$A$1:$E$56,2,FALSE)</f>
        <v>A-493-0103</v>
      </c>
      <c r="D84" s="100" t="str">
        <f>VLOOKUP(Table2[[#This Row],[Course Title]],'TSD-Data'!$A$1:$E$56,3,FALSE)</f>
        <v>12JY</v>
      </c>
      <c r="E84" s="99" t="s">
        <v>292</v>
      </c>
      <c r="F84" s="102">
        <v>45642</v>
      </c>
      <c r="G84" s="102">
        <v>45646</v>
      </c>
      <c r="H84" s="105">
        <v>0.33333333333333331</v>
      </c>
      <c r="I84" s="108"/>
      <c r="J84" s="230"/>
      <c r="K84" s="230"/>
      <c r="L84" s="230"/>
      <c r="M84" s="230"/>
      <c r="N84" s="230"/>
      <c r="O84" s="15" t="s">
        <v>160</v>
      </c>
      <c r="P84" s="15"/>
      <c r="Q84" s="15">
        <f>VLOOKUP(Table2[[#This Row],[Course Title]],'TSD-Data'!$A$1:$E$56,4,FALSE)</f>
        <v>25</v>
      </c>
      <c r="R84" s="15">
        <f>VLOOKUP(Table2[[#This Row],[Course Title]],'TSD-Data'!$A$1:$F$53,6,FALSE)</f>
        <v>40</v>
      </c>
      <c r="S84" s="15">
        <f>VLOOKUP(Table2[[#This Row],[Course Title]],'TSD-Data'!$A$1:$E$56,5,FALSE)</f>
        <v>5</v>
      </c>
      <c r="T84" s="15">
        <v>248</v>
      </c>
      <c r="U84" s="15"/>
      <c r="V84" s="15"/>
      <c r="W84" s="15"/>
      <c r="X84" s="103"/>
      <c r="Y84" s="15"/>
      <c r="Z84" s="15"/>
      <c r="AA84" s="15"/>
      <c r="AB84" s="99"/>
      <c r="AC84" s="71">
        <f ca="1">Table2[[#This Row],[End Date]]+2-TODAY()</f>
        <v>116</v>
      </c>
      <c r="AD84" s="15">
        <f>IF(ISBLANK(Table2[[#This Row],[Roster Received By]]),1,0)</f>
        <v>1</v>
      </c>
      <c r="AE84" s="15">
        <f ca="1">IF(Table2[[#This Row],[Start Date]]&gt;TODAY(),1,)</f>
        <v>1</v>
      </c>
      <c r="AF84" s="106"/>
    </row>
    <row r="85" spans="1:32" x14ac:dyDescent="0.25">
      <c r="A85" s="62"/>
      <c r="B85" s="99" t="s">
        <v>59</v>
      </c>
      <c r="C85" s="100" t="str">
        <f>VLOOKUP(Table2[[#This Row],[Course Title]],'TSD-Data'!$A$1:$E$56,2,FALSE)</f>
        <v>A-493-0550</v>
      </c>
      <c r="D85" s="100" t="str">
        <f>VLOOKUP(Table2[[#This Row],[Course Title]],'TSD-Data'!$A$1:$E$56,3,FALSE)</f>
        <v>09K5</v>
      </c>
      <c r="E85" s="99" t="s">
        <v>80</v>
      </c>
      <c r="F85" s="102">
        <v>45642</v>
      </c>
      <c r="G85" s="102">
        <v>45645</v>
      </c>
      <c r="H85" s="105"/>
      <c r="I85" s="108">
        <v>0.54166666666666663</v>
      </c>
      <c r="J85" s="101">
        <v>0.41666666666666669</v>
      </c>
      <c r="K85" s="101">
        <v>0.875</v>
      </c>
      <c r="L85" s="101">
        <v>0.79166666666666663</v>
      </c>
      <c r="M85" s="101">
        <v>0.33333333333333331</v>
      </c>
      <c r="N85" s="101">
        <v>0.125</v>
      </c>
      <c r="O85" s="15" t="s">
        <v>145</v>
      </c>
      <c r="P85" s="15"/>
      <c r="Q85" s="103">
        <f>VLOOKUP(Table2[[#This Row],[Course Title]],'TSD-Data'!$A$1:$E$56,4,FALSE)</f>
        <v>45</v>
      </c>
      <c r="R85" s="15">
        <f>VLOOKUP(Table2[[#This Row],[Course Title]],'TSD-Data'!$A$1:$F$53,6,FALSE)</f>
        <v>32</v>
      </c>
      <c r="S85" s="15">
        <f>VLOOKUP(Table2[[#This Row],[Course Title]],'TSD-Data'!$A$1:$E$56,5,FALSE)</f>
        <v>4</v>
      </c>
      <c r="T85" s="15">
        <v>949</v>
      </c>
      <c r="U85" s="15"/>
      <c r="V85" s="15"/>
      <c r="W85" s="103"/>
      <c r="X85" s="103"/>
      <c r="Y85" s="15"/>
      <c r="Z85" s="15"/>
      <c r="AA85" s="15"/>
      <c r="AB85" s="99"/>
      <c r="AC85" s="71">
        <f ca="1">Table2[[#This Row],[End Date]]+2-TODAY()</f>
        <v>115</v>
      </c>
      <c r="AD85" s="15">
        <f>IF(ISBLANK(Table2[[#This Row],[Roster Received By]]),1,0)</f>
        <v>1</v>
      </c>
      <c r="AE85" s="15">
        <f ca="1">IF(Table2[[#This Row],[Start Date]]&gt;TODAY(),1,)</f>
        <v>1</v>
      </c>
      <c r="AF85" s="106"/>
    </row>
    <row r="86" spans="1:32" x14ac:dyDescent="0.25">
      <c r="A86" s="62" t="s">
        <v>383</v>
      </c>
      <c r="B86" s="99" t="s">
        <v>258</v>
      </c>
      <c r="C86" s="100" t="str">
        <f>VLOOKUP(Table2[[#This Row],[Course Title]],'TSD-Data'!$A$1:$E$56,2,FALSE)</f>
        <v>Holiday</v>
      </c>
      <c r="D86" s="100" t="str">
        <f>VLOOKUP(Table2[[#This Row],[Course Title]],'TSD-Data'!$A$1:$E$56,3,FALSE)</f>
        <v>Holiday</v>
      </c>
      <c r="E86" s="99"/>
      <c r="F86" s="102">
        <v>45651</v>
      </c>
      <c r="G86" s="102">
        <v>45651</v>
      </c>
      <c r="H86" s="102"/>
      <c r="I86" s="101"/>
      <c r="J86" s="101"/>
      <c r="K86" s="101"/>
      <c r="L86" s="101"/>
      <c r="M86" s="101"/>
      <c r="N86" s="101"/>
      <c r="O86" s="15"/>
      <c r="P86" s="15"/>
      <c r="Q86" s="15">
        <f>VLOOKUP(Table2[[#This Row],[Course Title]],'TSD-Data'!$A$1:$E$56,4,FALSE)</f>
        <v>0</v>
      </c>
      <c r="R86" s="15">
        <f>VLOOKUP(Table2[[#This Row],[Course Title]],'TSD-Data'!$A$1:$F$53,6,FALSE)</f>
        <v>0</v>
      </c>
      <c r="S86" s="15">
        <f>VLOOKUP(Table2[[#This Row],[Course Title]],'TSD-Data'!$A$1:$E$56,5,FALSE)</f>
        <v>0</v>
      </c>
      <c r="T86" s="15">
        <v>0</v>
      </c>
      <c r="U86" s="15"/>
      <c r="V86" s="15"/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99" t="s">
        <v>100</v>
      </c>
      <c r="AC86" s="71">
        <f ca="1">Table2[[#This Row],[End Date]]+2-TODAY()</f>
        <v>121</v>
      </c>
      <c r="AD86" s="15">
        <f>IF(ISBLANK(Table2[[#This Row],[Roster Received By]]),1,0)</f>
        <v>0</v>
      </c>
      <c r="AE86" s="15">
        <f ca="1">IF(Table2[[#This Row],[Start Date]]&gt;TODAY(),1,)</f>
        <v>1</v>
      </c>
      <c r="AF86" s="106"/>
    </row>
    <row r="87" spans="1:32" x14ac:dyDescent="0.25">
      <c r="A87" s="99" t="s">
        <v>384</v>
      </c>
      <c r="B87" s="99" t="s">
        <v>258</v>
      </c>
      <c r="C87" s="100" t="str">
        <f>VLOOKUP(Table2[[#This Row],[Course Title]],'TSD-Data'!$A$1:$E$56,2,FALSE)</f>
        <v>Holiday</v>
      </c>
      <c r="D87" s="100" t="str">
        <f>VLOOKUP(Table2[[#This Row],[Course Title]],'TSD-Data'!$A$1:$E$56,3,FALSE)</f>
        <v>Holiday</v>
      </c>
      <c r="E87" s="65"/>
      <c r="F87" s="102">
        <v>45658</v>
      </c>
      <c r="G87" s="102">
        <v>45658</v>
      </c>
      <c r="H87" s="108"/>
      <c r="I87" s="108"/>
      <c r="J87" s="102"/>
      <c r="K87" s="102"/>
      <c r="L87" s="102"/>
      <c r="M87" s="102"/>
      <c r="N87" s="102"/>
      <c r="O87" s="15"/>
      <c r="P87" s="15"/>
      <c r="Q87" s="15">
        <f>VLOOKUP(Table2[[#This Row],[Course Title]],'TSD-Data'!$A$1:$E$56,4,FALSE)</f>
        <v>0</v>
      </c>
      <c r="R87" s="15">
        <f>VLOOKUP(Table2[[#This Row],[Course Title]],'TSD-Data'!$A$1:$F$53,6,FALSE)</f>
        <v>0</v>
      </c>
      <c r="S87" s="15">
        <f>VLOOKUP(Table2[[#This Row],[Course Title]],'TSD-Data'!$A$1:$E$56,5,FALSE)</f>
        <v>0</v>
      </c>
      <c r="T87" s="15">
        <v>0</v>
      </c>
      <c r="U87" s="15"/>
      <c r="V87" s="15"/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99" t="s">
        <v>100</v>
      </c>
      <c r="AC87" s="71">
        <f ca="1">Table2[[#This Row],[End Date]]+2-TODAY()</f>
        <v>128</v>
      </c>
      <c r="AD87" s="15">
        <f>IF(ISBLANK(Table2[[#This Row],[Roster Received By]]),1,0)</f>
        <v>0</v>
      </c>
      <c r="AE87" s="15">
        <f ca="1">IF(Table2[[#This Row],[Start Date]]&gt;TODAY(),1,)</f>
        <v>1</v>
      </c>
      <c r="AF87" s="106"/>
    </row>
    <row r="88" spans="1:32" x14ac:dyDescent="0.25">
      <c r="A88" s="100"/>
      <c r="B88" s="99" t="s">
        <v>40</v>
      </c>
      <c r="C88" s="100" t="str">
        <f>VLOOKUP(Table2[[#This Row],[Course Title]],'TSD-Data'!$A$1:$E$56,2,FALSE)</f>
        <v>A-493-2098</v>
      </c>
      <c r="D88" s="100" t="str">
        <f>VLOOKUP(Table2[[#This Row],[Course Title]],'TSD-Data'!$A$1:$E$56,3,FALSE)</f>
        <v>09WW</v>
      </c>
      <c r="E88" s="99" t="s">
        <v>80</v>
      </c>
      <c r="F88" s="102">
        <v>45662</v>
      </c>
      <c r="G88" s="102">
        <v>45666</v>
      </c>
      <c r="H88" s="105"/>
      <c r="I88" s="105">
        <v>0.79166666666666663</v>
      </c>
      <c r="J88" s="101">
        <v>0.66666666666666663</v>
      </c>
      <c r="K88" s="101">
        <v>0.125</v>
      </c>
      <c r="L88" s="101">
        <v>4.1666666666666664E-2</v>
      </c>
      <c r="M88" s="101">
        <v>0.58333333333333337</v>
      </c>
      <c r="N88" s="101">
        <v>0.375</v>
      </c>
      <c r="O88" s="15" t="s">
        <v>110</v>
      </c>
      <c r="P88" s="15"/>
      <c r="Q88" s="15">
        <f>VLOOKUP(Table2[[#This Row],[Course Title]],'TSD-Data'!$A$1:$E$56,4,FALSE)</f>
        <v>100</v>
      </c>
      <c r="R88" s="15">
        <f>VLOOKUP(Table2[[#This Row],[Course Title]],'TSD-Data'!$A$1:$F$53,6,FALSE)</f>
        <v>16</v>
      </c>
      <c r="S88" s="15">
        <f>VLOOKUP(Table2[[#This Row],[Course Title]],'TSD-Data'!$A$1:$E$56,5,FALSE)</f>
        <v>2</v>
      </c>
      <c r="T88" s="15">
        <v>161</v>
      </c>
      <c r="U88" s="15"/>
      <c r="V88" s="15"/>
      <c r="W88" s="104"/>
      <c r="X88" s="104"/>
      <c r="Y88" s="100"/>
      <c r="Z88" s="100"/>
      <c r="AA88" s="104"/>
      <c r="AB88" s="99"/>
      <c r="AC88" s="71">
        <f ca="1">Table2[[#This Row],[End Date]]+2-TODAY()</f>
        <v>136</v>
      </c>
      <c r="AD88" s="15">
        <f>IF(ISBLANK(Table2[[#This Row],[Roster Received By]]),1,0)</f>
        <v>1</v>
      </c>
      <c r="AE88" s="15">
        <f ca="1">IF(Table2[[#This Row],[Start Date]]&gt;TODAY(),1,)</f>
        <v>1</v>
      </c>
      <c r="AF88" s="106"/>
    </row>
    <row r="89" spans="1:32" x14ac:dyDescent="0.25">
      <c r="A89" s="62"/>
      <c r="B89" s="99" t="s">
        <v>55</v>
      </c>
      <c r="C89" s="100" t="str">
        <f>VLOOKUP(Table2[[#This Row],[Course Title]],'TSD-Data'!$A$1:$E$56,2,FALSE)</f>
        <v>A-493-0103</v>
      </c>
      <c r="D89" s="100" t="str">
        <f>VLOOKUP(Table2[[#This Row],[Course Title]],'TSD-Data'!$A$1:$E$56,3,FALSE)</f>
        <v>12JY</v>
      </c>
      <c r="E89" s="65" t="s">
        <v>267</v>
      </c>
      <c r="F89" s="102">
        <v>45663</v>
      </c>
      <c r="G89" s="102">
        <v>45667</v>
      </c>
      <c r="H89" s="105">
        <v>0.33333333333333331</v>
      </c>
      <c r="I89" s="101"/>
      <c r="J89" s="226"/>
      <c r="K89" s="226"/>
      <c r="L89" s="226"/>
      <c r="M89" s="226"/>
      <c r="N89" s="226"/>
      <c r="O89" s="15" t="s">
        <v>160</v>
      </c>
      <c r="P89" s="15"/>
      <c r="Q89" s="15">
        <f>VLOOKUP(Table2[[#This Row],[Course Title]],'TSD-Data'!$A$1:$E$56,4,FALSE)</f>
        <v>25</v>
      </c>
      <c r="R89" s="15">
        <f>VLOOKUP(Table2[[#This Row],[Course Title]],'TSD-Data'!$A$1:$F$53,6,FALSE)</f>
        <v>40</v>
      </c>
      <c r="S89" s="15">
        <f>VLOOKUP(Table2[[#This Row],[Course Title]],'TSD-Data'!$A$1:$E$56,5,FALSE)</f>
        <v>5</v>
      </c>
      <c r="T89" s="15">
        <v>332</v>
      </c>
      <c r="U89" s="15"/>
      <c r="V89" s="15"/>
      <c r="W89" s="15"/>
      <c r="X89" s="103"/>
      <c r="Y89" s="15"/>
      <c r="Z89" s="15"/>
      <c r="AA89" s="15"/>
      <c r="AB89" s="99"/>
      <c r="AC89" s="71">
        <f ca="1">Table2[[#This Row],[End Date]]+2-TODAY()</f>
        <v>137</v>
      </c>
      <c r="AD89" s="15">
        <f>IF(ISBLANK(Table2[[#This Row],[Roster Received By]]),1,0)</f>
        <v>1</v>
      </c>
      <c r="AE89" s="15">
        <f ca="1">IF(Table2[[#This Row],[Start Date]]&gt;TODAY(),1,)</f>
        <v>1</v>
      </c>
      <c r="AF89" s="106"/>
    </row>
    <row r="90" spans="1:32" x14ac:dyDescent="0.25">
      <c r="A90" s="62"/>
      <c r="B90" s="99" t="s">
        <v>55</v>
      </c>
      <c r="C90" s="100" t="str">
        <f>VLOOKUP(Table2[[#This Row],[Course Title]],'TSD-Data'!$A$1:$E$56,2,FALSE)</f>
        <v>A-493-0103</v>
      </c>
      <c r="D90" s="100" t="str">
        <f>VLOOKUP(Table2[[#This Row],[Course Title]],'TSD-Data'!$A$1:$E$56,3,FALSE)</f>
        <v>12JY</v>
      </c>
      <c r="E90" s="99" t="s">
        <v>276</v>
      </c>
      <c r="F90" s="102">
        <v>45663</v>
      </c>
      <c r="G90" s="102">
        <v>45667</v>
      </c>
      <c r="H90" s="105">
        <v>0.33333333333333331</v>
      </c>
      <c r="I90" s="105"/>
      <c r="J90" s="101"/>
      <c r="K90" s="101"/>
      <c r="L90" s="101"/>
      <c r="M90" s="101"/>
      <c r="N90" s="101"/>
      <c r="O90" s="15" t="s">
        <v>160</v>
      </c>
      <c r="P90" s="15"/>
      <c r="Q90" s="15">
        <f>VLOOKUP(Table2[[#This Row],[Course Title]],'TSD-Data'!$A$1:$E$56,4,FALSE)</f>
        <v>25</v>
      </c>
      <c r="R90" s="15">
        <f>VLOOKUP(Table2[[#This Row],[Course Title]],'TSD-Data'!$A$1:$F$53,6,FALSE)</f>
        <v>40</v>
      </c>
      <c r="S90" s="15">
        <f>VLOOKUP(Table2[[#This Row],[Course Title]],'TSD-Data'!$A$1:$E$56,5,FALSE)</f>
        <v>5</v>
      </c>
      <c r="T90" s="15">
        <v>155</v>
      </c>
      <c r="U90" s="15"/>
      <c r="V90" s="15"/>
      <c r="W90" s="15"/>
      <c r="X90" s="103"/>
      <c r="Y90" s="15"/>
      <c r="Z90" s="15"/>
      <c r="AA90" s="15"/>
      <c r="AB90" s="99"/>
      <c r="AC90" s="71">
        <f ca="1">Table2[[#This Row],[End Date]]+2-TODAY()</f>
        <v>137</v>
      </c>
      <c r="AD90" s="15">
        <f>IF(ISBLANK(Table2[[#This Row],[Roster Received By]]),1,0)</f>
        <v>1</v>
      </c>
      <c r="AE90" s="15">
        <f ca="1">IF(Table2[[#This Row],[Start Date]]&gt;TODAY(),1,)</f>
        <v>1</v>
      </c>
      <c r="AF90" s="106"/>
    </row>
    <row r="91" spans="1:32" x14ac:dyDescent="0.25">
      <c r="A91" s="62"/>
      <c r="B91" s="99" t="s">
        <v>17</v>
      </c>
      <c r="C91" s="100" t="str">
        <f>VLOOKUP(Table2[[#This Row],[Course Title]],'TSD-Data'!$A$1:$E$56,2,FALSE)</f>
        <v>A-493-0012</v>
      </c>
      <c r="D91" s="100">
        <f>VLOOKUP(Table2[[#This Row],[Course Title]],'TSD-Data'!$A$1:$E$56,3,FALSE)</f>
        <v>3682</v>
      </c>
      <c r="E91" s="99" t="s">
        <v>176</v>
      </c>
      <c r="F91" s="102">
        <v>45663</v>
      </c>
      <c r="G91" s="102">
        <v>45667</v>
      </c>
      <c r="H91" s="105">
        <v>0.33333333333333331</v>
      </c>
      <c r="I91" s="108"/>
      <c r="J91" s="230"/>
      <c r="K91" s="230"/>
      <c r="L91" s="230"/>
      <c r="M91" s="230"/>
      <c r="N91" s="230"/>
      <c r="O91" s="15" t="s">
        <v>94</v>
      </c>
      <c r="P91" s="15"/>
      <c r="Q91" s="15">
        <f>VLOOKUP(Table2[[#This Row],[Course Title]],'TSD-Data'!$A$1:$E$56,4,FALSE)</f>
        <v>40</v>
      </c>
      <c r="R91" s="15">
        <f>VLOOKUP(Table2[[#This Row],[Course Title]],'TSD-Data'!$A$1:$F$53,6,FALSE)</f>
        <v>40</v>
      </c>
      <c r="S91" s="15">
        <f>VLOOKUP(Table2[[#This Row],[Course Title]],'TSD-Data'!$A$1:$E$56,5,FALSE)</f>
        <v>5</v>
      </c>
      <c r="T91" s="15">
        <v>2</v>
      </c>
      <c r="U91" s="15"/>
      <c r="V91" s="15"/>
      <c r="W91" s="103"/>
      <c r="X91" s="103"/>
      <c r="Y91" s="15"/>
      <c r="Z91" s="15"/>
      <c r="AA91" s="100"/>
      <c r="AB91" s="99"/>
      <c r="AC91" s="71">
        <f ca="1">Table2[[#This Row],[End Date]]+2-TODAY()</f>
        <v>137</v>
      </c>
      <c r="AD91" s="15">
        <f>IF(ISBLANK(Table2[[#This Row],[Roster Received By]]),1,0)</f>
        <v>1</v>
      </c>
      <c r="AE91" s="15">
        <f ca="1">IF(Table2[[#This Row],[Start Date]]&gt;TODAY(),1,)</f>
        <v>1</v>
      </c>
      <c r="AF91" s="139"/>
    </row>
    <row r="92" spans="1:32" x14ac:dyDescent="0.25">
      <c r="A92" s="62"/>
      <c r="B92" s="99" t="s">
        <v>165</v>
      </c>
      <c r="C92" s="100" t="str">
        <f>VLOOKUP(Table2[[#This Row],[Course Title]],'TSD-Data'!$A$1:$E$56,2,FALSE)</f>
        <v>A-322-2604</v>
      </c>
      <c r="D92" s="100" t="str">
        <f>VLOOKUP(Table2[[#This Row],[Course Title]],'TSD-Data'!$A$1:$E$56,3,FALSE)</f>
        <v>10ZZ</v>
      </c>
      <c r="E92" s="99" t="s">
        <v>80</v>
      </c>
      <c r="F92" s="102">
        <v>45663</v>
      </c>
      <c r="G92" s="102">
        <v>45667</v>
      </c>
      <c r="H92" s="102"/>
      <c r="I92" s="101">
        <v>0.54166666666666663</v>
      </c>
      <c r="J92" s="101">
        <v>0.41666666666666669</v>
      </c>
      <c r="K92" s="101">
        <v>0.875</v>
      </c>
      <c r="L92" s="101">
        <v>0.79166666666666663</v>
      </c>
      <c r="M92" s="101">
        <v>0.33333333333333331</v>
      </c>
      <c r="N92" s="101">
        <v>0.125</v>
      </c>
      <c r="O92" s="15" t="s">
        <v>124</v>
      </c>
      <c r="P92" s="15"/>
      <c r="Q92" s="15">
        <f>VLOOKUP(Table2[[#This Row],[Course Title]],'TSD-Data'!$A$1:$E$56,4,FALSE)</f>
        <v>45</v>
      </c>
      <c r="R92" s="15">
        <f>VLOOKUP(Table2[[#This Row],[Course Title]],'TSD-Data'!$A$1:$F$53,6,FALSE)</f>
        <v>24</v>
      </c>
      <c r="S92" s="15">
        <f>VLOOKUP(Table2[[#This Row],[Course Title]],'TSD-Data'!$A$1:$E$56,5,FALSE)</f>
        <v>3</v>
      </c>
      <c r="T92" s="15">
        <v>634</v>
      </c>
      <c r="U92" s="15"/>
      <c r="V92" s="15"/>
      <c r="W92" s="15"/>
      <c r="X92" s="103"/>
      <c r="Y92" s="15"/>
      <c r="Z92" s="15"/>
      <c r="AA92" s="100"/>
      <c r="AB92" s="99"/>
      <c r="AC92" s="71">
        <f ca="1">Table2[[#This Row],[End Date]]+2-TODAY()</f>
        <v>137</v>
      </c>
      <c r="AD92" s="15">
        <f>IF(ISBLANK(Table2[[#This Row],[Roster Received By]]),1,0)</f>
        <v>1</v>
      </c>
      <c r="AE92" s="15">
        <f ca="1">IF(Table2[[#This Row],[Start Date]]&gt;TODAY(),1,)</f>
        <v>1</v>
      </c>
      <c r="AF92" s="106"/>
    </row>
    <row r="93" spans="1:32" x14ac:dyDescent="0.25">
      <c r="A93" s="62"/>
      <c r="B93" s="99" t="s">
        <v>51</v>
      </c>
      <c r="C93" s="100" t="str">
        <f>VLOOKUP(Table2[[#This Row],[Course Title]],'TSD-Data'!$A$1:$E$56,2,FALSE)</f>
        <v>A-493-0335</v>
      </c>
      <c r="D93" s="100" t="str">
        <f>VLOOKUP(Table2[[#This Row],[Course Title]],'TSD-Data'!$A$1:$E$56,3,FALSE)</f>
        <v>09ND</v>
      </c>
      <c r="E93" s="99" t="s">
        <v>80</v>
      </c>
      <c r="F93" s="102">
        <v>45663</v>
      </c>
      <c r="G93" s="102">
        <v>45666</v>
      </c>
      <c r="H93" s="102"/>
      <c r="I93" s="101">
        <v>0.5</v>
      </c>
      <c r="J93" s="101">
        <v>0.375</v>
      </c>
      <c r="K93" s="101">
        <v>0.83333333333333337</v>
      </c>
      <c r="L93" s="101">
        <v>0.75</v>
      </c>
      <c r="M93" s="101">
        <v>0.29166666666666669</v>
      </c>
      <c r="N93" s="101">
        <v>8.3333333333333329E-2</v>
      </c>
      <c r="O93" s="15" t="s">
        <v>116</v>
      </c>
      <c r="P93" s="15"/>
      <c r="Q93" s="15">
        <f>VLOOKUP(Table2[[#This Row],[Course Title]],'TSD-Data'!$A$1:$E$56,4,FALSE)</f>
        <v>45</v>
      </c>
      <c r="R93" s="15">
        <f>VLOOKUP(Table2[[#This Row],[Course Title]],'TSD-Data'!$A$1:$F$53,6,FALSE)</f>
        <v>32</v>
      </c>
      <c r="S93" s="15">
        <f>VLOOKUP(Table2[[#This Row],[Course Title]],'TSD-Data'!$A$1:$E$56,5,FALSE)</f>
        <v>4</v>
      </c>
      <c r="T93" s="15">
        <v>400</v>
      </c>
      <c r="U93" s="15"/>
      <c r="V93" s="15"/>
      <c r="W93" s="15"/>
      <c r="X93" s="103"/>
      <c r="Y93" s="15"/>
      <c r="Z93" s="15"/>
      <c r="AA93" s="15"/>
      <c r="AB93" s="99"/>
      <c r="AC93" s="71">
        <f ca="1">Table2[[#This Row],[End Date]]+2-TODAY()</f>
        <v>136</v>
      </c>
      <c r="AD93" s="15">
        <f>IF(ISBLANK(Table2[[#This Row],[Roster Received By]]),1,0)</f>
        <v>1</v>
      </c>
      <c r="AE93" s="15">
        <f ca="1">IF(Table2[[#This Row],[Start Date]]&gt;TODAY(),1,)</f>
        <v>1</v>
      </c>
      <c r="AF93" s="106"/>
    </row>
    <row r="94" spans="1:32" x14ac:dyDescent="0.25">
      <c r="A94" s="100"/>
      <c r="B94" s="99" t="s">
        <v>39</v>
      </c>
      <c r="C94" s="100" t="str">
        <f>VLOOKUP(Table2[[#This Row],[Course Title]],'TSD-Data'!$A$1:$E$56,2,FALSE)</f>
        <v>A-570-0100</v>
      </c>
      <c r="D94" s="100" t="str">
        <f>VLOOKUP(Table2[[#This Row],[Course Title]],'TSD-Data'!$A$1:$E$56,3,FALSE)</f>
        <v>18B7</v>
      </c>
      <c r="E94" s="99" t="s">
        <v>80</v>
      </c>
      <c r="F94" s="102">
        <v>45663</v>
      </c>
      <c r="G94" s="102">
        <v>45666</v>
      </c>
      <c r="H94" s="105"/>
      <c r="I94" s="105">
        <v>0.54166666666666663</v>
      </c>
      <c r="J94" s="101">
        <v>0.41666666666666669</v>
      </c>
      <c r="K94" s="101">
        <v>0.875</v>
      </c>
      <c r="L94" s="101">
        <v>0.79166666666666663</v>
      </c>
      <c r="M94" s="101">
        <v>0.33333333333333331</v>
      </c>
      <c r="N94" s="101">
        <v>0.125</v>
      </c>
      <c r="O94" s="15" t="s">
        <v>79</v>
      </c>
      <c r="P94" s="15"/>
      <c r="Q94" s="15">
        <f>VLOOKUP(Table2[[#This Row],[Course Title]],'TSD-Data'!$A$1:$E$56,4,FALSE)</f>
        <v>45</v>
      </c>
      <c r="R94" s="15">
        <f>VLOOKUP(Table2[[#This Row],[Course Title]],'TSD-Data'!$A$1:$F$53,6,FALSE)</f>
        <v>16</v>
      </c>
      <c r="S94" s="15">
        <f>VLOOKUP(Table2[[#This Row],[Course Title]],'TSD-Data'!$A$1:$E$56,5,FALSE)</f>
        <v>2</v>
      </c>
      <c r="T94" s="15">
        <v>621</v>
      </c>
      <c r="U94" s="15"/>
      <c r="V94" s="15"/>
      <c r="W94" s="104"/>
      <c r="X94" s="104"/>
      <c r="Y94" s="100"/>
      <c r="Z94" s="100"/>
      <c r="AA94" s="104"/>
      <c r="AB94" s="99"/>
      <c r="AC94" s="71">
        <f ca="1">Table2[[#This Row],[End Date]]+2-TODAY()</f>
        <v>136</v>
      </c>
      <c r="AD94" s="15">
        <f>IF(ISBLANK(Table2[[#This Row],[Roster Received By]]),1,0)</f>
        <v>1</v>
      </c>
      <c r="AE94" s="15">
        <f ca="1">IF(Table2[[#This Row],[Start Date]]&gt;TODAY(),1,)</f>
        <v>1</v>
      </c>
      <c r="AF94" s="106"/>
    </row>
    <row r="95" spans="1:32" x14ac:dyDescent="0.25">
      <c r="A95" s="62"/>
      <c r="B95" s="99" t="s">
        <v>53</v>
      </c>
      <c r="C95" s="100" t="str">
        <f>VLOOKUP(Table2[[#This Row],[Course Title]],'TSD-Data'!$A$1:$E$56,2,FALSE)</f>
        <v>A-493-0072</v>
      </c>
      <c r="D95" s="100" t="str">
        <f>VLOOKUP(Table2[[#This Row],[Course Title]],'TSD-Data'!$A$1:$E$56,3,FALSE)</f>
        <v>713U</v>
      </c>
      <c r="E95" s="99" t="s">
        <v>276</v>
      </c>
      <c r="F95" s="102">
        <v>45663</v>
      </c>
      <c r="G95" s="102">
        <v>45667</v>
      </c>
      <c r="H95" s="105">
        <v>0.33333333333333331</v>
      </c>
      <c r="I95" s="105"/>
      <c r="J95" s="101"/>
      <c r="K95" s="101"/>
      <c r="L95" s="101"/>
      <c r="M95" s="101"/>
      <c r="N95" s="101"/>
      <c r="O95" s="15" t="s">
        <v>90</v>
      </c>
      <c r="P95" s="15" t="s">
        <v>175</v>
      </c>
      <c r="Q95" s="15">
        <f>VLOOKUP(Table2[[#This Row],[Course Title]],'TSD-Data'!$A$1:$E$56,4,FALSE)</f>
        <v>30</v>
      </c>
      <c r="R95" s="15">
        <f>VLOOKUP(Table2[[#This Row],[Course Title]],'TSD-Data'!$A$1:$F$53,6,FALSE)</f>
        <v>40</v>
      </c>
      <c r="S95" s="15">
        <f>VLOOKUP(Table2[[#This Row],[Course Title]],'TSD-Data'!$A$1:$E$56,5,FALSE)</f>
        <v>5</v>
      </c>
      <c r="T95" s="15">
        <v>152</v>
      </c>
      <c r="U95" s="15"/>
      <c r="V95" s="15"/>
      <c r="W95" s="15"/>
      <c r="X95" s="103"/>
      <c r="Y95" s="15"/>
      <c r="Z95" s="15"/>
      <c r="AA95" s="15"/>
      <c r="AB95" s="99"/>
      <c r="AC95" s="71">
        <f ca="1">Table2[[#This Row],[End Date]]+2-TODAY()</f>
        <v>137</v>
      </c>
      <c r="AD95" s="15">
        <f>IF(ISBLANK(Table2[[#This Row],[Roster Received By]]),1,0)</f>
        <v>1</v>
      </c>
      <c r="AE95" s="15">
        <f ca="1">IF(Table2[[#This Row],[Start Date]]&gt;TODAY(),1,)</f>
        <v>1</v>
      </c>
      <c r="AF95" s="106"/>
    </row>
    <row r="96" spans="1:32" x14ac:dyDescent="0.25">
      <c r="A96" s="65"/>
      <c r="B96" s="99" t="s">
        <v>50</v>
      </c>
      <c r="C96" s="100" t="str">
        <f>VLOOKUP(Table2[[#This Row],[Course Title]],'TSD-Data'!$A$1:$E$56,2,FALSE)</f>
        <v>A-493-0331</v>
      </c>
      <c r="D96" s="100" t="str">
        <f>VLOOKUP(Table2[[#This Row],[Course Title]],'TSD-Data'!$A$1:$E$56,3,FALSE)</f>
        <v>10UG</v>
      </c>
      <c r="E96" s="99" t="s">
        <v>80</v>
      </c>
      <c r="F96" s="102">
        <v>45664</v>
      </c>
      <c r="G96" s="102">
        <v>45666</v>
      </c>
      <c r="H96" s="105"/>
      <c r="I96" s="101">
        <v>0.5</v>
      </c>
      <c r="J96" s="101">
        <v>0.375</v>
      </c>
      <c r="K96" s="101">
        <v>0.83333333333333337</v>
      </c>
      <c r="L96" s="101">
        <v>0.75</v>
      </c>
      <c r="M96" s="101">
        <v>0.29166666666666669</v>
      </c>
      <c r="N96" s="101">
        <v>8.3333333333333329E-2</v>
      </c>
      <c r="O96" s="15" t="s">
        <v>186</v>
      </c>
      <c r="P96" s="15"/>
      <c r="Q96" s="15">
        <f>VLOOKUP(Table2[[#This Row],[Course Title]],'TSD-Data'!$A$1:$E$56,4,FALSE)</f>
        <v>45</v>
      </c>
      <c r="R96" s="15">
        <f>VLOOKUP(Table2[[#This Row],[Course Title]],'TSD-Data'!$A$1:$F$53,6,FALSE)</f>
        <v>24</v>
      </c>
      <c r="S96" s="15">
        <f>VLOOKUP(Table2[[#This Row],[Course Title]],'TSD-Data'!$A$1:$E$56,5,FALSE)</f>
        <v>3</v>
      </c>
      <c r="T96" s="15">
        <v>805</v>
      </c>
      <c r="U96" s="15"/>
      <c r="V96" s="15"/>
      <c r="W96" s="103"/>
      <c r="X96" s="103"/>
      <c r="Y96" s="15"/>
      <c r="Z96" s="15"/>
      <c r="AA96" s="15"/>
      <c r="AB96" s="99"/>
      <c r="AC96" s="71">
        <f ca="1">Table2[[#This Row],[End Date]]+2-TODAY()</f>
        <v>136</v>
      </c>
      <c r="AD96" s="15">
        <f>IF(ISBLANK(Table2[[#This Row],[Roster Received By]]),1,0)</f>
        <v>1</v>
      </c>
      <c r="AE96" s="15">
        <f ca="1">IF(Table2[[#This Row],[Start Date]]&gt;TODAY(),1,)</f>
        <v>1</v>
      </c>
      <c r="AF96" s="135"/>
    </row>
    <row r="97" spans="1:32" x14ac:dyDescent="0.25">
      <c r="A97" s="62"/>
      <c r="B97" s="99" t="s">
        <v>15</v>
      </c>
      <c r="C97" s="100" t="str">
        <f>VLOOKUP(Table2[[#This Row],[Course Title]],'TSD-Data'!$A$1:$E$56,2,FALSE)</f>
        <v>A-4J-0022</v>
      </c>
      <c r="D97" s="100" t="str">
        <f>VLOOKUP(Table2[[#This Row],[Course Title]],'TSD-Data'!$A$1:$E$56,3,FALSE)</f>
        <v>09ER</v>
      </c>
      <c r="E97" s="99" t="s">
        <v>80</v>
      </c>
      <c r="F97" s="102">
        <v>45670</v>
      </c>
      <c r="G97" s="102">
        <v>45674</v>
      </c>
      <c r="H97" s="105"/>
      <c r="I97" s="105">
        <v>0.54166666666666663</v>
      </c>
      <c r="J97" s="101">
        <v>0.41666666666666669</v>
      </c>
      <c r="K97" s="101">
        <v>0.875</v>
      </c>
      <c r="L97" s="101">
        <v>0.79166666666666663</v>
      </c>
      <c r="M97" s="101">
        <v>0.33333333333333331</v>
      </c>
      <c r="N97" s="101">
        <v>0.125</v>
      </c>
      <c r="O97" s="15" t="s">
        <v>90</v>
      </c>
      <c r="P97" s="15"/>
      <c r="Q97" s="15">
        <f>VLOOKUP(Table2[[#This Row],[Course Title]],'TSD-Data'!$A$1:$E$56,4,FALSE)</f>
        <v>45</v>
      </c>
      <c r="R97" s="15">
        <f>VLOOKUP(Table2[[#This Row],[Course Title]],'TSD-Data'!$A$1:$F$53,6,FALSE)</f>
        <v>16</v>
      </c>
      <c r="S97" s="15">
        <f>VLOOKUP(Table2[[#This Row],[Course Title]],'TSD-Data'!$A$1:$E$56,5,FALSE)</f>
        <v>2</v>
      </c>
      <c r="T97" s="15">
        <v>277</v>
      </c>
      <c r="U97" s="15"/>
      <c r="V97" s="15"/>
      <c r="W97" s="15"/>
      <c r="X97" s="103"/>
      <c r="Y97" s="15"/>
      <c r="Z97" s="15"/>
      <c r="AA97" s="15"/>
      <c r="AB97" s="99"/>
      <c r="AC97" s="71">
        <f ca="1">Table2[[#This Row],[End Date]]+2-TODAY()</f>
        <v>144</v>
      </c>
      <c r="AD97" s="15">
        <f>IF(ISBLANK(Table2[[#This Row],[Roster Received By]]),1,0)</f>
        <v>1</v>
      </c>
      <c r="AE97" s="15">
        <f ca="1">IF(Table2[[#This Row],[Start Date]]&gt;TODAY(),1,)</f>
        <v>1</v>
      </c>
      <c r="AF97" s="106"/>
    </row>
    <row r="98" spans="1:32" x14ac:dyDescent="0.25">
      <c r="A98" s="62"/>
      <c r="B98" s="99" t="s">
        <v>37</v>
      </c>
      <c r="C98" s="100" t="str">
        <f>VLOOKUP(Table2[[#This Row],[Course Title]],'TSD-Data'!$A$1:$E$56,2,FALSE)</f>
        <v>A-493-0665</v>
      </c>
      <c r="D98" s="100" t="str">
        <f>VLOOKUP(Table2[[#This Row],[Course Title]],'TSD-Data'!$A$1:$E$56,3,FALSE)</f>
        <v>10KW</v>
      </c>
      <c r="E98" s="99" t="s">
        <v>80</v>
      </c>
      <c r="F98" s="102">
        <v>45670</v>
      </c>
      <c r="G98" s="102">
        <v>45674</v>
      </c>
      <c r="H98" s="102"/>
      <c r="I98" s="105">
        <v>0.54166666666666663</v>
      </c>
      <c r="J98" s="101">
        <v>0.41666666666666669</v>
      </c>
      <c r="K98" s="101">
        <v>0.875</v>
      </c>
      <c r="L98" s="101">
        <v>0.79166666666666663</v>
      </c>
      <c r="M98" s="101">
        <v>0.33333333333333331</v>
      </c>
      <c r="N98" s="101">
        <v>0.125</v>
      </c>
      <c r="O98" s="15" t="s">
        <v>120</v>
      </c>
      <c r="P98" s="15"/>
      <c r="Q98" s="15">
        <f>VLOOKUP(Table2[[#This Row],[Course Title]],'TSD-Data'!$A$1:$E$56,4,FALSE)</f>
        <v>45</v>
      </c>
      <c r="R98" s="15">
        <f>VLOOKUP(Table2[[#This Row],[Course Title]],'TSD-Data'!$A$1:$F$53,6,FALSE)</f>
        <v>24</v>
      </c>
      <c r="S98" s="15">
        <f>VLOOKUP(Table2[[#This Row],[Course Title]],'TSD-Data'!$A$1:$E$56,5,FALSE)</f>
        <v>3</v>
      </c>
      <c r="T98" s="15">
        <v>405</v>
      </c>
      <c r="U98" s="15"/>
      <c r="V98" s="15"/>
      <c r="W98" s="15"/>
      <c r="X98" s="103"/>
      <c r="Y98" s="15"/>
      <c r="Z98" s="15"/>
      <c r="AA98" s="100"/>
      <c r="AB98" s="99"/>
      <c r="AC98" s="71">
        <f ca="1">Table2[[#This Row],[End Date]]+2-TODAY()</f>
        <v>144</v>
      </c>
      <c r="AD98" s="15">
        <f>IF(ISBLANK(Table2[[#This Row],[Roster Received By]]),1,0)</f>
        <v>1</v>
      </c>
      <c r="AE98" s="15">
        <f ca="1">IF(Table2[[#This Row],[Start Date]]&gt;TODAY(),1,)</f>
        <v>1</v>
      </c>
      <c r="AF98" s="106"/>
    </row>
    <row r="99" spans="1:32" x14ac:dyDescent="0.25">
      <c r="A99" s="62"/>
      <c r="B99" s="99" t="s">
        <v>55</v>
      </c>
      <c r="C99" s="100" t="str">
        <f>VLOOKUP(Table2[[#This Row],[Course Title]],'TSD-Data'!$A$1:$E$56,2,FALSE)</f>
        <v>A-493-0103</v>
      </c>
      <c r="D99" s="100" t="str">
        <f>VLOOKUP(Table2[[#This Row],[Course Title]],'TSD-Data'!$A$1:$E$56,3,FALSE)</f>
        <v>12JY</v>
      </c>
      <c r="E99" s="65" t="s">
        <v>267</v>
      </c>
      <c r="F99" s="102">
        <v>45670</v>
      </c>
      <c r="G99" s="102">
        <v>45674</v>
      </c>
      <c r="H99" s="105">
        <v>0.33333333333333331</v>
      </c>
      <c r="I99" s="101"/>
      <c r="J99" s="226"/>
      <c r="K99" s="226"/>
      <c r="L99" s="226"/>
      <c r="M99" s="226"/>
      <c r="N99" s="226"/>
      <c r="O99" s="15" t="s">
        <v>160</v>
      </c>
      <c r="P99" s="15"/>
      <c r="Q99" s="15">
        <f>VLOOKUP(Table2[[#This Row],[Course Title]],'TSD-Data'!$A$1:$E$56,4,FALSE)</f>
        <v>25</v>
      </c>
      <c r="R99" s="15">
        <f>VLOOKUP(Table2[[#This Row],[Course Title]],'TSD-Data'!$A$1:$F$53,6,FALSE)</f>
        <v>40</v>
      </c>
      <c r="S99" s="15">
        <f>VLOOKUP(Table2[[#This Row],[Course Title]],'TSD-Data'!$A$1:$E$56,5,FALSE)</f>
        <v>5</v>
      </c>
      <c r="T99" s="15">
        <v>332</v>
      </c>
      <c r="U99" s="15"/>
      <c r="V99" s="15"/>
      <c r="W99" s="15"/>
      <c r="X99" s="103"/>
      <c r="Y99" s="15"/>
      <c r="Z99" s="15"/>
      <c r="AA99" s="15"/>
      <c r="AB99" s="99"/>
      <c r="AC99" s="71">
        <f ca="1">Table2[[#This Row],[End Date]]+2-TODAY()</f>
        <v>144</v>
      </c>
      <c r="AD99" s="15">
        <f>IF(ISBLANK(Table2[[#This Row],[Roster Received By]]),1,0)</f>
        <v>1</v>
      </c>
      <c r="AE99" s="15">
        <f ca="1">IF(Table2[[#This Row],[Start Date]]&gt;TODAY(),1,)</f>
        <v>1</v>
      </c>
      <c r="AF99" s="106"/>
    </row>
    <row r="100" spans="1:32" x14ac:dyDescent="0.25">
      <c r="A100" s="62"/>
      <c r="B100" s="99" t="s">
        <v>55</v>
      </c>
      <c r="C100" s="100" t="str">
        <f>VLOOKUP(Table2[[#This Row],[Course Title]],'TSD-Data'!$A$1:$E$56,2,FALSE)</f>
        <v>A-493-0103</v>
      </c>
      <c r="D100" s="100" t="str">
        <f>VLOOKUP(Table2[[#This Row],[Course Title]],'TSD-Data'!$A$1:$E$56,3,FALSE)</f>
        <v>12JY</v>
      </c>
      <c r="E100" s="65" t="s">
        <v>276</v>
      </c>
      <c r="F100" s="67">
        <v>45670</v>
      </c>
      <c r="G100" s="67">
        <v>45674</v>
      </c>
      <c r="H100" s="105">
        <v>0.33333333333333331</v>
      </c>
      <c r="I100" s="105"/>
      <c r="J100" s="101"/>
      <c r="K100" s="101"/>
      <c r="L100" s="101"/>
      <c r="M100" s="101"/>
      <c r="N100" s="101"/>
      <c r="O100" s="15" t="s">
        <v>160</v>
      </c>
      <c r="P100" s="15"/>
      <c r="Q100" s="15">
        <f>VLOOKUP(Table2[[#This Row],[Course Title]],'TSD-Data'!$A$1:$E$56,4,FALSE)</f>
        <v>25</v>
      </c>
      <c r="R100" s="15">
        <f>VLOOKUP(Table2[[#This Row],[Course Title]],'TSD-Data'!$A$1:$F$53,6,FALSE)</f>
        <v>40</v>
      </c>
      <c r="S100" s="15">
        <f>VLOOKUP(Table2[[#This Row],[Course Title]],'TSD-Data'!$A$1:$E$56,5,FALSE)</f>
        <v>5</v>
      </c>
      <c r="T100" s="15">
        <v>155</v>
      </c>
      <c r="U100" s="15"/>
      <c r="V100" s="15"/>
      <c r="W100" s="15"/>
      <c r="X100" s="103"/>
      <c r="Y100" s="15"/>
      <c r="Z100" s="15"/>
      <c r="AA100" s="15"/>
      <c r="AB100" s="99"/>
      <c r="AC100" s="71">
        <f ca="1">Table2[[#This Row],[End Date]]+2-TODAY()</f>
        <v>144</v>
      </c>
      <c r="AD100" s="15">
        <f>IF(ISBLANK(Table2[[#This Row],[Roster Received By]]),1,0)</f>
        <v>1</v>
      </c>
      <c r="AE100" s="15">
        <f ca="1">IF(Table2[[#This Row],[Start Date]]&gt;TODAY(),1,)</f>
        <v>1</v>
      </c>
      <c r="AF100" s="106"/>
    </row>
    <row r="101" spans="1:32" x14ac:dyDescent="0.25">
      <c r="A101" s="99"/>
      <c r="B101" s="99" t="s">
        <v>47</v>
      </c>
      <c r="C101" s="100" t="str">
        <f>VLOOKUP(Table2[[#This Row],[Course Title]],'TSD-Data'!$A$1:$E$56,2,FALSE)</f>
        <v>A-493-0030</v>
      </c>
      <c r="D101" s="100" t="str">
        <f>VLOOKUP(Table2[[#This Row],[Course Title]],'TSD-Data'!$A$1:$E$56,3,FALSE)</f>
        <v>286X</v>
      </c>
      <c r="E101" s="99" t="s">
        <v>146</v>
      </c>
      <c r="F101" s="102">
        <v>45670</v>
      </c>
      <c r="G101" s="102">
        <v>45674</v>
      </c>
      <c r="H101" s="105">
        <v>0.33333333333333331</v>
      </c>
      <c r="I101" s="108"/>
      <c r="J101" s="230"/>
      <c r="K101" s="230"/>
      <c r="L101" s="230"/>
      <c r="M101" s="230"/>
      <c r="N101" s="230"/>
      <c r="O101" s="15" t="s">
        <v>196</v>
      </c>
      <c r="P101" s="15"/>
      <c r="Q101" s="103">
        <f>VLOOKUP(Table2[[#This Row],[Course Title]],'TSD-Data'!$A$1:$E$56,4,FALSE)</f>
        <v>25</v>
      </c>
      <c r="R101" s="15">
        <f>VLOOKUP(Table2[[#This Row],[Course Title]],'TSD-Data'!$A$1:$F$53,6,FALSE)</f>
        <v>40</v>
      </c>
      <c r="S101" s="15">
        <f>VLOOKUP(Table2[[#This Row],[Course Title]],'TSD-Data'!$A$1:$E$56,5,FALSE)</f>
        <v>5</v>
      </c>
      <c r="T101" s="15">
        <v>17</v>
      </c>
      <c r="U101" s="15"/>
      <c r="V101" s="15"/>
      <c r="W101" s="103"/>
      <c r="X101" s="103"/>
      <c r="Y101" s="15"/>
      <c r="Z101" s="15"/>
      <c r="AA101" s="100"/>
      <c r="AB101" s="99"/>
      <c r="AC101" s="71">
        <f ca="1">Table2[[#This Row],[End Date]]+2-TODAY()</f>
        <v>144</v>
      </c>
      <c r="AD101" s="15">
        <f>IF(ISBLANK(Table2[[#This Row],[Roster Received By]]),1,0)</f>
        <v>1</v>
      </c>
      <c r="AE101" s="15">
        <f ca="1">IF(Table2[[#This Row],[Start Date]]&gt;TODAY(),1,)</f>
        <v>1</v>
      </c>
      <c r="AF101" s="135"/>
    </row>
    <row r="102" spans="1:32" x14ac:dyDescent="0.25">
      <c r="A102" s="62"/>
      <c r="B102" s="99" t="s">
        <v>17</v>
      </c>
      <c r="C102" s="100" t="str">
        <f>VLOOKUP(Table2[[#This Row],[Course Title]],'TSD-Data'!$A$1:$E$56,2,FALSE)</f>
        <v>A-493-0012</v>
      </c>
      <c r="D102" s="100">
        <f>VLOOKUP(Table2[[#This Row],[Course Title]],'TSD-Data'!$A$1:$E$56,3,FALSE)</f>
        <v>3682</v>
      </c>
      <c r="E102" s="65" t="s">
        <v>276</v>
      </c>
      <c r="F102" s="67">
        <v>45670</v>
      </c>
      <c r="G102" s="67">
        <v>45674</v>
      </c>
      <c r="H102" s="105">
        <v>0.33333333333333331</v>
      </c>
      <c r="I102" s="105"/>
      <c r="J102" s="101"/>
      <c r="K102" s="101"/>
      <c r="L102" s="101"/>
      <c r="M102" s="101"/>
      <c r="N102" s="101"/>
      <c r="O102" s="15" t="s">
        <v>94</v>
      </c>
      <c r="P102" s="15"/>
      <c r="Q102" s="15">
        <f>VLOOKUP(Table2[[#This Row],[Course Title]],'TSD-Data'!$A$1:$E$56,4,FALSE)</f>
        <v>40</v>
      </c>
      <c r="R102" s="15">
        <f>VLOOKUP(Table2[[#This Row],[Course Title]],'TSD-Data'!$A$1:$F$53,6,FALSE)</f>
        <v>40</v>
      </c>
      <c r="S102" s="15">
        <f>VLOOKUP(Table2[[#This Row],[Course Title]],'TSD-Data'!$A$1:$E$56,5,FALSE)</f>
        <v>5</v>
      </c>
      <c r="T102" s="15">
        <v>27</v>
      </c>
      <c r="U102" s="15"/>
      <c r="V102" s="15"/>
      <c r="W102" s="15"/>
      <c r="X102" s="103"/>
      <c r="Y102" s="15"/>
      <c r="Z102" s="15"/>
      <c r="AA102" s="100"/>
      <c r="AB102" s="99"/>
      <c r="AC102" s="71">
        <f ca="1">Table2[[#This Row],[End Date]]+2-TODAY()</f>
        <v>144</v>
      </c>
      <c r="AD102" s="15">
        <f>IF(ISBLANK(Table2[[#This Row],[Roster Received By]]),1,0)</f>
        <v>1</v>
      </c>
      <c r="AE102" s="15">
        <f ca="1">IF(Table2[[#This Row],[Start Date]]&gt;TODAY(),1,)</f>
        <v>1</v>
      </c>
      <c r="AF102" s="106"/>
    </row>
    <row r="103" spans="1:32" x14ac:dyDescent="0.25">
      <c r="A103" s="62"/>
      <c r="B103" s="99" t="s">
        <v>38</v>
      </c>
      <c r="C103" s="100" t="str">
        <f>VLOOKUP(Table2[[#This Row],[Course Title]],'TSD-Data'!$A$1:$E$56,2,FALSE)</f>
        <v>A-493-0061</v>
      </c>
      <c r="D103" s="100" t="str">
        <f>VLOOKUP(Table2[[#This Row],[Course Title]],'TSD-Data'!$A$1:$E$56,3,FALSE)</f>
        <v>288E</v>
      </c>
      <c r="E103" s="99" t="s">
        <v>80</v>
      </c>
      <c r="F103" s="102">
        <v>45670</v>
      </c>
      <c r="G103" s="102">
        <v>45673</v>
      </c>
      <c r="H103" s="105"/>
      <c r="I103" s="101">
        <v>0.79166666666666663</v>
      </c>
      <c r="J103" s="101">
        <v>0.66666666666666663</v>
      </c>
      <c r="K103" s="101">
        <v>0.125</v>
      </c>
      <c r="L103" s="101">
        <v>4.1666666666666664E-2</v>
      </c>
      <c r="M103" s="101">
        <v>0.58333333333333337</v>
      </c>
      <c r="N103" s="101">
        <v>0.375</v>
      </c>
      <c r="O103" s="15" t="s">
        <v>138</v>
      </c>
      <c r="P103" s="15"/>
      <c r="Q103" s="15">
        <f>VLOOKUP(Table2[[#This Row],[Course Title]],'TSD-Data'!$A$1:$E$56,4,FALSE)</f>
        <v>45</v>
      </c>
      <c r="R103" s="15">
        <f>VLOOKUP(Table2[[#This Row],[Course Title]],'TSD-Data'!$A$1:$F$53,6,FALSE)</f>
        <v>30</v>
      </c>
      <c r="S103" s="15">
        <f>VLOOKUP(Table2[[#This Row],[Course Title]],'TSD-Data'!$A$1:$E$56,5,FALSE)</f>
        <v>4</v>
      </c>
      <c r="T103" s="15">
        <v>119</v>
      </c>
      <c r="U103" s="15"/>
      <c r="V103" s="15"/>
      <c r="W103" s="103"/>
      <c r="X103" s="103"/>
      <c r="Y103" s="15"/>
      <c r="Z103" s="15"/>
      <c r="AA103" s="100"/>
      <c r="AB103" s="99"/>
      <c r="AC103" s="71">
        <f ca="1">Table2[[#This Row],[End Date]]+2-TODAY()</f>
        <v>143</v>
      </c>
      <c r="AD103" s="15">
        <f>IF(ISBLANK(Table2[[#This Row],[Roster Received By]]),1,0)</f>
        <v>1</v>
      </c>
      <c r="AE103" s="15">
        <f ca="1">IF(Table2[[#This Row],[Start Date]]&gt;TODAY(),1,)</f>
        <v>1</v>
      </c>
      <c r="AF103" s="135"/>
    </row>
    <row r="104" spans="1:32" x14ac:dyDescent="0.25">
      <c r="A104" s="99"/>
      <c r="B104" s="99" t="s">
        <v>29</v>
      </c>
      <c r="C104" s="100" t="str">
        <f>VLOOKUP(Table2[[#This Row],[Course Title]],'TSD-Data'!$A$1:$E$56,2,FALSE)</f>
        <v>A-493-0077</v>
      </c>
      <c r="D104" s="100" t="str">
        <f>VLOOKUP(Table2[[#This Row],[Course Title]],'TSD-Data'!$A$1:$E$56,3,FALSE)</f>
        <v>0381</v>
      </c>
      <c r="E104" s="99" t="s">
        <v>95</v>
      </c>
      <c r="F104" s="102">
        <v>45670</v>
      </c>
      <c r="G104" s="102">
        <v>45672</v>
      </c>
      <c r="H104" s="105">
        <v>0.33333333333333331</v>
      </c>
      <c r="I104" s="108"/>
      <c r="J104" s="230"/>
      <c r="K104" s="230"/>
      <c r="L104" s="230"/>
      <c r="M104" s="230"/>
      <c r="N104" s="230"/>
      <c r="O104" s="15" t="s">
        <v>94</v>
      </c>
      <c r="P104" s="15"/>
      <c r="Q104" s="15">
        <f>VLOOKUP(Table2[[#This Row],[Course Title]],'TSD-Data'!$A$1:$E$56,4,FALSE)</f>
        <v>25</v>
      </c>
      <c r="R104" s="15">
        <f>VLOOKUP(Table2[[#This Row],[Course Title]],'TSD-Data'!$A$1:$F$53,6,FALSE)</f>
        <v>24</v>
      </c>
      <c r="S104" s="15">
        <f>VLOOKUP(Table2[[#This Row],[Course Title]],'TSD-Data'!$A$1:$E$56,5,FALSE)</f>
        <v>3</v>
      </c>
      <c r="T104" s="15">
        <v>0</v>
      </c>
      <c r="U104" s="15"/>
      <c r="V104" s="15"/>
      <c r="W104" s="15"/>
      <c r="X104" s="103"/>
      <c r="Y104" s="15"/>
      <c r="Z104" s="15"/>
      <c r="AA104" s="100"/>
      <c r="AB104" s="99"/>
      <c r="AC104" s="71">
        <f ca="1">Table2[[#This Row],[End Date]]+2-TODAY()</f>
        <v>142</v>
      </c>
      <c r="AD104" s="15">
        <f>IF(ISBLANK(Table2[[#This Row],[Roster Received By]]),1,0)</f>
        <v>1</v>
      </c>
      <c r="AE104" s="15">
        <f ca="1">IF(Table2[[#This Row],[Start Date]]&gt;TODAY(),1,)</f>
        <v>1</v>
      </c>
      <c r="AF104" s="106"/>
    </row>
    <row r="105" spans="1:32" x14ac:dyDescent="0.25">
      <c r="A105" s="62" t="s">
        <v>385</v>
      </c>
      <c r="B105" s="99" t="s">
        <v>31</v>
      </c>
      <c r="C105" s="100" t="str">
        <f>VLOOKUP(Table2[[#This Row],[Course Title]],'TSD-Data'!$A$1:$E$56,2,FALSE)</f>
        <v>A-493-0083</v>
      </c>
      <c r="D105" s="100" t="str">
        <f>VLOOKUP(Table2[[#This Row],[Course Title]],'TSD-Data'!$A$1:$E$56,3,FALSE)</f>
        <v>339E</v>
      </c>
      <c r="E105" s="99" t="s">
        <v>80</v>
      </c>
      <c r="F105" s="67">
        <v>45670</v>
      </c>
      <c r="G105" s="102">
        <v>45670</v>
      </c>
      <c r="H105" s="105"/>
      <c r="I105" s="105">
        <v>0.33333333333333331</v>
      </c>
      <c r="J105" s="105">
        <v>0.20833333333333334</v>
      </c>
      <c r="K105" s="105">
        <v>0.66666666666666663</v>
      </c>
      <c r="L105" s="105">
        <v>0.58333333333333337</v>
      </c>
      <c r="M105" s="105">
        <v>0.125</v>
      </c>
      <c r="N105" s="105">
        <v>0.91666666666666663</v>
      </c>
      <c r="O105" s="15" t="s">
        <v>94</v>
      </c>
      <c r="P105" s="15"/>
      <c r="Q105" s="15">
        <f>VLOOKUP(Table2[[#This Row],[Course Title]],'TSD-Data'!$A$1:$E$56,4,FALSE)</f>
        <v>30</v>
      </c>
      <c r="R105" s="15">
        <f>VLOOKUP(Table2[[#This Row],[Course Title]],'TSD-Data'!$A$1:$F$53,6,FALSE)</f>
        <v>8</v>
      </c>
      <c r="S105" s="15">
        <f>VLOOKUP(Table2[[#This Row],[Course Title]],'TSD-Data'!$A$1:$E$56,5,FALSE)</f>
        <v>1</v>
      </c>
      <c r="T105" s="15">
        <v>0</v>
      </c>
      <c r="U105" s="15"/>
      <c r="V105" s="15"/>
      <c r="W105" s="15"/>
      <c r="X105" s="103"/>
      <c r="Y105" s="15"/>
      <c r="Z105" s="15"/>
      <c r="AA105" s="15"/>
      <c r="AB105" s="99"/>
      <c r="AC105" s="71">
        <f ca="1">Table2[[#This Row],[End Date]]+2-TODAY()</f>
        <v>140</v>
      </c>
      <c r="AD105" s="15">
        <f>IF(ISBLANK(Table2[[#This Row],[Roster Received By]]),1,0)</f>
        <v>1</v>
      </c>
      <c r="AE105" s="15">
        <f ca="1">IF(Table2[[#This Row],[Start Date]]&gt;TODAY(),1,)</f>
        <v>1</v>
      </c>
      <c r="AF105" s="106"/>
    </row>
    <row r="106" spans="1:32" x14ac:dyDescent="0.25">
      <c r="A106" s="62"/>
      <c r="B106" s="99" t="s">
        <v>59</v>
      </c>
      <c r="C106" s="100" t="str">
        <f>VLOOKUP(Table2[[#This Row],[Course Title]],'TSD-Data'!$A$1:$E$56,2,FALSE)</f>
        <v>A-493-0550</v>
      </c>
      <c r="D106" s="100" t="str">
        <f>VLOOKUP(Table2[[#This Row],[Course Title]],'TSD-Data'!$A$1:$E$56,3,FALSE)</f>
        <v>09K5</v>
      </c>
      <c r="E106" s="99" t="s">
        <v>80</v>
      </c>
      <c r="F106" s="102">
        <v>45670</v>
      </c>
      <c r="G106" s="102">
        <v>45673</v>
      </c>
      <c r="H106" s="105"/>
      <c r="I106" s="108">
        <v>0.41666666666666669</v>
      </c>
      <c r="J106" s="101">
        <v>0.29166666666666669</v>
      </c>
      <c r="K106" s="101">
        <v>0.75</v>
      </c>
      <c r="L106" s="101">
        <v>0.66666666666666663</v>
      </c>
      <c r="M106" s="101">
        <v>0.20833333333333334</v>
      </c>
      <c r="N106" s="101">
        <v>0.95833333333333337</v>
      </c>
      <c r="O106" s="15" t="s">
        <v>145</v>
      </c>
      <c r="P106" s="15"/>
      <c r="Q106" s="15">
        <f>VLOOKUP(Table2[[#This Row],[Course Title]],'TSD-Data'!$A$1:$E$56,4,FALSE)</f>
        <v>45</v>
      </c>
      <c r="R106" s="15">
        <f>VLOOKUP(Table2[[#This Row],[Course Title]],'TSD-Data'!$A$1:$F$53,6,FALSE)</f>
        <v>32</v>
      </c>
      <c r="S106" s="15">
        <f>VLOOKUP(Table2[[#This Row],[Course Title]],'TSD-Data'!$A$1:$E$56,5,FALSE)</f>
        <v>4</v>
      </c>
      <c r="T106" s="15">
        <v>465</v>
      </c>
      <c r="U106" s="15"/>
      <c r="V106" s="15"/>
      <c r="W106" s="15"/>
      <c r="X106" s="103"/>
      <c r="Y106" s="15"/>
      <c r="Z106" s="15"/>
      <c r="AA106" s="107"/>
      <c r="AB106" s="99"/>
      <c r="AC106" s="71">
        <f ca="1">Table2[[#This Row],[End Date]]+2-TODAY()</f>
        <v>143</v>
      </c>
      <c r="AD106" s="15">
        <f>IF(ISBLANK(Table2[[#This Row],[Roster Received By]]),1,0)</f>
        <v>1</v>
      </c>
      <c r="AE106" s="15">
        <f ca="1">IF(Table2[[#This Row],[Start Date]]&gt;TODAY(),1,)</f>
        <v>1</v>
      </c>
      <c r="AF106" s="106"/>
    </row>
    <row r="107" spans="1:32" x14ac:dyDescent="0.25">
      <c r="A107" s="62"/>
      <c r="B107" s="99" t="s">
        <v>60</v>
      </c>
      <c r="C107" s="100" t="str">
        <f>VLOOKUP(Table2[[#This Row],[Course Title]],'TSD-Data'!$A$1:$E$56,2,FALSE)</f>
        <v>A-493-0073</v>
      </c>
      <c r="D107" s="100" t="str">
        <f>VLOOKUP(Table2[[#This Row],[Course Title]],'TSD-Data'!$A$1:$E$56,3,FALSE)</f>
        <v>714S</v>
      </c>
      <c r="E107" s="99" t="s">
        <v>80</v>
      </c>
      <c r="F107" s="102">
        <v>45670</v>
      </c>
      <c r="G107" s="102">
        <v>45673</v>
      </c>
      <c r="H107" s="102"/>
      <c r="I107" s="105">
        <v>0.45833333333333331</v>
      </c>
      <c r="J107" s="105">
        <v>0.33333333333333331</v>
      </c>
      <c r="K107" s="105">
        <v>0.79166666666666663</v>
      </c>
      <c r="L107" s="105">
        <v>0.70833333333333337</v>
      </c>
      <c r="M107" s="105">
        <v>0.25</v>
      </c>
      <c r="N107" s="105">
        <v>4.1666666666666664E-2</v>
      </c>
      <c r="O107" s="15" t="s">
        <v>160</v>
      </c>
      <c r="P107" s="15"/>
      <c r="Q107" s="15">
        <f>VLOOKUP(Table2[[#This Row],[Course Title]],'TSD-Data'!$A$1:$E$56,4,FALSE)</f>
        <v>30</v>
      </c>
      <c r="R107" s="15">
        <f>VLOOKUP(Table2[[#This Row],[Course Title]],'TSD-Data'!$A$1:$F$53,6,FALSE)</f>
        <v>32</v>
      </c>
      <c r="S107" s="15">
        <f>VLOOKUP(Table2[[#This Row],[Course Title]],'TSD-Data'!$A$1:$E$56,5,FALSE)</f>
        <v>4</v>
      </c>
      <c r="T107" s="15">
        <v>433</v>
      </c>
      <c r="U107" s="15"/>
      <c r="V107" s="15"/>
      <c r="W107" s="15"/>
      <c r="X107" s="103"/>
      <c r="Y107" s="15"/>
      <c r="Z107" s="15"/>
      <c r="AA107" s="15"/>
      <c r="AB107" s="99"/>
      <c r="AC107" s="71">
        <f ca="1">Table2[[#This Row],[End Date]]+2-TODAY()</f>
        <v>143</v>
      </c>
      <c r="AD107" s="15">
        <f>IF(ISBLANK(Table2[[#This Row],[Roster Received By]]),1,0)</f>
        <v>1</v>
      </c>
      <c r="AE107" s="15">
        <f ca="1">IF(Table2[[#This Row],[Start Date]]&gt;TODAY(),1,)</f>
        <v>1</v>
      </c>
      <c r="AF107" s="106"/>
    </row>
    <row r="108" spans="1:32" x14ac:dyDescent="0.25">
      <c r="A108" s="62"/>
      <c r="B108" s="99" t="s">
        <v>52</v>
      </c>
      <c r="C108" s="100" t="str">
        <f>VLOOKUP(Table2[[#This Row],[Course Title]],'TSD-Data'!$A$1:$E$56,2,FALSE)</f>
        <v>A-493-0085</v>
      </c>
      <c r="D108" s="100">
        <f>VLOOKUP(Table2[[#This Row],[Course Title]],'TSD-Data'!$A$1:$E$56,3,FALSE)</f>
        <v>3555</v>
      </c>
      <c r="E108" s="99" t="s">
        <v>80</v>
      </c>
      <c r="F108" s="67">
        <v>45670</v>
      </c>
      <c r="G108" s="67">
        <v>45673</v>
      </c>
      <c r="H108" s="101"/>
      <c r="I108" s="101">
        <v>0.5</v>
      </c>
      <c r="J108" s="101">
        <v>0.375</v>
      </c>
      <c r="K108" s="101">
        <v>0.83333333333333337</v>
      </c>
      <c r="L108" s="101">
        <v>0.75</v>
      </c>
      <c r="M108" s="101">
        <v>0.29166666666666669</v>
      </c>
      <c r="N108" s="101">
        <v>8.3333333333333329E-2</v>
      </c>
      <c r="O108" s="15" t="s">
        <v>171</v>
      </c>
      <c r="P108" s="15"/>
      <c r="Q108" s="15">
        <f>VLOOKUP(Table2[[#This Row],[Course Title]],'TSD-Data'!$A$1:$E$56,4,FALSE)</f>
        <v>45</v>
      </c>
      <c r="R108" s="15">
        <f>VLOOKUP(Table2[[#This Row],[Course Title]],'TSD-Data'!$A$1:$F$53,6,FALSE)</f>
        <v>32</v>
      </c>
      <c r="S108" s="15">
        <f>VLOOKUP(Table2[[#This Row],[Course Title]],'TSD-Data'!$A$1:$E$56,5,FALSE)</f>
        <v>4</v>
      </c>
      <c r="T108" s="15">
        <v>503</v>
      </c>
      <c r="U108" s="15"/>
      <c r="V108" s="15"/>
      <c r="W108" s="15"/>
      <c r="X108" s="103"/>
      <c r="Y108" s="15"/>
      <c r="Z108" s="15"/>
      <c r="AA108" s="15"/>
      <c r="AB108" s="99"/>
      <c r="AC108" s="71">
        <f ca="1">Table2[[#This Row],[End Date]]+2-TODAY()</f>
        <v>143</v>
      </c>
      <c r="AD108" s="15">
        <f>IF(ISBLANK(Table2[[#This Row],[Roster Received By]]),1,0)</f>
        <v>1</v>
      </c>
      <c r="AE108" s="15">
        <f ca="1">IF(Table2[[#This Row],[Start Date]]&gt;TODAY(),1,)</f>
        <v>1</v>
      </c>
      <c r="AF108" s="106"/>
    </row>
    <row r="109" spans="1:32" x14ac:dyDescent="0.25">
      <c r="A109" s="62"/>
      <c r="B109" s="99" t="s">
        <v>53</v>
      </c>
      <c r="C109" s="100" t="str">
        <f>VLOOKUP(Table2[[#This Row],[Course Title]],'TSD-Data'!$A$1:$E$56,2,FALSE)</f>
        <v>A-493-0072</v>
      </c>
      <c r="D109" s="100" t="str">
        <f>VLOOKUP(Table2[[#This Row],[Course Title]],'TSD-Data'!$A$1:$E$56,3,FALSE)</f>
        <v>713U</v>
      </c>
      <c r="E109" s="65" t="s">
        <v>146</v>
      </c>
      <c r="F109" s="67">
        <v>45670</v>
      </c>
      <c r="G109" s="67">
        <v>45674</v>
      </c>
      <c r="H109" s="105">
        <v>0.33333333333333331</v>
      </c>
      <c r="I109" s="108"/>
      <c r="J109" s="230"/>
      <c r="K109" s="230"/>
      <c r="L109" s="230"/>
      <c r="M109" s="230"/>
      <c r="N109" s="230"/>
      <c r="O109" s="15" t="s">
        <v>179</v>
      </c>
      <c r="P109" s="15" t="s">
        <v>175</v>
      </c>
      <c r="Q109" s="15">
        <f>VLOOKUP(Table2[[#This Row],[Course Title]],'TSD-Data'!$A$1:$E$56,4,FALSE)</f>
        <v>30</v>
      </c>
      <c r="R109" s="15">
        <f>VLOOKUP(Table2[[#This Row],[Course Title]],'TSD-Data'!$A$1:$F$53,6,FALSE)</f>
        <v>40</v>
      </c>
      <c r="S109" s="15">
        <f>VLOOKUP(Table2[[#This Row],[Course Title]],'TSD-Data'!$A$1:$E$56,5,FALSE)</f>
        <v>5</v>
      </c>
      <c r="T109" s="15">
        <v>64</v>
      </c>
      <c r="U109" s="15"/>
      <c r="V109" s="15"/>
      <c r="W109" s="15"/>
      <c r="X109" s="103"/>
      <c r="Y109" s="15"/>
      <c r="Z109" s="15"/>
      <c r="AA109" s="15"/>
      <c r="AB109" s="99"/>
      <c r="AC109" s="71">
        <f ca="1">Table2[[#This Row],[End Date]]+2-TODAY()</f>
        <v>144</v>
      </c>
      <c r="AD109" s="15">
        <f>IF(ISBLANK(Table2[[#This Row],[Roster Received By]]),1,0)</f>
        <v>1</v>
      </c>
      <c r="AE109" s="15">
        <f ca="1">IF(Table2[[#This Row],[Start Date]]&gt;TODAY(),1,)</f>
        <v>1</v>
      </c>
      <c r="AF109" s="106"/>
    </row>
    <row r="110" spans="1:32" x14ac:dyDescent="0.25">
      <c r="A110" s="62"/>
      <c r="B110" s="99" t="s">
        <v>57</v>
      </c>
      <c r="C110" s="100" t="str">
        <f>VLOOKUP(Table2[[#This Row],[Course Title]],'TSD-Data'!$A$1:$E$56,2,FALSE)</f>
        <v>A-493-0099</v>
      </c>
      <c r="D110" s="100" t="str">
        <f>VLOOKUP(Table2[[#This Row],[Course Title]],'TSD-Data'!$A$1:$E$56,3,FALSE)</f>
        <v>12JW</v>
      </c>
      <c r="E110" s="99" t="s">
        <v>80</v>
      </c>
      <c r="F110" s="102">
        <v>45671</v>
      </c>
      <c r="G110" s="102">
        <v>45673</v>
      </c>
      <c r="H110" s="105"/>
      <c r="I110" s="105">
        <v>0.54166666666666663</v>
      </c>
      <c r="J110" s="101">
        <v>0.41666666666666669</v>
      </c>
      <c r="K110" s="101">
        <v>0.875</v>
      </c>
      <c r="L110" s="101">
        <v>0.79166666666666663</v>
      </c>
      <c r="M110" s="101">
        <v>0.33333333333333331</v>
      </c>
      <c r="N110" s="101">
        <v>0.125</v>
      </c>
      <c r="O110" s="15" t="s">
        <v>145</v>
      </c>
      <c r="P110" s="15"/>
      <c r="Q110" s="15">
        <f>VLOOKUP(Table2[[#This Row],[Course Title]],'TSD-Data'!$A$1:$E$56,4,FALSE)</f>
        <v>45</v>
      </c>
      <c r="R110" s="15">
        <f>VLOOKUP(Table2[[#This Row],[Course Title]],'TSD-Data'!$A$1:$F$53,6,FALSE)</f>
        <v>24</v>
      </c>
      <c r="S110" s="15">
        <f>VLOOKUP(Table2[[#This Row],[Course Title]],'TSD-Data'!$A$1:$E$56,5,FALSE)</f>
        <v>3</v>
      </c>
      <c r="T110" s="15">
        <v>718</v>
      </c>
      <c r="U110" s="15"/>
      <c r="V110" s="15"/>
      <c r="W110" s="15"/>
      <c r="X110" s="103"/>
      <c r="Y110" s="15"/>
      <c r="Z110" s="15"/>
      <c r="AA110" s="15"/>
      <c r="AB110" s="99"/>
      <c r="AC110" s="71">
        <f ca="1">Table2[[#This Row],[End Date]]+2-TODAY()</f>
        <v>143</v>
      </c>
      <c r="AD110" s="15">
        <f>IF(ISBLANK(Table2[[#This Row],[Roster Received By]]),1,0)</f>
        <v>1</v>
      </c>
      <c r="AE110" s="15">
        <f ca="1">IF(Table2[[#This Row],[Start Date]]&gt;TODAY(),1,)</f>
        <v>1</v>
      </c>
      <c r="AF110" s="135"/>
    </row>
    <row r="111" spans="1:32" x14ac:dyDescent="0.25">
      <c r="A111" s="99"/>
      <c r="B111" s="99" t="s">
        <v>31</v>
      </c>
      <c r="C111" s="100" t="str">
        <f>VLOOKUP(Table2[[#This Row],[Course Title]],'TSD-Data'!$A$1:$E$56,2,FALSE)</f>
        <v>A-493-0083</v>
      </c>
      <c r="D111" s="100" t="str">
        <f>VLOOKUP(Table2[[#This Row],[Course Title]],'TSD-Data'!$A$1:$E$56,3,FALSE)</f>
        <v>339E</v>
      </c>
      <c r="E111" s="99" t="s">
        <v>95</v>
      </c>
      <c r="F111" s="102">
        <v>45673</v>
      </c>
      <c r="G111" s="102">
        <v>45673</v>
      </c>
      <c r="H111" s="105">
        <v>0.33333333333333331</v>
      </c>
      <c r="I111" s="108"/>
      <c r="J111" s="230"/>
      <c r="K111" s="230"/>
      <c r="L111" s="230"/>
      <c r="M111" s="230"/>
      <c r="N111" s="230"/>
      <c r="O111" s="15" t="s">
        <v>94</v>
      </c>
      <c r="P111" s="15"/>
      <c r="Q111" s="15">
        <f>VLOOKUP(Table2[[#This Row],[Course Title]],'TSD-Data'!$A$1:$E$56,4,FALSE)</f>
        <v>30</v>
      </c>
      <c r="R111" s="15">
        <f>VLOOKUP(Table2[[#This Row],[Course Title]],'TSD-Data'!$A$1:$F$53,6,FALSE)</f>
        <v>8</v>
      </c>
      <c r="S111" s="15">
        <f>VLOOKUP(Table2[[#This Row],[Course Title]],'TSD-Data'!$A$1:$E$56,5,FALSE)</f>
        <v>1</v>
      </c>
      <c r="T111" s="15">
        <v>0</v>
      </c>
      <c r="U111" s="15"/>
      <c r="V111" s="15"/>
      <c r="W111" s="15"/>
      <c r="X111" s="103"/>
      <c r="Y111" s="15"/>
      <c r="Z111" s="15"/>
      <c r="AA111" s="15"/>
      <c r="AB111" s="99"/>
      <c r="AC111" s="71">
        <f ca="1">Table2[[#This Row],[End Date]]+2-TODAY()</f>
        <v>143</v>
      </c>
      <c r="AD111" s="15">
        <f>IF(ISBLANK(Table2[[#This Row],[Roster Received By]]),1,0)</f>
        <v>1</v>
      </c>
      <c r="AE111" s="15">
        <f ca="1">IF(Table2[[#This Row],[Start Date]]&gt;TODAY(),1,)</f>
        <v>1</v>
      </c>
      <c r="AF111" s="135"/>
    </row>
    <row r="112" spans="1:32" x14ac:dyDescent="0.25">
      <c r="A112" s="99" t="s">
        <v>386</v>
      </c>
      <c r="B112" s="99" t="s">
        <v>258</v>
      </c>
      <c r="C112" s="100" t="str">
        <f>VLOOKUP(Table2[[#This Row],[Course Title]],'TSD-Data'!$A$1:$E$56,2,FALSE)</f>
        <v>Holiday</v>
      </c>
      <c r="D112" s="100" t="str">
        <f>VLOOKUP(Table2[[#This Row],[Course Title]],'TSD-Data'!$A$1:$E$56,3,FALSE)</f>
        <v>Holiday</v>
      </c>
      <c r="E112" s="99"/>
      <c r="F112" s="102">
        <v>45677</v>
      </c>
      <c r="G112" s="102">
        <v>45677</v>
      </c>
      <c r="H112" s="108"/>
      <c r="I112" s="105"/>
      <c r="J112" s="102"/>
      <c r="K112" s="102"/>
      <c r="L112" s="102"/>
      <c r="M112" s="102"/>
      <c r="N112" s="102"/>
      <c r="O112" s="15"/>
      <c r="P112" s="15"/>
      <c r="Q112" s="15">
        <f>VLOOKUP(Table2[[#This Row],[Course Title]],'TSD-Data'!$A$1:$E$56,4,FALSE)</f>
        <v>0</v>
      </c>
      <c r="R112" s="15">
        <f>VLOOKUP(Table2[[#This Row],[Course Title]],'TSD-Data'!$A$1:$F$53,6,FALSE)</f>
        <v>0</v>
      </c>
      <c r="S112" s="15">
        <f>VLOOKUP(Table2[[#This Row],[Course Title]],'TSD-Data'!$A$1:$E$56,5,FALSE)</f>
        <v>0</v>
      </c>
      <c r="T112" s="15">
        <v>0</v>
      </c>
      <c r="U112" s="15"/>
      <c r="V112" s="15"/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99" t="s">
        <v>100</v>
      </c>
      <c r="AC112" s="71">
        <f ca="1">Table2[[#This Row],[End Date]]+2-TODAY()</f>
        <v>147</v>
      </c>
      <c r="AD112" s="15">
        <f>IF(ISBLANK(Table2[[#This Row],[Roster Received By]]),1,0)</f>
        <v>0</v>
      </c>
      <c r="AE112" s="15">
        <f ca="1">IF(Table2[[#This Row],[Start Date]]&gt;TODAY(),1,)</f>
        <v>1</v>
      </c>
      <c r="AF112" s="106"/>
    </row>
    <row r="113" spans="1:32" x14ac:dyDescent="0.25">
      <c r="A113" s="62"/>
      <c r="B113" s="99" t="s">
        <v>32</v>
      </c>
      <c r="C113" s="100" t="str">
        <f>VLOOKUP(Table2[[#This Row],[Course Title]],'TSD-Data'!$A$1:$E$56,2,FALSE)</f>
        <v>A-493-2300</v>
      </c>
      <c r="D113" s="100" t="str">
        <f>VLOOKUP(Table2[[#This Row],[Course Title]],'TSD-Data'!$A$1:$E$56,3,FALSE)</f>
        <v>993F</v>
      </c>
      <c r="E113" s="99" t="s">
        <v>276</v>
      </c>
      <c r="F113" s="102">
        <v>45678</v>
      </c>
      <c r="G113" s="102">
        <v>45679</v>
      </c>
      <c r="H113" s="105">
        <v>0.33333333333333331</v>
      </c>
      <c r="I113" s="105"/>
      <c r="J113" s="101"/>
      <c r="K113" s="101"/>
      <c r="L113" s="101"/>
      <c r="M113" s="101"/>
      <c r="N113" s="101"/>
      <c r="O113" s="15" t="s">
        <v>94</v>
      </c>
      <c r="P113" s="15"/>
      <c r="Q113" s="15">
        <f>VLOOKUP(Table2[[#This Row],[Course Title]],'TSD-Data'!$A$1:$E$56,4,FALSE)</f>
        <v>30</v>
      </c>
      <c r="R113" s="15">
        <f>VLOOKUP(Table2[[#This Row],[Course Title]],'TSD-Data'!$A$1:$F$53,6,FALSE)</f>
        <v>16</v>
      </c>
      <c r="S113" s="15">
        <f>VLOOKUP(Table2[[#This Row],[Course Title]],'TSD-Data'!$A$1:$E$56,5,FALSE)</f>
        <v>2</v>
      </c>
      <c r="T113" s="15">
        <v>28</v>
      </c>
      <c r="U113" s="15"/>
      <c r="V113" s="15"/>
      <c r="W113" s="15"/>
      <c r="X113" s="103"/>
      <c r="Y113" s="15"/>
      <c r="Z113" s="15"/>
      <c r="AA113" s="15"/>
      <c r="AB113" s="99"/>
      <c r="AC113" s="71">
        <f ca="1">Table2[[#This Row],[End Date]]+2-TODAY()</f>
        <v>149</v>
      </c>
      <c r="AD113" s="15">
        <f>IF(ISBLANK(Table2[[#This Row],[Roster Received By]]),1,0)</f>
        <v>1</v>
      </c>
      <c r="AE113" s="15">
        <f ca="1">IF(Table2[[#This Row],[Start Date]]&gt;TODAY(),1,)</f>
        <v>1</v>
      </c>
      <c r="AF113" s="106"/>
    </row>
    <row r="114" spans="1:32" x14ac:dyDescent="0.25">
      <c r="A114" s="62"/>
      <c r="B114" s="99" t="s">
        <v>51</v>
      </c>
      <c r="C114" s="100" t="str">
        <f>VLOOKUP(Table2[[#This Row],[Course Title]],'TSD-Data'!$A$1:$E$56,2,FALSE)</f>
        <v>A-493-0335</v>
      </c>
      <c r="D114" s="100" t="str">
        <f>VLOOKUP(Table2[[#This Row],[Course Title]],'TSD-Data'!$A$1:$E$56,3,FALSE)</f>
        <v>09ND</v>
      </c>
      <c r="E114" s="99" t="s">
        <v>80</v>
      </c>
      <c r="F114" s="102">
        <v>45678</v>
      </c>
      <c r="G114" s="102">
        <v>45681</v>
      </c>
      <c r="H114" s="102"/>
      <c r="I114" s="101">
        <v>0.33333333333333331</v>
      </c>
      <c r="J114" s="105">
        <v>0.20833333333333334</v>
      </c>
      <c r="K114" s="105">
        <v>0.66666666666666663</v>
      </c>
      <c r="L114" s="105">
        <v>0.58333333333333337</v>
      </c>
      <c r="M114" s="105">
        <v>0.125</v>
      </c>
      <c r="N114" s="105">
        <v>0.91666666666666663</v>
      </c>
      <c r="O114" s="15" t="s">
        <v>179</v>
      </c>
      <c r="P114" s="15"/>
      <c r="Q114" s="15">
        <f>VLOOKUP(Table2[[#This Row],[Course Title]],'TSD-Data'!$A$1:$E$56,4,FALSE)</f>
        <v>45</v>
      </c>
      <c r="R114" s="15">
        <f>VLOOKUP(Table2[[#This Row],[Course Title]],'TSD-Data'!$A$1:$F$53,6,FALSE)</f>
        <v>32</v>
      </c>
      <c r="S114" s="15">
        <f>VLOOKUP(Table2[[#This Row],[Course Title]],'TSD-Data'!$A$1:$E$56,5,FALSE)</f>
        <v>4</v>
      </c>
      <c r="T114" s="15">
        <v>253</v>
      </c>
      <c r="U114" s="15"/>
      <c r="V114" s="15"/>
      <c r="W114" s="15"/>
      <c r="X114" s="103"/>
      <c r="Y114" s="15"/>
      <c r="Z114" s="15"/>
      <c r="AA114" s="15"/>
      <c r="AB114" s="99"/>
      <c r="AC114" s="71">
        <f ca="1">Table2[[#This Row],[End Date]]+2-TODAY()</f>
        <v>151</v>
      </c>
      <c r="AD114" s="15">
        <f>IF(ISBLANK(Table2[[#This Row],[Roster Received By]]),1,0)</f>
        <v>1</v>
      </c>
      <c r="AE114" s="15">
        <f ca="1">IF(Table2[[#This Row],[Start Date]]&gt;TODAY(),1,)</f>
        <v>1</v>
      </c>
      <c r="AF114" s="136"/>
    </row>
    <row r="115" spans="1:32" x14ac:dyDescent="0.25">
      <c r="A115" s="62"/>
      <c r="B115" s="99" t="s">
        <v>59</v>
      </c>
      <c r="C115" s="100" t="str">
        <f>VLOOKUP(Table2[[#This Row],[Course Title]],'TSD-Data'!$A$1:$E$56,2,FALSE)</f>
        <v>A-493-0550</v>
      </c>
      <c r="D115" s="100" t="str">
        <f>VLOOKUP(Table2[[#This Row],[Course Title]],'TSD-Data'!$A$1:$E$56,3,FALSE)</f>
        <v>09K5</v>
      </c>
      <c r="E115" s="99" t="s">
        <v>80</v>
      </c>
      <c r="F115" s="102">
        <v>45678</v>
      </c>
      <c r="G115" s="102">
        <v>45681</v>
      </c>
      <c r="H115" s="102"/>
      <c r="I115" s="101">
        <v>0.33333333333333331</v>
      </c>
      <c r="J115" s="105">
        <v>0.20833333333333334</v>
      </c>
      <c r="K115" s="105">
        <v>0.66666666666666663</v>
      </c>
      <c r="L115" s="105">
        <v>0.58333333333333337</v>
      </c>
      <c r="M115" s="105">
        <v>0.125</v>
      </c>
      <c r="N115" s="105">
        <v>0.91666666666666663</v>
      </c>
      <c r="O115" s="15" t="s">
        <v>145</v>
      </c>
      <c r="P115" s="15"/>
      <c r="Q115" s="15">
        <f>VLOOKUP(Table2[[#This Row],[Course Title]],'TSD-Data'!$A$1:$E$56,4,FALSE)</f>
        <v>45</v>
      </c>
      <c r="R115" s="15">
        <f>VLOOKUP(Table2[[#This Row],[Course Title]],'TSD-Data'!$A$1:$F$53,6,FALSE)</f>
        <v>32</v>
      </c>
      <c r="S115" s="15">
        <f>VLOOKUP(Table2[[#This Row],[Course Title]],'TSD-Data'!$A$1:$E$56,5,FALSE)</f>
        <v>4</v>
      </c>
      <c r="T115" s="15">
        <v>845</v>
      </c>
      <c r="U115" s="15"/>
      <c r="V115" s="15"/>
      <c r="W115" s="15"/>
      <c r="X115" s="103"/>
      <c r="Y115" s="15"/>
      <c r="Z115" s="15"/>
      <c r="AA115" s="15"/>
      <c r="AB115" s="99"/>
      <c r="AC115" s="71">
        <f ca="1">Table2[[#This Row],[End Date]]+2-TODAY()</f>
        <v>151</v>
      </c>
      <c r="AD115" s="15">
        <f>IF(ISBLANK(Table2[[#This Row],[Roster Received By]]),1,0)</f>
        <v>1</v>
      </c>
      <c r="AE115" s="15">
        <f ca="1">IF(Table2[[#This Row],[Start Date]]&gt;TODAY(),1,)</f>
        <v>1</v>
      </c>
      <c r="AF115" s="106"/>
    </row>
    <row r="116" spans="1:32" x14ac:dyDescent="0.25">
      <c r="A116" s="62"/>
      <c r="B116" s="99" t="s">
        <v>50</v>
      </c>
      <c r="C116" s="100" t="str">
        <f>VLOOKUP(Table2[[#This Row],[Course Title]],'TSD-Data'!$A$1:$E$56,2,FALSE)</f>
        <v>A-493-0331</v>
      </c>
      <c r="D116" s="100" t="str">
        <f>VLOOKUP(Table2[[#This Row],[Course Title]],'TSD-Data'!$A$1:$E$56,3,FALSE)</f>
        <v>10UG</v>
      </c>
      <c r="E116" s="99" t="s">
        <v>80</v>
      </c>
      <c r="F116" s="102">
        <v>45679</v>
      </c>
      <c r="G116" s="102">
        <v>45681</v>
      </c>
      <c r="H116" s="102"/>
      <c r="I116" s="101">
        <v>0.33333333333333331</v>
      </c>
      <c r="J116" s="105">
        <v>0.20833333333333334</v>
      </c>
      <c r="K116" s="105">
        <v>0.66666666666666663</v>
      </c>
      <c r="L116" s="105">
        <v>0.58333333333333337</v>
      </c>
      <c r="M116" s="105">
        <v>0.125</v>
      </c>
      <c r="N116" s="105">
        <v>0.91666666666666663</v>
      </c>
      <c r="O116" s="15" t="s">
        <v>186</v>
      </c>
      <c r="P116" s="15"/>
      <c r="Q116" s="15">
        <f>VLOOKUP(Table2[[#This Row],[Course Title]],'TSD-Data'!$A$1:$E$56,4,FALSE)</f>
        <v>45</v>
      </c>
      <c r="R116" s="15">
        <f>VLOOKUP(Table2[[#This Row],[Course Title]],'TSD-Data'!$A$1:$F$53,6,FALSE)</f>
        <v>24</v>
      </c>
      <c r="S116" s="15">
        <f>VLOOKUP(Table2[[#This Row],[Course Title]],'TSD-Data'!$A$1:$E$56,5,FALSE)</f>
        <v>3</v>
      </c>
      <c r="T116" s="15">
        <v>498</v>
      </c>
      <c r="U116" s="15"/>
      <c r="V116" s="15"/>
      <c r="W116" s="15"/>
      <c r="X116" s="103"/>
      <c r="Y116" s="15"/>
      <c r="Z116" s="15"/>
      <c r="AA116" s="15"/>
      <c r="AB116" s="99"/>
      <c r="AC116" s="71">
        <f ca="1">Table2[[#This Row],[End Date]]+2-TODAY()</f>
        <v>151</v>
      </c>
      <c r="AD116" s="15">
        <f>IF(ISBLANK(Table2[[#This Row],[Roster Received By]]),1,0)</f>
        <v>1</v>
      </c>
      <c r="AE116" s="15">
        <f ca="1">IF(Table2[[#This Row],[Start Date]]&gt;TODAY(),1,)</f>
        <v>1</v>
      </c>
      <c r="AF116" s="106"/>
    </row>
    <row r="117" spans="1:32" x14ac:dyDescent="0.25">
      <c r="A117" s="62"/>
      <c r="B117" s="99" t="s">
        <v>34</v>
      </c>
      <c r="C117" s="100" t="str">
        <f>VLOOKUP(Table2[[#This Row],[Course Title]],'TSD-Data'!$A$1:$E$56,2,FALSE)</f>
        <v>A-493-0216</v>
      </c>
      <c r="D117" s="100" t="str">
        <f>VLOOKUP(Table2[[#This Row],[Course Title]],'TSD-Data'!$A$1:$E$56,3,FALSE)</f>
        <v>12X8</v>
      </c>
      <c r="E117" s="99" t="s">
        <v>276</v>
      </c>
      <c r="F117" s="102">
        <v>45680</v>
      </c>
      <c r="G117" s="102">
        <v>45680</v>
      </c>
      <c r="H117" s="105">
        <v>0.33333333333333331</v>
      </c>
      <c r="I117" s="105"/>
      <c r="J117" s="101"/>
      <c r="K117" s="101"/>
      <c r="L117" s="101"/>
      <c r="M117" s="101"/>
      <c r="N117" s="101"/>
      <c r="O117" s="15" t="s">
        <v>94</v>
      </c>
      <c r="P117" s="15"/>
      <c r="Q117" s="15">
        <f>VLOOKUP(Table2[[#This Row],[Course Title]],'TSD-Data'!$A$1:$E$56,4,FALSE)</f>
        <v>30</v>
      </c>
      <c r="R117" s="15">
        <f>VLOOKUP(Table2[[#This Row],[Course Title]],'TSD-Data'!$A$1:$F$53,6,FALSE)</f>
        <v>8</v>
      </c>
      <c r="S117" s="15">
        <f>VLOOKUP(Table2[[#This Row],[Course Title]],'TSD-Data'!$A$1:$E$56,5,FALSE)</f>
        <v>1</v>
      </c>
      <c r="T117" s="15">
        <v>23</v>
      </c>
      <c r="U117" s="15"/>
      <c r="V117" s="15"/>
      <c r="W117" s="15"/>
      <c r="X117" s="103"/>
      <c r="Y117" s="15"/>
      <c r="Z117" s="15"/>
      <c r="AA117" s="107"/>
      <c r="AB117" s="99"/>
      <c r="AC117" s="71">
        <f ca="1">Table2[[#This Row],[End Date]]+2-TODAY()</f>
        <v>150</v>
      </c>
      <c r="AD117" s="15">
        <f>IF(ISBLANK(Table2[[#This Row],[Roster Received By]]),1,0)</f>
        <v>1</v>
      </c>
      <c r="AE117" s="15">
        <f ca="1">IF(Table2[[#This Row],[Start Date]]&gt;TODAY(),1,)</f>
        <v>1</v>
      </c>
      <c r="AF117" s="106"/>
    </row>
    <row r="118" spans="1:32" x14ac:dyDescent="0.25">
      <c r="A118" s="62"/>
      <c r="B118" s="99" t="s">
        <v>35</v>
      </c>
      <c r="C118" s="100" t="str">
        <f>VLOOKUP(Table2[[#This Row],[Course Title]],'TSD-Data'!$A$1:$E$56,2,FALSE)</f>
        <v>A-493-2501</v>
      </c>
      <c r="D118" s="100" t="str">
        <f>VLOOKUP(Table2[[#This Row],[Course Title]],'TSD-Data'!$A$1:$E$56,3,FALSE)</f>
        <v>05ZE</v>
      </c>
      <c r="E118" s="99" t="s">
        <v>276</v>
      </c>
      <c r="F118" s="102">
        <v>45681</v>
      </c>
      <c r="G118" s="102">
        <v>45681</v>
      </c>
      <c r="H118" s="105">
        <v>0.33333333333333331</v>
      </c>
      <c r="I118" s="105"/>
      <c r="J118" s="101"/>
      <c r="K118" s="101"/>
      <c r="L118" s="101"/>
      <c r="M118" s="101"/>
      <c r="N118" s="101"/>
      <c r="O118" s="15" t="s">
        <v>94</v>
      </c>
      <c r="P118" s="15"/>
      <c r="Q118" s="15">
        <f>VLOOKUP(Table2[[#This Row],[Course Title]],'TSD-Data'!$A$1:$E$56,4,FALSE)</f>
        <v>30</v>
      </c>
      <c r="R118" s="15">
        <f>VLOOKUP(Table2[[#This Row],[Course Title]],'TSD-Data'!$A$1:$F$53,6,FALSE)</f>
        <v>8</v>
      </c>
      <c r="S118" s="15">
        <f>VLOOKUP(Table2[[#This Row],[Course Title]],'TSD-Data'!$A$1:$E$56,5,FALSE)</f>
        <v>1</v>
      </c>
      <c r="T118" s="15">
        <v>33</v>
      </c>
      <c r="U118" s="15"/>
      <c r="V118" s="15"/>
      <c r="W118" s="15"/>
      <c r="X118" s="103"/>
      <c r="Y118" s="15"/>
      <c r="Z118" s="15"/>
      <c r="AA118" s="15"/>
      <c r="AB118" s="99"/>
      <c r="AC118" s="71">
        <f ca="1">Table2[[#This Row],[End Date]]+2-TODAY()</f>
        <v>151</v>
      </c>
      <c r="AD118" s="15">
        <f>IF(ISBLANK(Table2[[#This Row],[Roster Received By]]),1,0)</f>
        <v>1</v>
      </c>
      <c r="AE118" s="15">
        <f ca="1">IF(Table2[[#This Row],[Start Date]]&gt;TODAY(),1,)</f>
        <v>1</v>
      </c>
      <c r="AF118" s="106"/>
    </row>
    <row r="119" spans="1:32" x14ac:dyDescent="0.25">
      <c r="A119" s="62"/>
      <c r="B119" s="99" t="s">
        <v>55</v>
      </c>
      <c r="C119" s="100" t="str">
        <f>VLOOKUP(Table2[[#This Row],[Course Title]],'TSD-Data'!$A$1:$E$56,2,FALSE)</f>
        <v>A-493-0103</v>
      </c>
      <c r="D119" s="100" t="str">
        <f>VLOOKUP(Table2[[#This Row],[Course Title]],'TSD-Data'!$A$1:$E$56,3,FALSE)</f>
        <v>12JY</v>
      </c>
      <c r="E119" s="99" t="s">
        <v>206</v>
      </c>
      <c r="F119" s="102">
        <v>45684</v>
      </c>
      <c r="G119" s="102">
        <v>45688</v>
      </c>
      <c r="H119" s="105">
        <v>0.33333333333333331</v>
      </c>
      <c r="I119" s="101"/>
      <c r="J119" s="226"/>
      <c r="K119" s="226"/>
      <c r="L119" s="226"/>
      <c r="M119" s="226"/>
      <c r="N119" s="226"/>
      <c r="O119" s="15" t="s">
        <v>160</v>
      </c>
      <c r="P119" s="15"/>
      <c r="Q119" s="15">
        <f>VLOOKUP(Table2[[#This Row],[Course Title]],'TSD-Data'!$A$1:$E$56,4,FALSE)</f>
        <v>25</v>
      </c>
      <c r="R119" s="15">
        <f>VLOOKUP(Table2[[#This Row],[Course Title]],'TSD-Data'!$A$1:$F$53,6,FALSE)</f>
        <v>40</v>
      </c>
      <c r="S119" s="15">
        <f>VLOOKUP(Table2[[#This Row],[Course Title]],'TSD-Data'!$A$1:$E$56,5,FALSE)</f>
        <v>5</v>
      </c>
      <c r="T119" s="15">
        <v>86</v>
      </c>
      <c r="U119" s="15"/>
      <c r="V119" s="15"/>
      <c r="W119" s="15"/>
      <c r="X119" s="103"/>
      <c r="Y119" s="15"/>
      <c r="Z119" s="15"/>
      <c r="AA119" s="15"/>
      <c r="AB119" s="99"/>
      <c r="AC119" s="71">
        <f ca="1">Table2[[#This Row],[End Date]]+2-TODAY()</f>
        <v>158</v>
      </c>
      <c r="AD119" s="15">
        <f>IF(ISBLANK(Table2[[#This Row],[Roster Received By]]),1,0)</f>
        <v>1</v>
      </c>
      <c r="AE119" s="15">
        <f ca="1">IF(Table2[[#This Row],[Start Date]]&gt;TODAY(),1,)</f>
        <v>1</v>
      </c>
      <c r="AF119" s="106"/>
    </row>
    <row r="120" spans="1:32" x14ac:dyDescent="0.25">
      <c r="A120" s="62"/>
      <c r="B120" s="99" t="s">
        <v>55</v>
      </c>
      <c r="C120" s="100" t="str">
        <f>VLOOKUP(Table2[[#This Row],[Course Title]],'TSD-Data'!$A$1:$E$56,2,FALSE)</f>
        <v>A-493-0103</v>
      </c>
      <c r="D120" s="100" t="str">
        <f>VLOOKUP(Table2[[#This Row],[Course Title]],'TSD-Data'!$A$1:$E$56,3,FALSE)</f>
        <v>12JY</v>
      </c>
      <c r="E120" s="99" t="s">
        <v>292</v>
      </c>
      <c r="F120" s="102">
        <v>45684</v>
      </c>
      <c r="G120" s="102">
        <v>45688</v>
      </c>
      <c r="H120" s="105">
        <v>0.33333333333333331</v>
      </c>
      <c r="I120" s="108"/>
      <c r="J120" s="230"/>
      <c r="K120" s="230"/>
      <c r="L120" s="230"/>
      <c r="M120" s="230"/>
      <c r="N120" s="230"/>
      <c r="O120" s="15" t="s">
        <v>160</v>
      </c>
      <c r="P120" s="15"/>
      <c r="Q120" s="15">
        <f>VLOOKUP(Table2[[#This Row],[Course Title]],'TSD-Data'!$A$1:$E$56,4,FALSE)</f>
        <v>25</v>
      </c>
      <c r="R120" s="15">
        <f>VLOOKUP(Table2[[#This Row],[Course Title]],'TSD-Data'!$A$1:$F$53,6,FALSE)</f>
        <v>40</v>
      </c>
      <c r="S120" s="15">
        <f>VLOOKUP(Table2[[#This Row],[Course Title]],'TSD-Data'!$A$1:$E$56,5,FALSE)</f>
        <v>5</v>
      </c>
      <c r="T120" s="15">
        <v>248</v>
      </c>
      <c r="U120" s="15"/>
      <c r="V120" s="15"/>
      <c r="W120" s="15"/>
      <c r="X120" s="103"/>
      <c r="Y120" s="15"/>
      <c r="Z120" s="15"/>
      <c r="AA120" s="104"/>
      <c r="AB120" s="99"/>
      <c r="AC120" s="71">
        <f ca="1">Table2[[#This Row],[End Date]]+2-TODAY()</f>
        <v>158</v>
      </c>
      <c r="AD120" s="15">
        <f>IF(ISBLANK(Table2[[#This Row],[Roster Received By]]),1,0)</f>
        <v>1</v>
      </c>
      <c r="AE120" s="15">
        <f ca="1">IF(Table2[[#This Row],[Start Date]]&gt;TODAY(),1,)</f>
        <v>1</v>
      </c>
      <c r="AF120" s="106"/>
    </row>
    <row r="121" spans="1:32" x14ac:dyDescent="0.25">
      <c r="A121" s="62"/>
      <c r="B121" s="99" t="s">
        <v>165</v>
      </c>
      <c r="C121" s="100" t="str">
        <f>VLOOKUP(Table2[[#This Row],[Course Title]],'TSD-Data'!$A$1:$E$56,2,FALSE)</f>
        <v>A-322-2604</v>
      </c>
      <c r="D121" s="100" t="str">
        <f>VLOOKUP(Table2[[#This Row],[Course Title]],'TSD-Data'!$A$1:$E$56,3,FALSE)</f>
        <v>10ZZ</v>
      </c>
      <c r="E121" s="99" t="s">
        <v>80</v>
      </c>
      <c r="F121" s="102">
        <v>45684</v>
      </c>
      <c r="G121" s="102">
        <v>45688</v>
      </c>
      <c r="H121" s="102"/>
      <c r="I121" s="101">
        <v>0.54166666666666663</v>
      </c>
      <c r="J121" s="101">
        <v>0.41666666666666669</v>
      </c>
      <c r="K121" s="101">
        <v>0.875</v>
      </c>
      <c r="L121" s="101">
        <v>0.79166666666666663</v>
      </c>
      <c r="M121" s="101">
        <v>0.33333333333333331</v>
      </c>
      <c r="N121" s="101">
        <v>0.125</v>
      </c>
      <c r="O121" s="15" t="s">
        <v>124</v>
      </c>
      <c r="P121" s="15"/>
      <c r="Q121" s="15">
        <f>VLOOKUP(Table2[[#This Row],[Course Title]],'TSD-Data'!$A$1:$E$56,4,FALSE)</f>
        <v>45</v>
      </c>
      <c r="R121" s="15">
        <f>VLOOKUP(Table2[[#This Row],[Course Title]],'TSD-Data'!$A$1:$F$53,6,FALSE)</f>
        <v>24</v>
      </c>
      <c r="S121" s="15">
        <f>VLOOKUP(Table2[[#This Row],[Course Title]],'TSD-Data'!$A$1:$E$56,5,FALSE)</f>
        <v>3</v>
      </c>
      <c r="T121" s="15">
        <v>634</v>
      </c>
      <c r="U121" s="15"/>
      <c r="V121" s="15"/>
      <c r="W121" s="15"/>
      <c r="X121" s="103"/>
      <c r="Y121" s="15"/>
      <c r="Z121" s="15"/>
      <c r="AA121" s="100"/>
      <c r="AB121" s="99"/>
      <c r="AC121" s="71">
        <f ca="1">Table2[[#This Row],[End Date]]+2-TODAY()</f>
        <v>158</v>
      </c>
      <c r="AD121" s="15">
        <f>IF(ISBLANK(Table2[[#This Row],[Roster Received By]]),1,0)</f>
        <v>1</v>
      </c>
      <c r="AE121" s="15">
        <f ca="1">IF(Table2[[#This Row],[Start Date]]&gt;TODAY(),1,)</f>
        <v>1</v>
      </c>
      <c r="AF121" s="106"/>
    </row>
    <row r="122" spans="1:32" x14ac:dyDescent="0.25">
      <c r="A122" s="62"/>
      <c r="B122" s="99" t="s">
        <v>61</v>
      </c>
      <c r="C122" s="100" t="str">
        <f>VLOOKUP(Table2[[#This Row],[Course Title]],'TSD-Data'!$A$1:$E$56,2,FALSE)</f>
        <v>A-493-0078</v>
      </c>
      <c r="D122" s="100">
        <f>VLOOKUP(Table2[[#This Row],[Course Title]],'TSD-Data'!$A$1:$E$56,3,FALSE)</f>
        <v>1228</v>
      </c>
      <c r="E122" s="99" t="s">
        <v>80</v>
      </c>
      <c r="F122" s="67">
        <v>45684</v>
      </c>
      <c r="G122" s="67">
        <v>45687</v>
      </c>
      <c r="H122" s="105"/>
      <c r="I122" s="105">
        <v>0.54166666666666663</v>
      </c>
      <c r="J122" s="101">
        <v>0.41666666666666669</v>
      </c>
      <c r="K122" s="101">
        <v>0.875</v>
      </c>
      <c r="L122" s="101">
        <v>0.79166666666666663</v>
      </c>
      <c r="M122" s="101">
        <v>0.33333333333333331</v>
      </c>
      <c r="N122" s="101">
        <v>0.125</v>
      </c>
      <c r="O122" s="15" t="s">
        <v>141</v>
      </c>
      <c r="P122" s="15"/>
      <c r="Q122" s="15">
        <f>VLOOKUP(Table2[[#This Row],[Course Title]],'TSD-Data'!$A$1:$E$56,4,FALSE)</f>
        <v>45</v>
      </c>
      <c r="R122" s="15">
        <f>VLOOKUP(Table2[[#This Row],[Course Title]],'TSD-Data'!$A$1:$F$53,6,FALSE)</f>
        <v>32</v>
      </c>
      <c r="S122" s="15">
        <f>VLOOKUP(Table2[[#This Row],[Course Title]],'TSD-Data'!$A$1:$E$56,5,FALSE)</f>
        <v>4</v>
      </c>
      <c r="T122" s="15">
        <v>840</v>
      </c>
      <c r="U122" s="15"/>
      <c r="V122" s="15"/>
      <c r="W122" s="15"/>
      <c r="X122" s="103"/>
      <c r="Y122" s="15"/>
      <c r="Z122" s="15"/>
      <c r="AA122" s="100"/>
      <c r="AB122" s="99"/>
      <c r="AC122" s="71">
        <f ca="1">Table2[[#This Row],[End Date]]+2-TODAY()</f>
        <v>157</v>
      </c>
      <c r="AD122" s="15">
        <f>IF(ISBLANK(Table2[[#This Row],[Roster Received By]]),1,0)</f>
        <v>1</v>
      </c>
      <c r="AE122" s="15">
        <f ca="1">IF(Table2[[#This Row],[Start Date]]&gt;TODAY(),1,)</f>
        <v>1</v>
      </c>
      <c r="AF122" s="106"/>
    </row>
    <row r="123" spans="1:32" x14ac:dyDescent="0.25">
      <c r="A123" s="100"/>
      <c r="B123" s="99" t="s">
        <v>39</v>
      </c>
      <c r="C123" s="100" t="str">
        <f>VLOOKUP(Table2[[#This Row],[Course Title]],'TSD-Data'!$A$1:$E$56,2,FALSE)</f>
        <v>A-570-0100</v>
      </c>
      <c r="D123" s="100" t="str">
        <f>VLOOKUP(Table2[[#This Row],[Course Title]],'TSD-Data'!$A$1:$E$56,3,FALSE)</f>
        <v>18B7</v>
      </c>
      <c r="E123" s="99" t="s">
        <v>80</v>
      </c>
      <c r="F123" s="102">
        <v>45684</v>
      </c>
      <c r="G123" s="102">
        <v>45687</v>
      </c>
      <c r="H123" s="105"/>
      <c r="I123" s="105">
        <v>0.54166666666666663</v>
      </c>
      <c r="J123" s="101">
        <v>0.41666666666666669</v>
      </c>
      <c r="K123" s="101">
        <v>0.875</v>
      </c>
      <c r="L123" s="101">
        <v>0.79166666666666663</v>
      </c>
      <c r="M123" s="101">
        <v>0.33333333333333331</v>
      </c>
      <c r="N123" s="101">
        <v>0.125</v>
      </c>
      <c r="O123" s="15" t="s">
        <v>79</v>
      </c>
      <c r="P123" s="15"/>
      <c r="Q123" s="15">
        <f>VLOOKUP(Table2[[#This Row],[Course Title]],'TSD-Data'!$A$1:$E$56,4,FALSE)</f>
        <v>45</v>
      </c>
      <c r="R123" s="15">
        <f>VLOOKUP(Table2[[#This Row],[Course Title]],'TSD-Data'!$A$1:$F$53,6,FALSE)</f>
        <v>16</v>
      </c>
      <c r="S123" s="15">
        <f>VLOOKUP(Table2[[#This Row],[Course Title]],'TSD-Data'!$A$1:$E$56,5,FALSE)</f>
        <v>2</v>
      </c>
      <c r="T123" s="15">
        <v>621</v>
      </c>
      <c r="U123" s="15"/>
      <c r="V123" s="15"/>
      <c r="W123" s="104"/>
      <c r="X123" s="104"/>
      <c r="Y123" s="100"/>
      <c r="Z123" s="100"/>
      <c r="AA123" s="104"/>
      <c r="AB123" s="99"/>
      <c r="AC123" s="71">
        <f ca="1">Table2[[#This Row],[End Date]]+2-TODAY()</f>
        <v>157</v>
      </c>
      <c r="AD123" s="15">
        <f>IF(ISBLANK(Table2[[#This Row],[Roster Received By]]),1,0)</f>
        <v>1</v>
      </c>
      <c r="AE123" s="15">
        <f ca="1">IF(Table2[[#This Row],[Start Date]]&gt;TODAY(),1,)</f>
        <v>1</v>
      </c>
      <c r="AF123" s="106"/>
    </row>
    <row r="124" spans="1:32" x14ac:dyDescent="0.25">
      <c r="A124" s="62"/>
      <c r="B124" s="99" t="s">
        <v>53</v>
      </c>
      <c r="C124" s="100" t="str">
        <f>VLOOKUP(Table2[[#This Row],[Course Title]],'TSD-Data'!$A$1:$E$56,2,FALSE)</f>
        <v>A-493-0072</v>
      </c>
      <c r="D124" s="100" t="str">
        <f>VLOOKUP(Table2[[#This Row],[Course Title]],'TSD-Data'!$A$1:$E$56,3,FALSE)</f>
        <v>713U</v>
      </c>
      <c r="E124" s="99" t="s">
        <v>221</v>
      </c>
      <c r="F124" s="102">
        <v>45684</v>
      </c>
      <c r="G124" s="102">
        <v>45688</v>
      </c>
      <c r="H124" s="105">
        <v>0.33333333333333331</v>
      </c>
      <c r="I124" s="226"/>
      <c r="J124" s="226"/>
      <c r="K124" s="226"/>
      <c r="L124" s="226"/>
      <c r="M124" s="226"/>
      <c r="N124" s="226"/>
      <c r="O124" s="15" t="s">
        <v>201</v>
      </c>
      <c r="P124" s="15" t="s">
        <v>171</v>
      </c>
      <c r="Q124" s="15">
        <f>VLOOKUP(Table2[[#This Row],[Course Title]],'TSD-Data'!$A$1:$E$56,4,FALSE)</f>
        <v>30</v>
      </c>
      <c r="R124" s="15">
        <f>VLOOKUP(Table2[[#This Row],[Course Title]],'TSD-Data'!$A$1:$F$53,6,FALSE)</f>
        <v>40</v>
      </c>
      <c r="S124" s="15">
        <f>VLOOKUP(Table2[[#This Row],[Course Title]],'TSD-Data'!$A$1:$E$56,5,FALSE)</f>
        <v>5</v>
      </c>
      <c r="T124" s="15">
        <v>41</v>
      </c>
      <c r="U124" s="15"/>
      <c r="V124" s="15"/>
      <c r="W124" s="15"/>
      <c r="X124" s="103"/>
      <c r="Y124" s="15"/>
      <c r="Z124" s="15"/>
      <c r="AA124" s="100"/>
      <c r="AB124" s="99"/>
      <c r="AC124" s="71">
        <f ca="1">Table2[[#This Row],[End Date]]+2-TODAY()</f>
        <v>158</v>
      </c>
      <c r="AD124" s="15">
        <f>IF(ISBLANK(Table2[[#This Row],[Roster Received By]]),1,0)</f>
        <v>1</v>
      </c>
      <c r="AE124" s="15">
        <f ca="1">IF(Table2[[#This Row],[Start Date]]&gt;TODAY(),1,)</f>
        <v>1</v>
      </c>
      <c r="AF124" s="106"/>
    </row>
    <row r="125" spans="1:32" x14ac:dyDescent="0.25">
      <c r="A125" s="100"/>
      <c r="B125" s="99" t="s">
        <v>40</v>
      </c>
      <c r="C125" s="100" t="str">
        <f>VLOOKUP(Table2[[#This Row],[Course Title]],'TSD-Data'!$A$1:$E$56,2,FALSE)</f>
        <v>A-493-2098</v>
      </c>
      <c r="D125" s="100" t="str">
        <f>VLOOKUP(Table2[[#This Row],[Course Title]],'TSD-Data'!$A$1:$E$56,3,FALSE)</f>
        <v>09WW</v>
      </c>
      <c r="E125" s="99" t="s">
        <v>80</v>
      </c>
      <c r="F125" s="102">
        <v>45684</v>
      </c>
      <c r="G125" s="102">
        <v>45688</v>
      </c>
      <c r="H125" s="105"/>
      <c r="I125" s="105">
        <v>0.33333333333333331</v>
      </c>
      <c r="J125" s="105">
        <v>0.20833333333333334</v>
      </c>
      <c r="K125" s="105">
        <v>0.66666666666666663</v>
      </c>
      <c r="L125" s="105">
        <v>0.58333333333333337</v>
      </c>
      <c r="M125" s="105">
        <v>0.125</v>
      </c>
      <c r="N125" s="105">
        <v>0.91666666666666663</v>
      </c>
      <c r="O125" s="15" t="s">
        <v>110</v>
      </c>
      <c r="P125" s="15"/>
      <c r="Q125" s="15">
        <f>VLOOKUP(Table2[[#This Row],[Course Title]],'TSD-Data'!$A$1:$E$56,4,FALSE)</f>
        <v>100</v>
      </c>
      <c r="R125" s="15">
        <f>VLOOKUP(Table2[[#This Row],[Course Title]],'TSD-Data'!$A$1:$F$53,6,FALSE)</f>
        <v>16</v>
      </c>
      <c r="S125" s="15">
        <f>VLOOKUP(Table2[[#This Row],[Course Title]],'TSD-Data'!$A$1:$E$56,5,FALSE)</f>
        <v>2</v>
      </c>
      <c r="T125" s="15">
        <v>722</v>
      </c>
      <c r="U125" s="15"/>
      <c r="V125" s="15"/>
      <c r="W125" s="104"/>
      <c r="X125" s="104"/>
      <c r="Y125" s="100"/>
      <c r="Z125" s="100"/>
      <c r="AA125" s="104"/>
      <c r="AB125" s="99"/>
      <c r="AC125" s="71">
        <f ca="1">Table2[[#This Row],[End Date]]+2-TODAY()</f>
        <v>158</v>
      </c>
      <c r="AD125" s="15">
        <f>IF(ISBLANK(Table2[[#This Row],[Roster Received By]]),1,0)</f>
        <v>1</v>
      </c>
      <c r="AE125" s="15">
        <f ca="1">IF(Table2[[#This Row],[Start Date]]&gt;TODAY(),1,)</f>
        <v>1</v>
      </c>
      <c r="AF125" s="106"/>
    </row>
    <row r="126" spans="1:32" x14ac:dyDescent="0.25">
      <c r="A126" s="99" t="s">
        <v>387</v>
      </c>
      <c r="B126" s="99" t="s">
        <v>28</v>
      </c>
      <c r="C126" s="100" t="str">
        <f>VLOOKUP(Table2[[#This Row],[Course Title]],'TSD-Data'!$A$1:$E$56,2,FALSE)</f>
        <v>A-493-0013</v>
      </c>
      <c r="D126" s="100">
        <f>VLOOKUP(Table2[[#This Row],[Course Title]],'TSD-Data'!$A$1:$E$56,3,FALSE)</f>
        <v>3683</v>
      </c>
      <c r="E126" s="99" t="s">
        <v>81</v>
      </c>
      <c r="F126" s="102">
        <v>45685</v>
      </c>
      <c r="G126" s="102">
        <v>45687</v>
      </c>
      <c r="H126" s="105">
        <v>0.33333333333333331</v>
      </c>
      <c r="I126" s="226"/>
      <c r="J126" s="226"/>
      <c r="K126" s="226"/>
      <c r="L126" s="226"/>
      <c r="M126" s="226"/>
      <c r="N126" s="226"/>
      <c r="O126" s="15" t="s">
        <v>94</v>
      </c>
      <c r="P126" s="15"/>
      <c r="Q126" s="15">
        <f>VLOOKUP(Table2[[#This Row],[Course Title]],'TSD-Data'!$A$1:$E$56,4,FALSE)</f>
        <v>40</v>
      </c>
      <c r="R126" s="15">
        <f>VLOOKUP(Table2[[#This Row],[Course Title]],'TSD-Data'!$A$1:$F$53,6,FALSE)</f>
        <v>24</v>
      </c>
      <c r="S126" s="15">
        <f>VLOOKUP(Table2[[#This Row],[Course Title]],'TSD-Data'!$A$1:$E$56,5,FALSE)</f>
        <v>3</v>
      </c>
      <c r="T126" s="15">
        <v>20</v>
      </c>
      <c r="U126" s="15"/>
      <c r="V126" s="15"/>
      <c r="W126" s="15"/>
      <c r="X126" s="103"/>
      <c r="Y126" s="15"/>
      <c r="Z126" s="15"/>
      <c r="AA126" s="100"/>
      <c r="AB126" s="99"/>
      <c r="AC126" s="71">
        <f ca="1">Table2[[#This Row],[End Date]]+2-TODAY()</f>
        <v>157</v>
      </c>
      <c r="AD126" s="15">
        <f>IF(ISBLANK(Table2[[#This Row],[Roster Received By]]),1,0)</f>
        <v>1</v>
      </c>
      <c r="AE126" s="15">
        <f ca="1">IF(Table2[[#This Row],[Start Date]]&gt;TODAY(),1,)</f>
        <v>1</v>
      </c>
      <c r="AF126" s="106"/>
    </row>
    <row r="127" spans="1:32" x14ac:dyDescent="0.25">
      <c r="A127" s="100"/>
      <c r="B127" s="99" t="s">
        <v>57</v>
      </c>
      <c r="C127" s="100" t="str">
        <f>VLOOKUP(Table2[[#This Row],[Course Title]],'TSD-Data'!$A$1:$E$56,2,FALSE)</f>
        <v>A-493-0099</v>
      </c>
      <c r="D127" s="100" t="str">
        <f>VLOOKUP(Table2[[#This Row],[Course Title]],'TSD-Data'!$A$1:$E$56,3,FALSE)</f>
        <v>12JW</v>
      </c>
      <c r="E127" s="99" t="s">
        <v>80</v>
      </c>
      <c r="F127" s="102">
        <v>45685</v>
      </c>
      <c r="G127" s="102">
        <v>45687</v>
      </c>
      <c r="H127" s="105"/>
      <c r="I127" s="105">
        <v>0.41666666666666669</v>
      </c>
      <c r="J127" s="101">
        <v>0.29166666666666669</v>
      </c>
      <c r="K127" s="101">
        <v>0.75</v>
      </c>
      <c r="L127" s="101">
        <v>0.66666666666666663</v>
      </c>
      <c r="M127" s="101">
        <v>0.20833333333333334</v>
      </c>
      <c r="N127" s="101">
        <v>0.95833333333333337</v>
      </c>
      <c r="O127" s="15" t="s">
        <v>145</v>
      </c>
      <c r="P127" s="15"/>
      <c r="Q127" s="103">
        <f>VLOOKUP(Table2[[#This Row],[Course Title]],'TSD-Data'!$A$1:$E$56,4,FALSE)</f>
        <v>45</v>
      </c>
      <c r="R127" s="15">
        <f>VLOOKUP(Table2[[#This Row],[Course Title]],'TSD-Data'!$A$1:$F$53,6,FALSE)</f>
        <v>24</v>
      </c>
      <c r="S127" s="15">
        <f>VLOOKUP(Table2[[#This Row],[Course Title]],'TSD-Data'!$A$1:$E$56,5,FALSE)</f>
        <v>3</v>
      </c>
      <c r="T127" s="15">
        <v>334</v>
      </c>
      <c r="U127" s="15"/>
      <c r="V127" s="15"/>
      <c r="W127" s="104"/>
      <c r="X127" s="104"/>
      <c r="Y127" s="100"/>
      <c r="Z127" s="100"/>
      <c r="AA127" s="104"/>
      <c r="AB127" s="99"/>
      <c r="AC127" s="71">
        <f ca="1">Table2[[#This Row],[End Date]]+2-TODAY()</f>
        <v>157</v>
      </c>
      <c r="AD127" s="15">
        <f>IF(ISBLANK(Table2[[#This Row],[Roster Received By]]),1,0)</f>
        <v>1</v>
      </c>
      <c r="AE127" s="15">
        <f ca="1">IF(Table2[[#This Row],[Start Date]]&gt;TODAY(),1,)</f>
        <v>1</v>
      </c>
      <c r="AF127" s="106"/>
    </row>
    <row r="128" spans="1:32" x14ac:dyDescent="0.25">
      <c r="A128" s="62"/>
      <c r="B128" s="99" t="s">
        <v>58</v>
      </c>
      <c r="C128" s="100" t="str">
        <f>VLOOKUP(Table2[[#This Row],[Course Title]],'TSD-Data'!$A$1:$E$56,2,FALSE)</f>
        <v xml:space="preserve">A-493-0075 </v>
      </c>
      <c r="D128" s="100" t="str">
        <f>VLOOKUP(Table2[[#This Row],[Course Title]],'TSD-Data'!$A$1:$E$56,3,FALSE)</f>
        <v>714U</v>
      </c>
      <c r="E128" s="99" t="s">
        <v>206</v>
      </c>
      <c r="F128" s="102">
        <v>45685</v>
      </c>
      <c r="G128" s="102">
        <v>45688</v>
      </c>
      <c r="H128" s="105">
        <v>0.33333333333333331</v>
      </c>
      <c r="I128" s="101"/>
      <c r="J128" s="226"/>
      <c r="K128" s="226"/>
      <c r="L128" s="226"/>
      <c r="M128" s="226"/>
      <c r="N128" s="226"/>
      <c r="O128" s="15" t="s">
        <v>160</v>
      </c>
      <c r="P128" s="15"/>
      <c r="Q128" s="15">
        <f>VLOOKUP(Table2[[#This Row],[Course Title]],'TSD-Data'!$A$1:$E$56,4,FALSE)</f>
        <v>30</v>
      </c>
      <c r="R128" s="15">
        <f>VLOOKUP(Table2[[#This Row],[Course Title]],'TSD-Data'!$A$1:$F$53,6,FALSE)</f>
        <v>32</v>
      </c>
      <c r="S128" s="15">
        <f>VLOOKUP(Table2[[#This Row],[Course Title]],'TSD-Data'!$A$1:$E$56,5,FALSE)</f>
        <v>4</v>
      </c>
      <c r="T128" s="15">
        <v>25</v>
      </c>
      <c r="U128" s="15"/>
      <c r="V128" s="15"/>
      <c r="W128" s="15"/>
      <c r="X128" s="103"/>
      <c r="Y128" s="15"/>
      <c r="Z128" s="15"/>
      <c r="AA128" s="15"/>
      <c r="AB128" s="99"/>
      <c r="AC128" s="71">
        <f ca="1">Table2[[#This Row],[End Date]]+2-TODAY()</f>
        <v>158</v>
      </c>
      <c r="AD128" s="15">
        <f>IF(ISBLANK(Table2[[#This Row],[Roster Received By]]),1,0)</f>
        <v>1</v>
      </c>
      <c r="AE128" s="15">
        <f ca="1">IF(Table2[[#This Row],[Start Date]]&gt;TODAY(),1,)</f>
        <v>1</v>
      </c>
      <c r="AF128" s="106"/>
    </row>
    <row r="129" spans="1:32" x14ac:dyDescent="0.25">
      <c r="A129" s="62" t="s">
        <v>388</v>
      </c>
      <c r="B129" s="99" t="s">
        <v>264</v>
      </c>
      <c r="C129" s="100" t="str">
        <f>VLOOKUP(Table2[[#This Row],[Course Title]],'TSD-Data'!$A$1:$E$56,2,FALSE)</f>
        <v>Function</v>
      </c>
      <c r="D129" s="100" t="str">
        <f>VLOOKUP(Table2[[#This Row],[Course Title]],'TSD-Data'!$A$1:$E$56,3,FALSE)</f>
        <v>Function</v>
      </c>
      <c r="E129" s="99" t="s">
        <v>267</v>
      </c>
      <c r="F129" s="102">
        <v>45688</v>
      </c>
      <c r="G129" s="102">
        <v>45688</v>
      </c>
      <c r="H129" s="108"/>
      <c r="I129" s="108"/>
      <c r="J129" s="102"/>
      <c r="K129" s="102"/>
      <c r="L129" s="102"/>
      <c r="M129" s="102"/>
      <c r="N129" s="102"/>
      <c r="O129" s="15"/>
      <c r="P129" s="15"/>
      <c r="Q129" s="15">
        <f>VLOOKUP(Table2[[#This Row],[Course Title]],'TSD-Data'!$A$1:$E$56,4,FALSE)</f>
        <v>0</v>
      </c>
      <c r="R129" s="15">
        <f>VLOOKUP(Table2[[#This Row],[Course Title]],'TSD-Data'!$A$1:$F$53,6,FALSE)</f>
        <v>0</v>
      </c>
      <c r="S129" s="15">
        <f>VLOOKUP(Table2[[#This Row],[Course Title]],'TSD-Data'!$A$1:$E$56,5,FALSE)</f>
        <v>0</v>
      </c>
      <c r="T129" s="15">
        <v>0</v>
      </c>
      <c r="U129" s="15"/>
      <c r="V129" s="15"/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99" t="s">
        <v>100</v>
      </c>
      <c r="AC129" s="71">
        <f ca="1">Table2[[#This Row],[End Date]]+2-TODAY()</f>
        <v>158</v>
      </c>
      <c r="AD129" s="15">
        <f>IF(ISBLANK(Table2[[#This Row],[Roster Received By]]),1,0)</f>
        <v>0</v>
      </c>
      <c r="AE129" s="15">
        <f ca="1">IF(Table2[[#This Row],[Start Date]]&gt;TODAY(),1,)</f>
        <v>1</v>
      </c>
      <c r="AF129" s="106"/>
    </row>
    <row r="130" spans="1:32" x14ac:dyDescent="0.25">
      <c r="A130" s="100"/>
      <c r="B130" s="99" t="s">
        <v>39</v>
      </c>
      <c r="C130" s="100" t="str">
        <f>VLOOKUP(Table2[[#This Row],[Course Title]],'TSD-Data'!$A$1:$E$56,2,FALSE)</f>
        <v>A-570-0100</v>
      </c>
      <c r="D130" s="100" t="str">
        <f>VLOOKUP(Table2[[#This Row],[Course Title]],'TSD-Data'!$A$1:$E$56,3,FALSE)</f>
        <v>18B7</v>
      </c>
      <c r="E130" s="99" t="s">
        <v>80</v>
      </c>
      <c r="F130" s="102">
        <v>45690</v>
      </c>
      <c r="G130" s="102">
        <v>45693</v>
      </c>
      <c r="H130" s="105"/>
      <c r="I130" s="105">
        <v>0.79166666666666663</v>
      </c>
      <c r="J130" s="101">
        <v>0.66666666666666663</v>
      </c>
      <c r="K130" s="101">
        <v>0.125</v>
      </c>
      <c r="L130" s="101">
        <v>4.1666666666666664E-2</v>
      </c>
      <c r="M130" s="101">
        <v>0.58333333333333337</v>
      </c>
      <c r="N130" s="101">
        <v>0.375</v>
      </c>
      <c r="O130" s="15" t="s">
        <v>79</v>
      </c>
      <c r="P130" s="15"/>
      <c r="Q130" s="15">
        <f>VLOOKUP(Table2[[#This Row],[Course Title]],'TSD-Data'!$A$1:$E$56,4,FALSE)</f>
        <v>45</v>
      </c>
      <c r="R130" s="15">
        <f>VLOOKUP(Table2[[#This Row],[Course Title]],'TSD-Data'!$A$1:$F$53,6,FALSE)</f>
        <v>16</v>
      </c>
      <c r="S130" s="15">
        <f>VLOOKUP(Table2[[#This Row],[Course Title]],'TSD-Data'!$A$1:$E$56,5,FALSE)</f>
        <v>2</v>
      </c>
      <c r="T130" s="15">
        <v>132</v>
      </c>
      <c r="U130" s="15"/>
      <c r="V130" s="15"/>
      <c r="W130" s="104"/>
      <c r="X130" s="104"/>
      <c r="Y130" s="100"/>
      <c r="Z130" s="100"/>
      <c r="AA130" s="104"/>
      <c r="AB130" s="99"/>
      <c r="AC130" s="71">
        <f ca="1">Table2[[#This Row],[End Date]]+2-TODAY()</f>
        <v>163</v>
      </c>
      <c r="AD130" s="15">
        <f>IF(ISBLANK(Table2[[#This Row],[Roster Received By]]),1,0)</f>
        <v>1</v>
      </c>
      <c r="AE130" s="15">
        <f ca="1">IF(Table2[[#This Row],[Start Date]]&gt;TODAY(),1,)</f>
        <v>1</v>
      </c>
      <c r="AF130" s="106"/>
    </row>
    <row r="131" spans="1:32" x14ac:dyDescent="0.25">
      <c r="A131" s="62"/>
      <c r="B131" s="99" t="s">
        <v>37</v>
      </c>
      <c r="C131" s="100" t="str">
        <f>VLOOKUP(Table2[[#This Row],[Course Title]],'TSD-Data'!$A$1:$E$56,2,FALSE)</f>
        <v>A-493-0665</v>
      </c>
      <c r="D131" s="100" t="str">
        <f>VLOOKUP(Table2[[#This Row],[Course Title]],'TSD-Data'!$A$1:$E$56,3,FALSE)</f>
        <v>10KW</v>
      </c>
      <c r="E131" s="99" t="s">
        <v>80</v>
      </c>
      <c r="F131" s="102">
        <v>45691</v>
      </c>
      <c r="G131" s="102">
        <v>45695</v>
      </c>
      <c r="H131" s="105"/>
      <c r="I131" s="105">
        <v>0.33333333333333331</v>
      </c>
      <c r="J131" s="105">
        <v>0.20833333333333334</v>
      </c>
      <c r="K131" s="105">
        <v>0.66666666666666663</v>
      </c>
      <c r="L131" s="105">
        <v>0.58333333333333337</v>
      </c>
      <c r="M131" s="105">
        <v>0.125</v>
      </c>
      <c r="N131" s="105">
        <v>0.91666666666666663</v>
      </c>
      <c r="O131" s="15" t="s">
        <v>120</v>
      </c>
      <c r="P131" s="15"/>
      <c r="Q131" s="15">
        <f>VLOOKUP(Table2[[#This Row],[Course Title]],'TSD-Data'!$A$1:$E$56,4,FALSE)</f>
        <v>45</v>
      </c>
      <c r="R131" s="15">
        <f>VLOOKUP(Table2[[#This Row],[Course Title]],'TSD-Data'!$A$1:$F$53,6,FALSE)</f>
        <v>24</v>
      </c>
      <c r="S131" s="15">
        <f>VLOOKUP(Table2[[#This Row],[Course Title]],'TSD-Data'!$A$1:$E$56,5,FALSE)</f>
        <v>3</v>
      </c>
      <c r="T131" s="15">
        <v>172</v>
      </c>
      <c r="U131" s="15"/>
      <c r="V131" s="15"/>
      <c r="W131" s="15"/>
      <c r="X131" s="103"/>
      <c r="Y131" s="15"/>
      <c r="Z131" s="15"/>
      <c r="AA131" s="100"/>
      <c r="AB131" s="99"/>
      <c r="AC131" s="71">
        <f ca="1">Table2[[#This Row],[End Date]]+2-TODAY()</f>
        <v>165</v>
      </c>
      <c r="AD131" s="15">
        <f>IF(ISBLANK(Table2[[#This Row],[Roster Received By]]),1,0)</f>
        <v>1</v>
      </c>
      <c r="AE131" s="15">
        <f ca="1">IF(Table2[[#This Row],[Start Date]]&gt;TODAY(),1,)</f>
        <v>1</v>
      </c>
      <c r="AF131" s="106"/>
    </row>
    <row r="132" spans="1:32" x14ac:dyDescent="0.25">
      <c r="A132" s="62"/>
      <c r="B132" s="99" t="s">
        <v>55</v>
      </c>
      <c r="C132" s="100" t="str">
        <f>VLOOKUP(Table2[[#This Row],[Course Title]],'TSD-Data'!$A$1:$E$56,2,FALSE)</f>
        <v>A-493-0103</v>
      </c>
      <c r="D132" s="100" t="str">
        <f>VLOOKUP(Table2[[#This Row],[Course Title]],'TSD-Data'!$A$1:$E$56,3,FALSE)</f>
        <v>12JY</v>
      </c>
      <c r="E132" s="99" t="s">
        <v>206</v>
      </c>
      <c r="F132" s="102">
        <v>45691</v>
      </c>
      <c r="G132" s="102">
        <v>45695</v>
      </c>
      <c r="H132" s="105">
        <v>0.33333333333333331</v>
      </c>
      <c r="I132" s="101"/>
      <c r="J132" s="226"/>
      <c r="K132" s="226"/>
      <c r="L132" s="226"/>
      <c r="M132" s="226"/>
      <c r="N132" s="226"/>
      <c r="O132" s="15" t="s">
        <v>160</v>
      </c>
      <c r="P132" s="15"/>
      <c r="Q132" s="15">
        <f>VLOOKUP(Table2[[#This Row],[Course Title]],'TSD-Data'!$A$1:$E$56,4,FALSE)</f>
        <v>25</v>
      </c>
      <c r="R132" s="15">
        <f>VLOOKUP(Table2[[#This Row],[Course Title]],'TSD-Data'!$A$1:$F$53,6,FALSE)</f>
        <v>40</v>
      </c>
      <c r="S132" s="15">
        <f>VLOOKUP(Table2[[#This Row],[Course Title]],'TSD-Data'!$A$1:$E$56,5,FALSE)</f>
        <v>5</v>
      </c>
      <c r="T132" s="15">
        <v>86</v>
      </c>
      <c r="U132" s="15"/>
      <c r="V132" s="15"/>
      <c r="W132" s="15"/>
      <c r="X132" s="103"/>
      <c r="Y132" s="15"/>
      <c r="Z132" s="15"/>
      <c r="AA132" s="15"/>
      <c r="AB132" s="99"/>
      <c r="AC132" s="71">
        <f ca="1">Table2[[#This Row],[End Date]]+2-TODAY()</f>
        <v>165</v>
      </c>
      <c r="AD132" s="15">
        <f>IF(ISBLANK(Table2[[#This Row],[Roster Received By]]),1,0)</f>
        <v>1</v>
      </c>
      <c r="AE132" s="15">
        <f ca="1">IF(Table2[[#This Row],[Start Date]]&gt;TODAY(),1,)</f>
        <v>1</v>
      </c>
      <c r="AF132" s="106"/>
    </row>
    <row r="133" spans="1:32" x14ac:dyDescent="0.25">
      <c r="A133" s="62"/>
      <c r="B133" s="99" t="s">
        <v>55</v>
      </c>
      <c r="C133" s="100" t="str">
        <f>VLOOKUP(Table2[[#This Row],[Course Title]],'TSD-Data'!$A$1:$E$56,2,FALSE)</f>
        <v>A-493-0103</v>
      </c>
      <c r="D133" s="100" t="str">
        <f>VLOOKUP(Table2[[#This Row],[Course Title]],'TSD-Data'!$A$1:$E$56,3,FALSE)</f>
        <v>12JY</v>
      </c>
      <c r="E133" s="65" t="s">
        <v>292</v>
      </c>
      <c r="F133" s="102">
        <v>45691</v>
      </c>
      <c r="G133" s="102">
        <v>45695</v>
      </c>
      <c r="H133" s="105">
        <v>0.33333333333333331</v>
      </c>
      <c r="I133" s="108"/>
      <c r="J133" s="230"/>
      <c r="K133" s="230"/>
      <c r="L133" s="230"/>
      <c r="M133" s="230"/>
      <c r="N133" s="230"/>
      <c r="O133" s="15" t="s">
        <v>160</v>
      </c>
      <c r="P133" s="15"/>
      <c r="Q133" s="15">
        <f>VLOOKUP(Table2[[#This Row],[Course Title]],'TSD-Data'!$A$1:$E$56,4,FALSE)</f>
        <v>25</v>
      </c>
      <c r="R133" s="15">
        <f>VLOOKUP(Table2[[#This Row],[Course Title]],'TSD-Data'!$A$1:$F$53,6,FALSE)</f>
        <v>40</v>
      </c>
      <c r="S133" s="15">
        <f>VLOOKUP(Table2[[#This Row],[Course Title]],'TSD-Data'!$A$1:$E$56,5,FALSE)</f>
        <v>5</v>
      </c>
      <c r="T133" s="15">
        <v>248</v>
      </c>
      <c r="U133" s="15"/>
      <c r="V133" s="15"/>
      <c r="W133" s="15"/>
      <c r="X133" s="103"/>
      <c r="Y133" s="15"/>
      <c r="Z133" s="15"/>
      <c r="AA133" s="100"/>
      <c r="AB133" s="99"/>
      <c r="AC133" s="71">
        <f ca="1">Table2[[#This Row],[End Date]]+2-TODAY()</f>
        <v>165</v>
      </c>
      <c r="AD133" s="15">
        <f>IF(ISBLANK(Table2[[#This Row],[Roster Received By]]),1,0)</f>
        <v>1</v>
      </c>
      <c r="AE133" s="15">
        <f ca="1">IF(Table2[[#This Row],[Start Date]]&gt;TODAY(),1,)</f>
        <v>1</v>
      </c>
      <c r="AF133" s="106"/>
    </row>
    <row r="134" spans="1:32" x14ac:dyDescent="0.25">
      <c r="A134" s="62"/>
      <c r="B134" s="99" t="s">
        <v>17</v>
      </c>
      <c r="C134" s="100" t="str">
        <f>VLOOKUP(Table2[[#This Row],[Course Title]],'TSD-Data'!$A$1:$E$56,2,FALSE)</f>
        <v>A-493-0012</v>
      </c>
      <c r="D134" s="100">
        <f>VLOOKUP(Table2[[#This Row],[Course Title]],'TSD-Data'!$A$1:$E$56,3,FALSE)</f>
        <v>3682</v>
      </c>
      <c r="E134" s="65" t="s">
        <v>292</v>
      </c>
      <c r="F134" s="67">
        <v>45691</v>
      </c>
      <c r="G134" s="67">
        <v>45695</v>
      </c>
      <c r="H134" s="105">
        <v>0.33333333333333331</v>
      </c>
      <c r="I134" s="108"/>
      <c r="J134" s="230"/>
      <c r="K134" s="230"/>
      <c r="L134" s="230"/>
      <c r="M134" s="230"/>
      <c r="N134" s="230"/>
      <c r="O134" s="15" t="s">
        <v>94</v>
      </c>
      <c r="P134" s="15"/>
      <c r="Q134" s="15">
        <f>VLOOKUP(Table2[[#This Row],[Course Title]],'TSD-Data'!$A$1:$E$56,4,FALSE)</f>
        <v>40</v>
      </c>
      <c r="R134" s="15">
        <f>VLOOKUP(Table2[[#This Row],[Course Title]],'TSD-Data'!$A$1:$F$53,6,FALSE)</f>
        <v>40</v>
      </c>
      <c r="S134" s="15">
        <f>VLOOKUP(Table2[[#This Row],[Course Title]],'TSD-Data'!$A$1:$E$56,5,FALSE)</f>
        <v>5</v>
      </c>
      <c r="T134" s="15">
        <v>16</v>
      </c>
      <c r="U134" s="15"/>
      <c r="V134" s="15"/>
      <c r="W134" s="15"/>
      <c r="X134" s="103"/>
      <c r="Y134" s="15"/>
      <c r="Z134" s="15"/>
      <c r="AA134" s="100"/>
      <c r="AB134" s="99"/>
      <c r="AC134" s="71">
        <f ca="1">Table2[[#This Row],[End Date]]+2-TODAY()</f>
        <v>165</v>
      </c>
      <c r="AD134" s="15">
        <f>IF(ISBLANK(Table2[[#This Row],[Roster Received By]]),1,0)</f>
        <v>1</v>
      </c>
      <c r="AE134" s="15">
        <f ca="1">IF(Table2[[#This Row],[Start Date]]&gt;TODAY(),1,)</f>
        <v>1</v>
      </c>
      <c r="AF134" s="106"/>
    </row>
    <row r="135" spans="1:32" x14ac:dyDescent="0.25">
      <c r="A135" s="62"/>
      <c r="B135" s="99" t="s">
        <v>38</v>
      </c>
      <c r="C135" s="100" t="str">
        <f>VLOOKUP(Table2[[#This Row],[Course Title]],'TSD-Data'!$A$1:$E$56,2,FALSE)</f>
        <v>A-493-0061</v>
      </c>
      <c r="D135" s="100" t="str">
        <f>VLOOKUP(Table2[[#This Row],[Course Title]],'TSD-Data'!$A$1:$E$56,3,FALSE)</f>
        <v>288E</v>
      </c>
      <c r="E135" s="99" t="s">
        <v>80</v>
      </c>
      <c r="F135" s="102">
        <v>45691</v>
      </c>
      <c r="G135" s="102">
        <v>45694</v>
      </c>
      <c r="H135" s="105"/>
      <c r="I135" s="105">
        <v>0.33333333333333331</v>
      </c>
      <c r="J135" s="105">
        <v>0.20833333333333334</v>
      </c>
      <c r="K135" s="105">
        <v>0.66666666666666663</v>
      </c>
      <c r="L135" s="105">
        <v>0.58333333333333337</v>
      </c>
      <c r="M135" s="105">
        <v>0.125</v>
      </c>
      <c r="N135" s="105">
        <v>0.91666666666666663</v>
      </c>
      <c r="O135" s="15" t="s">
        <v>138</v>
      </c>
      <c r="P135" s="15"/>
      <c r="Q135" s="103">
        <f>VLOOKUP(Table2[[#This Row],[Course Title]],'TSD-Data'!$A$1:$E$56,4,FALSE)</f>
        <v>45</v>
      </c>
      <c r="R135" s="15">
        <f>VLOOKUP(Table2[[#This Row],[Course Title]],'TSD-Data'!$A$1:$F$53,6,FALSE)</f>
        <v>30</v>
      </c>
      <c r="S135" s="15">
        <f>VLOOKUP(Table2[[#This Row],[Course Title]],'TSD-Data'!$A$1:$E$56,5,FALSE)</f>
        <v>4</v>
      </c>
      <c r="T135" s="15">
        <v>369</v>
      </c>
      <c r="U135" s="15"/>
      <c r="V135" s="15"/>
      <c r="W135" s="103"/>
      <c r="X135" s="103"/>
      <c r="Y135" s="15"/>
      <c r="Z135" s="15"/>
      <c r="AA135" s="107"/>
      <c r="AB135" s="99"/>
      <c r="AC135" s="71">
        <f ca="1">Table2[[#This Row],[End Date]]+2-TODAY()</f>
        <v>164</v>
      </c>
      <c r="AD135" s="15">
        <f>IF(ISBLANK(Table2[[#This Row],[Roster Received By]]),1,0)</f>
        <v>1</v>
      </c>
      <c r="AE135" s="15">
        <f ca="1">IF(Table2[[#This Row],[Start Date]]&gt;TODAY(),1,)</f>
        <v>1</v>
      </c>
      <c r="AF135" s="106"/>
    </row>
    <row r="136" spans="1:32" x14ac:dyDescent="0.25">
      <c r="A136" s="62"/>
      <c r="B136" s="99" t="s">
        <v>29</v>
      </c>
      <c r="C136" s="100" t="str">
        <f>VLOOKUP(Table2[[#This Row],[Course Title]],'TSD-Data'!$A$1:$E$56,2,FALSE)</f>
        <v>A-493-0077</v>
      </c>
      <c r="D136" s="100" t="str">
        <f>VLOOKUP(Table2[[#This Row],[Course Title]],'TSD-Data'!$A$1:$E$56,3,FALSE)</f>
        <v>0381</v>
      </c>
      <c r="E136" s="99" t="s">
        <v>267</v>
      </c>
      <c r="F136" s="102">
        <v>45691</v>
      </c>
      <c r="G136" s="102">
        <v>45693</v>
      </c>
      <c r="H136" s="105">
        <v>0.33333333333333331</v>
      </c>
      <c r="I136" s="105"/>
      <c r="J136" s="226"/>
      <c r="K136" s="226"/>
      <c r="L136" s="226"/>
      <c r="M136" s="226"/>
      <c r="N136" s="226"/>
      <c r="O136" s="15" t="s">
        <v>94</v>
      </c>
      <c r="P136" s="15"/>
      <c r="Q136" s="15">
        <f>VLOOKUP(Table2[[#This Row],[Course Title]],'TSD-Data'!$A$1:$E$56,4,FALSE)</f>
        <v>25</v>
      </c>
      <c r="R136" s="15">
        <f>VLOOKUP(Table2[[#This Row],[Course Title]],'TSD-Data'!$A$1:$F$53,6,FALSE)</f>
        <v>24</v>
      </c>
      <c r="S136" s="15">
        <f>VLOOKUP(Table2[[#This Row],[Course Title]],'TSD-Data'!$A$1:$E$56,5,FALSE)</f>
        <v>3</v>
      </c>
      <c r="T136" s="15">
        <v>139</v>
      </c>
      <c r="U136" s="15"/>
      <c r="V136" s="15"/>
      <c r="W136" s="15"/>
      <c r="X136" s="103"/>
      <c r="Y136" s="15"/>
      <c r="Z136" s="15"/>
      <c r="AA136" s="15"/>
      <c r="AB136" s="99"/>
      <c r="AC136" s="71">
        <f ca="1">Table2[[#This Row],[End Date]]+2-TODAY()</f>
        <v>163</v>
      </c>
      <c r="AD136" s="15">
        <f>IF(ISBLANK(Table2[[#This Row],[Roster Received By]]),1,0)</f>
        <v>1</v>
      </c>
      <c r="AE136" s="15">
        <f ca="1">IF(Table2[[#This Row],[Start Date]]&gt;TODAY(),1,)</f>
        <v>1</v>
      </c>
      <c r="AF136" s="106"/>
    </row>
    <row r="137" spans="1:32" x14ac:dyDescent="0.25">
      <c r="A137" s="100"/>
      <c r="B137" s="99" t="s">
        <v>59</v>
      </c>
      <c r="C137" s="100" t="str">
        <f>VLOOKUP(Table2[[#This Row],[Course Title]],'TSD-Data'!$A$1:$E$56,2,FALSE)</f>
        <v>A-493-0550</v>
      </c>
      <c r="D137" s="100" t="str">
        <f>VLOOKUP(Table2[[#This Row],[Course Title]],'TSD-Data'!$A$1:$E$56,3,FALSE)</f>
        <v>09K5</v>
      </c>
      <c r="E137" s="99" t="s">
        <v>80</v>
      </c>
      <c r="F137" s="102">
        <v>45691</v>
      </c>
      <c r="G137" s="102">
        <v>45694</v>
      </c>
      <c r="H137" s="105"/>
      <c r="I137" s="101">
        <v>0.79166666666666663</v>
      </c>
      <c r="J137" s="101">
        <v>0.66666666666666663</v>
      </c>
      <c r="K137" s="101">
        <v>0.125</v>
      </c>
      <c r="L137" s="101">
        <v>4.1666666666666664E-2</v>
      </c>
      <c r="M137" s="101">
        <v>0.58333333333333337</v>
      </c>
      <c r="N137" s="101">
        <v>0.375</v>
      </c>
      <c r="O137" s="15" t="s">
        <v>145</v>
      </c>
      <c r="P137" s="15"/>
      <c r="Q137" s="103">
        <f>VLOOKUP(Table2[[#This Row],[Course Title]],'TSD-Data'!$A$1:$E$56,4,FALSE)</f>
        <v>45</v>
      </c>
      <c r="R137" s="15">
        <f>VLOOKUP(Table2[[#This Row],[Course Title]],'TSD-Data'!$A$1:$F$53,6,FALSE)</f>
        <v>32</v>
      </c>
      <c r="S137" s="15">
        <f>VLOOKUP(Table2[[#This Row],[Course Title]],'TSD-Data'!$A$1:$E$56,5,FALSE)</f>
        <v>4</v>
      </c>
      <c r="T137" s="15">
        <v>266</v>
      </c>
      <c r="U137" s="15"/>
      <c r="V137" s="15"/>
      <c r="W137" s="104"/>
      <c r="X137" s="104"/>
      <c r="Y137" s="100"/>
      <c r="Z137" s="100"/>
      <c r="AA137" s="104"/>
      <c r="AB137" s="99"/>
      <c r="AC137" s="71">
        <f ca="1">Table2[[#This Row],[End Date]]+2-TODAY()</f>
        <v>164</v>
      </c>
      <c r="AD137" s="15">
        <f>IF(ISBLANK(Table2[[#This Row],[Roster Received By]]),1,0)</f>
        <v>1</v>
      </c>
      <c r="AE137" s="15">
        <f ca="1">IF(Table2[[#This Row],[Start Date]]&gt;TODAY(),1,)</f>
        <v>1</v>
      </c>
      <c r="AF137" s="106"/>
    </row>
    <row r="138" spans="1:32" x14ac:dyDescent="0.25">
      <c r="A138" s="62"/>
      <c r="B138" s="99" t="s">
        <v>52</v>
      </c>
      <c r="C138" s="100" t="str">
        <f>VLOOKUP(Table2[[#This Row],[Course Title]],'TSD-Data'!$A$1:$E$56,2,FALSE)</f>
        <v>A-493-0085</v>
      </c>
      <c r="D138" s="100">
        <f>VLOOKUP(Table2[[#This Row],[Course Title]],'TSD-Data'!$A$1:$E$56,3,FALSE)</f>
        <v>3555</v>
      </c>
      <c r="E138" s="99" t="s">
        <v>80</v>
      </c>
      <c r="F138" s="102">
        <v>45691</v>
      </c>
      <c r="G138" s="102">
        <v>45694</v>
      </c>
      <c r="H138" s="105"/>
      <c r="I138" s="101">
        <v>0.5</v>
      </c>
      <c r="J138" s="101">
        <v>0.375</v>
      </c>
      <c r="K138" s="101">
        <v>0.83333333333333337</v>
      </c>
      <c r="L138" s="101">
        <v>0.75</v>
      </c>
      <c r="M138" s="101">
        <v>0.29166666666666669</v>
      </c>
      <c r="N138" s="101">
        <v>8.3333333333333329E-2</v>
      </c>
      <c r="O138" s="15" t="s">
        <v>175</v>
      </c>
      <c r="P138" s="15"/>
      <c r="Q138" s="15">
        <f>VLOOKUP(Table2[[#This Row],[Course Title]],'TSD-Data'!$A$1:$E$56,4,FALSE)</f>
        <v>45</v>
      </c>
      <c r="R138" s="15">
        <f>VLOOKUP(Table2[[#This Row],[Course Title]],'TSD-Data'!$A$1:$F$53,6,FALSE)</f>
        <v>32</v>
      </c>
      <c r="S138" s="15">
        <f>VLOOKUP(Table2[[#This Row],[Course Title]],'TSD-Data'!$A$1:$E$56,5,FALSE)</f>
        <v>4</v>
      </c>
      <c r="T138" s="15">
        <v>503</v>
      </c>
      <c r="U138" s="15"/>
      <c r="V138" s="15"/>
      <c r="W138" s="15"/>
      <c r="X138" s="103"/>
      <c r="Y138" s="15"/>
      <c r="Z138" s="15"/>
      <c r="AA138" s="15"/>
      <c r="AB138" s="99"/>
      <c r="AC138" s="71">
        <f ca="1">Table2[[#This Row],[End Date]]+2-TODAY()</f>
        <v>164</v>
      </c>
      <c r="AD138" s="15">
        <f>IF(ISBLANK(Table2[[#This Row],[Roster Received By]]),1,0)</f>
        <v>1</v>
      </c>
      <c r="AE138" s="15">
        <f ca="1">IF(Table2[[#This Row],[Start Date]]&gt;TODAY(),1,)</f>
        <v>1</v>
      </c>
      <c r="AF138" s="106"/>
    </row>
    <row r="139" spans="1:32" x14ac:dyDescent="0.25">
      <c r="A139" s="62"/>
      <c r="B139" s="99" t="s">
        <v>53</v>
      </c>
      <c r="C139" s="100" t="str">
        <f>VLOOKUP(Table2[[#This Row],[Course Title]],'TSD-Data'!$A$1:$E$56,2,FALSE)</f>
        <v>A-493-0072</v>
      </c>
      <c r="D139" s="100" t="str">
        <f>VLOOKUP(Table2[[#This Row],[Course Title]],'TSD-Data'!$A$1:$E$56,3,FALSE)</f>
        <v>713U</v>
      </c>
      <c r="E139" s="99" t="s">
        <v>292</v>
      </c>
      <c r="F139" s="102">
        <v>45691</v>
      </c>
      <c r="G139" s="102">
        <v>45695</v>
      </c>
      <c r="H139" s="105">
        <v>0.33333333333333331</v>
      </c>
      <c r="I139" s="108"/>
      <c r="J139" s="230"/>
      <c r="K139" s="230"/>
      <c r="L139" s="230"/>
      <c r="M139" s="230"/>
      <c r="N139" s="230"/>
      <c r="O139" s="15" t="s">
        <v>171</v>
      </c>
      <c r="P139" s="15" t="s">
        <v>116</v>
      </c>
      <c r="Q139" s="15">
        <f>VLOOKUP(Table2[[#This Row],[Course Title]],'TSD-Data'!$A$1:$E$56,4,FALSE)</f>
        <v>30</v>
      </c>
      <c r="R139" s="15">
        <f>VLOOKUP(Table2[[#This Row],[Course Title]],'TSD-Data'!$A$1:$F$53,6,FALSE)</f>
        <v>40</v>
      </c>
      <c r="S139" s="15">
        <f>VLOOKUP(Table2[[#This Row],[Course Title]],'TSD-Data'!$A$1:$E$56,5,FALSE)</f>
        <v>5</v>
      </c>
      <c r="T139" s="15">
        <v>186</v>
      </c>
      <c r="U139" s="15"/>
      <c r="V139" s="15"/>
      <c r="W139" s="15"/>
      <c r="X139" s="103"/>
      <c r="Y139" s="15"/>
      <c r="Z139" s="15"/>
      <c r="AA139" s="15"/>
      <c r="AB139" s="99"/>
      <c r="AC139" s="71">
        <f ca="1">Table2[[#This Row],[End Date]]+2-TODAY()</f>
        <v>165</v>
      </c>
      <c r="AD139" s="15">
        <f>IF(ISBLANK(Table2[[#This Row],[Roster Received By]]),1,0)</f>
        <v>1</v>
      </c>
      <c r="AE139" s="15">
        <f ca="1">IF(Table2[[#This Row],[Start Date]]&gt;TODAY(),1,)</f>
        <v>1</v>
      </c>
      <c r="AF139" s="106"/>
    </row>
    <row r="140" spans="1:32" x14ac:dyDescent="0.25">
      <c r="A140" s="100"/>
      <c r="B140" s="99" t="s">
        <v>54</v>
      </c>
      <c r="C140" s="100" t="str">
        <f>VLOOKUP(Table2[[#This Row],[Course Title]],'TSD-Data'!$A$1:$E$56,2,FALSE)</f>
        <v>F-4J-0023</v>
      </c>
      <c r="D140" s="100" t="str">
        <f>VLOOKUP(Table2[[#This Row],[Course Title]],'TSD-Data'!$A$1:$E$56,3,FALSE)</f>
        <v>11A2</v>
      </c>
      <c r="E140" s="99" t="s">
        <v>80</v>
      </c>
      <c r="F140" s="102">
        <v>45691</v>
      </c>
      <c r="G140" s="102">
        <v>45695</v>
      </c>
      <c r="H140" s="105"/>
      <c r="I140" s="105">
        <v>0.54166666666666663</v>
      </c>
      <c r="J140" s="101">
        <v>0.41666666666666669</v>
      </c>
      <c r="K140" s="101">
        <v>0.875</v>
      </c>
      <c r="L140" s="101">
        <v>0.79166666666666663</v>
      </c>
      <c r="M140" s="101">
        <v>0.33333333333333331</v>
      </c>
      <c r="N140" s="101">
        <v>0.125</v>
      </c>
      <c r="O140" s="15" t="s">
        <v>192</v>
      </c>
      <c r="P140" s="15"/>
      <c r="Q140" s="15">
        <f>VLOOKUP(Table2[[#This Row],[Course Title]],'TSD-Data'!$A$1:$E$56,4,FALSE)</f>
        <v>45</v>
      </c>
      <c r="R140" s="15">
        <f>VLOOKUP(Table2[[#This Row],[Course Title]],'TSD-Data'!$A$1:$F$53,6,FALSE)</f>
        <v>16</v>
      </c>
      <c r="S140" s="15">
        <f>VLOOKUP(Table2[[#This Row],[Course Title]],'TSD-Data'!$A$1:$E$56,5,FALSE)</f>
        <v>2</v>
      </c>
      <c r="T140" s="15">
        <v>70</v>
      </c>
      <c r="U140" s="15"/>
      <c r="V140" s="15"/>
      <c r="W140" s="104"/>
      <c r="X140" s="104"/>
      <c r="Y140" s="100"/>
      <c r="Z140" s="100"/>
      <c r="AA140" s="104"/>
      <c r="AB140" s="99"/>
      <c r="AC140" s="71">
        <f ca="1">Table2[[#This Row],[End Date]]+2-TODAY()</f>
        <v>165</v>
      </c>
      <c r="AD140" s="15">
        <f>IF(ISBLANK(Table2[[#This Row],[Roster Received By]]),1,0)</f>
        <v>1</v>
      </c>
      <c r="AE140" s="15">
        <f ca="1">IF(Table2[[#This Row],[Start Date]]&gt;TODAY(),1,)</f>
        <v>1</v>
      </c>
      <c r="AF140" s="106"/>
    </row>
    <row r="141" spans="1:32" x14ac:dyDescent="0.25">
      <c r="A141" s="62"/>
      <c r="B141" s="99" t="s">
        <v>57</v>
      </c>
      <c r="C141" s="100" t="str">
        <f>VLOOKUP(Table2[[#This Row],[Course Title]],'TSD-Data'!$A$1:$E$56,2,FALSE)</f>
        <v>A-493-0099</v>
      </c>
      <c r="D141" s="100" t="str">
        <f>VLOOKUP(Table2[[#This Row],[Course Title]],'TSD-Data'!$A$1:$E$56,3,FALSE)</f>
        <v>12JW</v>
      </c>
      <c r="E141" s="99" t="s">
        <v>80</v>
      </c>
      <c r="F141" s="102">
        <v>45692</v>
      </c>
      <c r="G141" s="102">
        <v>45694</v>
      </c>
      <c r="H141" s="102"/>
      <c r="I141" s="101">
        <v>0.29166666666666669</v>
      </c>
      <c r="J141" s="105">
        <v>0.16666666666666666</v>
      </c>
      <c r="K141" s="105">
        <v>0.625</v>
      </c>
      <c r="L141" s="105">
        <v>0.54166666666666663</v>
      </c>
      <c r="M141" s="105">
        <v>8.3333333333333329E-2</v>
      </c>
      <c r="N141" s="105">
        <v>0.875</v>
      </c>
      <c r="O141" s="15" t="s">
        <v>145</v>
      </c>
      <c r="P141" s="15"/>
      <c r="Q141" s="15">
        <f>VLOOKUP(Table2[[#This Row],[Course Title]],'TSD-Data'!$A$1:$E$56,4,FALSE)</f>
        <v>45</v>
      </c>
      <c r="R141" s="15">
        <f>VLOOKUP(Table2[[#This Row],[Course Title]],'TSD-Data'!$A$1:$F$53,6,FALSE)</f>
        <v>24</v>
      </c>
      <c r="S141" s="15">
        <f>VLOOKUP(Table2[[#This Row],[Course Title]],'TSD-Data'!$A$1:$E$56,5,FALSE)</f>
        <v>3</v>
      </c>
      <c r="T141" s="15">
        <v>34</v>
      </c>
      <c r="U141" s="15"/>
      <c r="V141" s="15"/>
      <c r="W141" s="15"/>
      <c r="X141" s="103"/>
      <c r="Y141" s="15"/>
      <c r="Z141" s="15"/>
      <c r="AA141" s="15"/>
      <c r="AB141" s="99"/>
      <c r="AC141" s="71">
        <f ca="1">Table2[[#This Row],[End Date]]+2-TODAY()</f>
        <v>164</v>
      </c>
      <c r="AD141" s="15">
        <f>IF(ISBLANK(Table2[[#This Row],[Roster Received By]]),1,0)</f>
        <v>1</v>
      </c>
      <c r="AE141" s="15">
        <f ca="1">IF(Table2[[#This Row],[Start Date]]&gt;TODAY(),1,)</f>
        <v>1</v>
      </c>
      <c r="AF141" s="106"/>
    </row>
    <row r="142" spans="1:32" x14ac:dyDescent="0.25">
      <c r="A142" s="62"/>
      <c r="B142" s="99" t="s">
        <v>31</v>
      </c>
      <c r="C142" s="100" t="str">
        <f>VLOOKUP(Table2[[#This Row],[Course Title]],'TSD-Data'!$A$1:$E$56,2,FALSE)</f>
        <v>A-493-0083</v>
      </c>
      <c r="D142" s="100" t="str">
        <f>VLOOKUP(Table2[[#This Row],[Course Title]],'TSD-Data'!$A$1:$E$56,3,FALSE)</f>
        <v>339E</v>
      </c>
      <c r="E142" s="99" t="s">
        <v>267</v>
      </c>
      <c r="F142" s="67">
        <v>45694</v>
      </c>
      <c r="G142" s="67">
        <v>45694</v>
      </c>
      <c r="H142" s="105">
        <v>0.33333333333333331</v>
      </c>
      <c r="I142" s="105"/>
      <c r="J142" s="226"/>
      <c r="K142" s="226"/>
      <c r="L142" s="226"/>
      <c r="M142" s="226"/>
      <c r="N142" s="226"/>
      <c r="O142" s="15" t="s">
        <v>94</v>
      </c>
      <c r="P142" s="15"/>
      <c r="Q142" s="15">
        <f>VLOOKUP(Table2[[#This Row],[Course Title]],'TSD-Data'!$A$1:$E$56,4,FALSE)</f>
        <v>30</v>
      </c>
      <c r="R142" s="15">
        <f>VLOOKUP(Table2[[#This Row],[Course Title]],'TSD-Data'!$A$1:$F$53,6,FALSE)</f>
        <v>8</v>
      </c>
      <c r="S142" s="15">
        <f>VLOOKUP(Table2[[#This Row],[Course Title]],'TSD-Data'!$A$1:$E$56,5,FALSE)</f>
        <v>1</v>
      </c>
      <c r="T142" s="15">
        <v>143</v>
      </c>
      <c r="U142" s="15"/>
      <c r="V142" s="15"/>
      <c r="W142" s="15"/>
      <c r="X142" s="103"/>
      <c r="Y142" s="15"/>
      <c r="Z142" s="15"/>
      <c r="AA142" s="103"/>
      <c r="AB142" s="99"/>
      <c r="AC142" s="71">
        <f ca="1">Table2[[#This Row],[End Date]]+2-TODAY()</f>
        <v>164</v>
      </c>
      <c r="AD142" s="15">
        <f>IF(ISBLANK(Table2[[#This Row],[Roster Received By]]),1,0)</f>
        <v>1</v>
      </c>
      <c r="AE142" s="15">
        <f ca="1">IF(Table2[[#This Row],[Start Date]]&gt;TODAY(),1,)</f>
        <v>1</v>
      </c>
      <c r="AF142" s="106"/>
    </row>
    <row r="143" spans="1:32" x14ac:dyDescent="0.25">
      <c r="A143" s="62"/>
      <c r="B143" s="99" t="s">
        <v>15</v>
      </c>
      <c r="C143" s="100" t="str">
        <f>VLOOKUP(Table2[[#This Row],[Course Title]],'TSD-Data'!$A$1:$E$56,2,FALSE)</f>
        <v>A-4J-0022</v>
      </c>
      <c r="D143" s="100" t="str">
        <f>VLOOKUP(Table2[[#This Row],[Course Title]],'TSD-Data'!$A$1:$E$56,3,FALSE)</f>
        <v>09ER</v>
      </c>
      <c r="E143" s="99" t="s">
        <v>80</v>
      </c>
      <c r="F143" s="102">
        <v>45698</v>
      </c>
      <c r="G143" s="102">
        <v>45702</v>
      </c>
      <c r="H143" s="105"/>
      <c r="I143" s="101">
        <v>0.79166666666666663</v>
      </c>
      <c r="J143" s="101">
        <v>0.66666666666666663</v>
      </c>
      <c r="K143" s="101">
        <v>0.125</v>
      </c>
      <c r="L143" s="101">
        <v>4.1666666666666664E-2</v>
      </c>
      <c r="M143" s="101">
        <v>0.58333333333333337</v>
      </c>
      <c r="N143" s="101">
        <v>0.375</v>
      </c>
      <c r="O143" s="226" t="s">
        <v>79</v>
      </c>
      <c r="P143" s="15"/>
      <c r="Q143" s="15">
        <f>VLOOKUP(Table2[[#This Row],[Course Title]],'TSD-Data'!$A$1:$E$56,4,FALSE)</f>
        <v>45</v>
      </c>
      <c r="R143" s="15">
        <f>VLOOKUP(Table2[[#This Row],[Course Title]],'TSD-Data'!$A$1:$F$53,6,FALSE)</f>
        <v>16</v>
      </c>
      <c r="S143" s="15">
        <f>VLOOKUP(Table2[[#This Row],[Course Title]],'TSD-Data'!$A$1:$E$56,5,FALSE)</f>
        <v>2</v>
      </c>
      <c r="T143" s="15">
        <v>58</v>
      </c>
      <c r="U143" s="15"/>
      <c r="V143" s="15"/>
      <c r="W143" s="15"/>
      <c r="X143" s="103"/>
      <c r="Y143" s="15"/>
      <c r="Z143" s="15"/>
      <c r="AA143" s="15"/>
      <c r="AB143" s="99"/>
      <c r="AC143" s="71">
        <f ca="1">Table2[[#This Row],[End Date]]+2-TODAY()</f>
        <v>172</v>
      </c>
      <c r="AD143" s="15">
        <f>IF(ISBLANK(Table2[[#This Row],[Roster Received By]]),1,0)</f>
        <v>1</v>
      </c>
      <c r="AE143" s="15">
        <f ca="1">IF(Table2[[#This Row],[Start Date]]&gt;TODAY(),1,)</f>
        <v>1</v>
      </c>
      <c r="AF143" s="106"/>
    </row>
    <row r="144" spans="1:32" x14ac:dyDescent="0.25">
      <c r="A144" s="62"/>
      <c r="B144" s="99" t="s">
        <v>46</v>
      </c>
      <c r="C144" s="100" t="str">
        <f>VLOOKUP(Table2[[#This Row],[Course Title]],'TSD-Data'!$A$1:$E$56,2,FALSE)</f>
        <v>A-493-0070</v>
      </c>
      <c r="D144" s="100" t="str">
        <f>VLOOKUP(Table2[[#This Row],[Course Title]],'TSD-Data'!$A$1:$E$56,3,FALSE)</f>
        <v>450V</v>
      </c>
      <c r="E144" s="99" t="s">
        <v>80</v>
      </c>
      <c r="F144" s="102">
        <v>45698</v>
      </c>
      <c r="G144" s="102">
        <v>45699</v>
      </c>
      <c r="H144" s="105"/>
      <c r="I144" s="101">
        <v>0.25</v>
      </c>
      <c r="J144" s="105">
        <v>0.125</v>
      </c>
      <c r="K144" s="105">
        <v>0.58333333333333337</v>
      </c>
      <c r="L144" s="105">
        <v>0.5</v>
      </c>
      <c r="M144" s="105">
        <v>4.1666666666666664E-2</v>
      </c>
      <c r="N144" s="105">
        <v>0.83333333333333337</v>
      </c>
      <c r="O144" s="15" t="s">
        <v>175</v>
      </c>
      <c r="P144" s="15"/>
      <c r="Q144" s="15">
        <f>VLOOKUP(Table2[[#This Row],[Course Title]],'TSD-Data'!$A$1:$E$56,4,FALSE)</f>
        <v>30</v>
      </c>
      <c r="R144" s="15">
        <f>VLOOKUP(Table2[[#This Row],[Course Title]],'TSD-Data'!$A$1:$F$53,6,FALSE)</f>
        <v>8</v>
      </c>
      <c r="S144" s="15">
        <f>VLOOKUP(Table2[[#This Row],[Course Title]],'TSD-Data'!$A$1:$E$56,5,FALSE)</f>
        <v>1</v>
      </c>
      <c r="T144" s="15">
        <v>0</v>
      </c>
      <c r="U144" s="15"/>
      <c r="V144" s="15"/>
      <c r="W144" s="15"/>
      <c r="X144" s="103"/>
      <c r="Y144" s="15"/>
      <c r="Z144" s="15"/>
      <c r="AA144" s="15"/>
      <c r="AB144" s="99"/>
      <c r="AC144" s="71">
        <f ca="1">Table2[[#This Row],[End Date]]+2-TODAY()</f>
        <v>169</v>
      </c>
      <c r="AD144" s="15">
        <f>IF(ISBLANK(Table2[[#This Row],[Roster Received By]]),1,0)</f>
        <v>1</v>
      </c>
      <c r="AE144" s="15">
        <f ca="1">IF(Table2[[#This Row],[Start Date]]&gt;TODAY(),1,)</f>
        <v>1</v>
      </c>
      <c r="AF144" s="135"/>
    </row>
    <row r="145" spans="1:32" x14ac:dyDescent="0.25">
      <c r="A145" s="142"/>
      <c r="B145" s="99" t="s">
        <v>165</v>
      </c>
      <c r="C145" s="100" t="str">
        <f>VLOOKUP(Table2[[#This Row],[Course Title]],'TSD-Data'!$A$1:$E$56,2,FALSE)</f>
        <v>A-322-2604</v>
      </c>
      <c r="D145" s="100" t="str">
        <f>VLOOKUP(Table2[[#This Row],[Course Title]],'TSD-Data'!$A$1:$E$56,3,FALSE)</f>
        <v>10ZZ</v>
      </c>
      <c r="E145" s="99" t="s">
        <v>80</v>
      </c>
      <c r="F145" s="102">
        <v>45698</v>
      </c>
      <c r="G145" s="102">
        <v>45702</v>
      </c>
      <c r="H145" s="105"/>
      <c r="I145" s="105">
        <v>0.33333333333333331</v>
      </c>
      <c r="J145" s="105">
        <v>0.20833333333333334</v>
      </c>
      <c r="K145" s="105">
        <v>0.66666666666666663</v>
      </c>
      <c r="L145" s="105">
        <v>0.58333333333333337</v>
      </c>
      <c r="M145" s="105">
        <v>0.125</v>
      </c>
      <c r="N145" s="105">
        <v>0.91666666666666663</v>
      </c>
      <c r="O145" s="15" t="s">
        <v>124</v>
      </c>
      <c r="P145" s="15"/>
      <c r="Q145" s="15">
        <f>VLOOKUP(Table2[[#This Row],[Course Title]],'TSD-Data'!$A$1:$E$56,4,FALSE)</f>
        <v>45</v>
      </c>
      <c r="R145" s="15">
        <f>VLOOKUP(Table2[[#This Row],[Course Title]],'TSD-Data'!$A$1:$F$53,6,FALSE)</f>
        <v>24</v>
      </c>
      <c r="S145" s="15">
        <f>VLOOKUP(Table2[[#This Row],[Course Title]],'TSD-Data'!$A$1:$E$56,5,FALSE)</f>
        <v>3</v>
      </c>
      <c r="T145" s="15">
        <v>357</v>
      </c>
      <c r="U145" s="15"/>
      <c r="V145" s="15"/>
      <c r="W145" s="103"/>
      <c r="X145" s="103"/>
      <c r="Y145" s="15"/>
      <c r="Z145" s="15"/>
      <c r="AA145" s="100"/>
      <c r="AB145" s="99"/>
      <c r="AC145" s="71">
        <f ca="1">Table2[[#This Row],[End Date]]+2-TODAY()</f>
        <v>172</v>
      </c>
      <c r="AD145" s="15">
        <f>IF(ISBLANK(Table2[[#This Row],[Roster Received By]]),1,0)</f>
        <v>1</v>
      </c>
      <c r="AE145" s="15">
        <f ca="1">IF(Table2[[#This Row],[Start Date]]&gt;TODAY(),1,)</f>
        <v>1</v>
      </c>
      <c r="AF145" s="106"/>
    </row>
    <row r="146" spans="1:32" x14ac:dyDescent="0.25">
      <c r="A146" s="65"/>
      <c r="B146" s="99" t="s">
        <v>29</v>
      </c>
      <c r="C146" s="100" t="str">
        <f>VLOOKUP(Table2[[#This Row],[Course Title]],'TSD-Data'!$A$1:$E$56,2,FALSE)</f>
        <v>A-493-0077</v>
      </c>
      <c r="D146" s="100" t="str">
        <f>VLOOKUP(Table2[[#This Row],[Course Title]],'TSD-Data'!$A$1:$E$56,3,FALSE)</f>
        <v>0381</v>
      </c>
      <c r="E146" s="65" t="s">
        <v>121</v>
      </c>
      <c r="F146" s="102">
        <v>45698</v>
      </c>
      <c r="G146" s="102">
        <v>45700</v>
      </c>
      <c r="H146" s="105">
        <v>0.33333333333333331</v>
      </c>
      <c r="I146" s="108"/>
      <c r="J146" s="108"/>
      <c r="K146" s="230"/>
      <c r="L146" s="230"/>
      <c r="M146" s="230"/>
      <c r="N146" s="230"/>
      <c r="O146" s="15" t="s">
        <v>94</v>
      </c>
      <c r="P146" s="15"/>
      <c r="Q146" s="15">
        <f>VLOOKUP(Table2[[#This Row],[Course Title]],'TSD-Data'!$A$1:$E$56,4,FALSE)</f>
        <v>25</v>
      </c>
      <c r="R146" s="15">
        <f>VLOOKUP(Table2[[#This Row],[Course Title]],'TSD-Data'!$A$1:$F$53,6,FALSE)</f>
        <v>24</v>
      </c>
      <c r="S146" s="15">
        <f>VLOOKUP(Table2[[#This Row],[Course Title]],'TSD-Data'!$A$1:$E$56,5,FALSE)</f>
        <v>3</v>
      </c>
      <c r="T146" s="15">
        <v>14</v>
      </c>
      <c r="U146" s="15"/>
      <c r="V146" s="15"/>
      <c r="W146" s="15"/>
      <c r="X146" s="103"/>
      <c r="Y146" s="15"/>
      <c r="Z146" s="15"/>
      <c r="AA146" s="15"/>
      <c r="AB146" s="99"/>
      <c r="AC146" s="71">
        <f ca="1">Table2[[#This Row],[End Date]]+2-TODAY()</f>
        <v>170</v>
      </c>
      <c r="AD146" s="15">
        <f>IF(ISBLANK(Table2[[#This Row],[Roster Received By]]),1,0)</f>
        <v>1</v>
      </c>
      <c r="AE146" s="15">
        <f ca="1">IF(Table2[[#This Row],[Start Date]]&gt;TODAY(),1,)</f>
        <v>1</v>
      </c>
      <c r="AF146" s="106"/>
    </row>
    <row r="147" spans="1:32" x14ac:dyDescent="0.25">
      <c r="A147" s="62" t="s">
        <v>389</v>
      </c>
      <c r="B147" s="99" t="s">
        <v>34</v>
      </c>
      <c r="C147" s="100" t="str">
        <f>VLOOKUP(Table2[[#This Row],[Course Title]],'TSD-Data'!$A$1:$E$56,2,FALSE)</f>
        <v>A-493-0216</v>
      </c>
      <c r="D147" s="100" t="str">
        <f>VLOOKUP(Table2[[#This Row],[Course Title]],'TSD-Data'!$A$1:$E$56,3,FALSE)</f>
        <v>12X8</v>
      </c>
      <c r="E147" s="99" t="s">
        <v>298</v>
      </c>
      <c r="F147" s="102">
        <v>45698</v>
      </c>
      <c r="G147" s="102">
        <v>45698</v>
      </c>
      <c r="H147" s="105">
        <v>0.33333333333333331</v>
      </c>
      <c r="I147" s="108"/>
      <c r="J147" s="108"/>
      <c r="K147" s="108"/>
      <c r="L147" s="108"/>
      <c r="M147" s="108"/>
      <c r="N147" s="108"/>
      <c r="O147" s="15" t="s">
        <v>94</v>
      </c>
      <c r="P147" s="15"/>
      <c r="Q147" s="15">
        <f>VLOOKUP(Table2[[#This Row],[Course Title]],'TSD-Data'!$A$1:$E$56,4,FALSE)</f>
        <v>30</v>
      </c>
      <c r="R147" s="15">
        <f>VLOOKUP(Table2[[#This Row],[Course Title]],'TSD-Data'!$A$1:$F$53,6,FALSE)</f>
        <v>8</v>
      </c>
      <c r="S147" s="15">
        <f>VLOOKUP(Table2[[#This Row],[Course Title]],'TSD-Data'!$A$1:$E$56,5,FALSE)</f>
        <v>1</v>
      </c>
      <c r="T147" s="15">
        <v>0</v>
      </c>
      <c r="U147" s="15"/>
      <c r="V147" s="15"/>
      <c r="W147" s="15"/>
      <c r="X147" s="103"/>
      <c r="Y147" s="15"/>
      <c r="Z147" s="15"/>
      <c r="AA147" s="100"/>
      <c r="AB147" s="99"/>
      <c r="AC147" s="71">
        <f ca="1">Table2[[#This Row],[End Date]]+2-TODAY()</f>
        <v>168</v>
      </c>
      <c r="AD147" s="15">
        <f>IF(ISBLANK(Table2[[#This Row],[Roster Received By]]),1,0)</f>
        <v>1</v>
      </c>
      <c r="AE147" s="15">
        <f ca="1">IF(Table2[[#This Row],[Start Date]]&gt;TODAY(),1,)</f>
        <v>1</v>
      </c>
      <c r="AF147" s="106"/>
    </row>
    <row r="148" spans="1:32" x14ac:dyDescent="0.25">
      <c r="A148" s="62"/>
      <c r="B148" s="99" t="s">
        <v>60</v>
      </c>
      <c r="C148" s="100" t="str">
        <f>VLOOKUP(Table2[[#This Row],[Course Title]],'TSD-Data'!$A$1:$E$56,2,FALSE)</f>
        <v>A-493-0073</v>
      </c>
      <c r="D148" s="100" t="str">
        <f>VLOOKUP(Table2[[#This Row],[Course Title]],'TSD-Data'!$A$1:$E$56,3,FALSE)</f>
        <v>714S</v>
      </c>
      <c r="E148" s="99" t="s">
        <v>80</v>
      </c>
      <c r="F148" s="102">
        <v>45698</v>
      </c>
      <c r="G148" s="102">
        <v>45701</v>
      </c>
      <c r="H148" s="102"/>
      <c r="I148" s="101">
        <v>8.3333333333333329E-2</v>
      </c>
      <c r="J148" s="101">
        <v>0.95833333333333337</v>
      </c>
      <c r="K148" s="101">
        <v>0.41666666666666669</v>
      </c>
      <c r="L148" s="101">
        <v>0.33333333333333331</v>
      </c>
      <c r="M148" s="101">
        <v>0.875</v>
      </c>
      <c r="N148" s="101">
        <v>0.66666666666666663</v>
      </c>
      <c r="O148" s="15" t="s">
        <v>160</v>
      </c>
      <c r="P148" s="15"/>
      <c r="Q148" s="15">
        <f>VLOOKUP(Table2[[#This Row],[Course Title]],'TSD-Data'!$A$1:$E$56,4,FALSE)</f>
        <v>30</v>
      </c>
      <c r="R148" s="15">
        <f>VLOOKUP(Table2[[#This Row],[Course Title]],'TSD-Data'!$A$1:$F$53,6,FALSE)</f>
        <v>32</v>
      </c>
      <c r="S148" s="15">
        <f>VLOOKUP(Table2[[#This Row],[Course Title]],'TSD-Data'!$A$1:$E$56,5,FALSE)</f>
        <v>4</v>
      </c>
      <c r="T148" s="15">
        <v>45</v>
      </c>
      <c r="U148" s="15"/>
      <c r="V148" s="15"/>
      <c r="W148" s="15"/>
      <c r="X148" s="103"/>
      <c r="Y148" s="15"/>
      <c r="Z148" s="15"/>
      <c r="AA148" s="15"/>
      <c r="AB148" s="99"/>
      <c r="AC148" s="71">
        <f ca="1">Table2[[#This Row],[End Date]]+2-TODAY()</f>
        <v>171</v>
      </c>
      <c r="AD148" s="15">
        <f>IF(ISBLANK(Table2[[#This Row],[Roster Received By]]),1,0)</f>
        <v>1</v>
      </c>
      <c r="AE148" s="15">
        <f ca="1">IF(Table2[[#This Row],[Start Date]]&gt;TODAY(),1,)</f>
        <v>1</v>
      </c>
      <c r="AF148" s="106"/>
    </row>
    <row r="149" spans="1:32" x14ac:dyDescent="0.25">
      <c r="A149" s="100"/>
      <c r="B149" s="99" t="s">
        <v>40</v>
      </c>
      <c r="C149" s="100" t="str">
        <f>VLOOKUP(Table2[[#This Row],[Course Title]],'TSD-Data'!$A$1:$E$56,2,FALSE)</f>
        <v>A-493-2098</v>
      </c>
      <c r="D149" s="100" t="str">
        <f>VLOOKUP(Table2[[#This Row],[Course Title]],'TSD-Data'!$A$1:$E$56,3,FALSE)</f>
        <v>09WW</v>
      </c>
      <c r="E149" s="99" t="s">
        <v>80</v>
      </c>
      <c r="F149" s="102">
        <v>45698</v>
      </c>
      <c r="G149" s="102">
        <v>45702</v>
      </c>
      <c r="H149" s="105"/>
      <c r="I149" s="105">
        <v>0.54166666666666663</v>
      </c>
      <c r="J149" s="101">
        <v>0.41666666666666669</v>
      </c>
      <c r="K149" s="101">
        <v>0.875</v>
      </c>
      <c r="L149" s="101">
        <v>0.79166666666666663</v>
      </c>
      <c r="M149" s="101">
        <v>0.33333333333333331</v>
      </c>
      <c r="N149" s="101">
        <v>0.125</v>
      </c>
      <c r="O149" s="15" t="s">
        <v>110</v>
      </c>
      <c r="P149" s="15"/>
      <c r="Q149" s="15">
        <f>VLOOKUP(Table2[[#This Row],[Course Title]],'TSD-Data'!$A$1:$E$56,4,FALSE)</f>
        <v>100</v>
      </c>
      <c r="R149" s="15">
        <f>VLOOKUP(Table2[[#This Row],[Course Title]],'TSD-Data'!$A$1:$F$53,6,FALSE)</f>
        <v>16</v>
      </c>
      <c r="S149" s="15">
        <f>VLOOKUP(Table2[[#This Row],[Course Title]],'TSD-Data'!$A$1:$E$56,5,FALSE)</f>
        <v>2</v>
      </c>
      <c r="T149" s="15">
        <v>1432</v>
      </c>
      <c r="U149" s="15"/>
      <c r="V149" s="15"/>
      <c r="W149" s="104"/>
      <c r="X149" s="104"/>
      <c r="Y149" s="100"/>
      <c r="Z149" s="100"/>
      <c r="AA149" s="104"/>
      <c r="AB149" s="99"/>
      <c r="AC149" s="71">
        <f ca="1">Table2[[#This Row],[End Date]]+2-TODAY()</f>
        <v>172</v>
      </c>
      <c r="AD149" s="15">
        <f>IF(ISBLANK(Table2[[#This Row],[Roster Received By]]),1,0)</f>
        <v>1</v>
      </c>
      <c r="AE149" s="15">
        <f ca="1">IF(Table2[[#This Row],[Start Date]]&gt;TODAY(),1,)</f>
        <v>1</v>
      </c>
      <c r="AF149" s="106"/>
    </row>
    <row r="150" spans="1:32" x14ac:dyDescent="0.25">
      <c r="A150" s="151"/>
      <c r="B150" s="152" t="s">
        <v>61</v>
      </c>
      <c r="C150" s="154" t="str">
        <f>VLOOKUP(Table2[[#This Row],[Course Title]],'TSD-Data'!$A$1:$E$56,2,FALSE)</f>
        <v>A-493-0078</v>
      </c>
      <c r="D150" s="154">
        <f>VLOOKUP(Table2[[#This Row],[Course Title]],'TSD-Data'!$A$1:$E$56,3,FALSE)</f>
        <v>1228</v>
      </c>
      <c r="E150" s="152" t="s">
        <v>80</v>
      </c>
      <c r="F150" s="155">
        <v>45699</v>
      </c>
      <c r="G150" s="155">
        <v>45702</v>
      </c>
      <c r="H150" s="155"/>
      <c r="I150" s="156">
        <v>0.33333333333333331</v>
      </c>
      <c r="J150" s="158">
        <v>0.20833333333333334</v>
      </c>
      <c r="K150" s="158">
        <v>0.66666666666666663</v>
      </c>
      <c r="L150" s="158">
        <v>0.58333333333333337</v>
      </c>
      <c r="M150" s="158">
        <v>0.125</v>
      </c>
      <c r="N150" s="158">
        <v>0.91666666666666663</v>
      </c>
      <c r="O150" s="157" t="s">
        <v>141</v>
      </c>
      <c r="P150" s="157"/>
      <c r="Q150" s="157">
        <f>VLOOKUP(Table2[[#This Row],[Course Title]],'TSD-Data'!$A$1:$E$56,4,FALSE)</f>
        <v>45</v>
      </c>
      <c r="R150" s="157">
        <f>VLOOKUP(Table2[[#This Row],[Course Title]],'TSD-Data'!$A$1:$F$53,6,FALSE)</f>
        <v>32</v>
      </c>
      <c r="S150" s="157">
        <f>VLOOKUP(Table2[[#This Row],[Course Title]],'TSD-Data'!$A$1:$E$56,5,FALSE)</f>
        <v>4</v>
      </c>
      <c r="T150" s="157">
        <v>508</v>
      </c>
      <c r="U150" s="157"/>
      <c r="V150" s="157"/>
      <c r="W150" s="157"/>
      <c r="X150" s="182"/>
      <c r="Y150" s="157"/>
      <c r="Z150" s="157"/>
      <c r="AA150" s="157"/>
      <c r="AB150" s="152"/>
      <c r="AC150" s="183">
        <f ca="1">Table2[[#This Row],[End Date]]+2-TODAY()</f>
        <v>172</v>
      </c>
      <c r="AD150" s="157">
        <f>IF(ISBLANK(Table2[[#This Row],[Roster Received By]]),1,0)</f>
        <v>1</v>
      </c>
      <c r="AE150" s="157">
        <f ca="1">IF(Table2[[#This Row],[Start Date]]&gt;TODAY(),1,)</f>
        <v>1</v>
      </c>
      <c r="AF150" s="106"/>
    </row>
    <row r="151" spans="1:32" x14ac:dyDescent="0.25">
      <c r="A151" s="62" t="s">
        <v>389</v>
      </c>
      <c r="B151" s="99" t="s">
        <v>35</v>
      </c>
      <c r="C151" s="100" t="str">
        <f>VLOOKUP(Table2[[#This Row],[Course Title]],'TSD-Data'!$A$1:$E$56,2,FALSE)</f>
        <v>A-493-2501</v>
      </c>
      <c r="D151" s="100" t="str">
        <f>VLOOKUP(Table2[[#This Row],[Course Title]],'TSD-Data'!$A$1:$E$56,3,FALSE)</f>
        <v>05ZE</v>
      </c>
      <c r="E151" s="99" t="s">
        <v>298</v>
      </c>
      <c r="F151" s="102">
        <v>45699</v>
      </c>
      <c r="G151" s="102">
        <v>45699</v>
      </c>
      <c r="H151" s="105">
        <v>0.33333333333333331</v>
      </c>
      <c r="I151" s="108"/>
      <c r="J151" s="108"/>
      <c r="K151" s="108"/>
      <c r="L151" s="108"/>
      <c r="M151" s="108"/>
      <c r="N151" s="108"/>
      <c r="O151" s="15" t="s">
        <v>94</v>
      </c>
      <c r="P151" s="15"/>
      <c r="Q151" s="15">
        <f>VLOOKUP(Table2[[#This Row],[Course Title]],'TSD-Data'!$A$1:$E$56,4,FALSE)</f>
        <v>30</v>
      </c>
      <c r="R151" s="15">
        <f>VLOOKUP(Table2[[#This Row],[Course Title]],'TSD-Data'!$A$1:$F$53,6,FALSE)</f>
        <v>8</v>
      </c>
      <c r="S151" s="15">
        <f>VLOOKUP(Table2[[#This Row],[Course Title]],'TSD-Data'!$A$1:$E$56,5,FALSE)</f>
        <v>1</v>
      </c>
      <c r="T151" s="15">
        <v>0</v>
      </c>
      <c r="U151" s="15"/>
      <c r="V151" s="15"/>
      <c r="W151" s="15"/>
      <c r="X151" s="103"/>
      <c r="Y151" s="15"/>
      <c r="Z151" s="15"/>
      <c r="AA151" s="15"/>
      <c r="AB151" s="99"/>
      <c r="AC151" s="71">
        <f ca="1">Table2[[#This Row],[End Date]]+2-TODAY()</f>
        <v>169</v>
      </c>
      <c r="AD151" s="15">
        <f>IF(ISBLANK(Table2[[#This Row],[Roster Received By]]),1,0)</f>
        <v>1</v>
      </c>
      <c r="AE151" s="15">
        <f ca="1">IF(Table2[[#This Row],[Start Date]]&gt;TODAY(),1,)</f>
        <v>1</v>
      </c>
      <c r="AF151" s="135"/>
    </row>
    <row r="152" spans="1:32" x14ac:dyDescent="0.25">
      <c r="A152" s="62"/>
      <c r="B152" s="99" t="s">
        <v>42</v>
      </c>
      <c r="C152" s="100" t="str">
        <f>VLOOKUP(Table2[[#This Row],[Course Title]],'TSD-Data'!$A$1:$E$56,2,FALSE)</f>
        <v>A-493-0015</v>
      </c>
      <c r="D152" s="100">
        <f>VLOOKUP(Table2[[#This Row],[Course Title]],'TSD-Data'!$A$1:$E$56,3,FALSE)</f>
        <v>3879</v>
      </c>
      <c r="E152" s="99" t="s">
        <v>80</v>
      </c>
      <c r="F152" s="102">
        <v>45700</v>
      </c>
      <c r="G152" s="102">
        <v>45700</v>
      </c>
      <c r="H152" s="102"/>
      <c r="I152" s="101">
        <v>0.79166666666666663</v>
      </c>
      <c r="J152" s="101">
        <v>0.66666666666666663</v>
      </c>
      <c r="K152" s="101">
        <v>0.125</v>
      </c>
      <c r="L152" s="101">
        <v>4.1666666666666664E-2</v>
      </c>
      <c r="M152" s="101">
        <v>0.58333333333333337</v>
      </c>
      <c r="N152" s="101">
        <v>0.375</v>
      </c>
      <c r="O152" s="15" t="s">
        <v>175</v>
      </c>
      <c r="P152" s="15"/>
      <c r="Q152" s="15">
        <f>VLOOKUP(Table2[[#This Row],[Course Title]],'TSD-Data'!$A$1:$E$56,4,FALSE)</f>
        <v>30</v>
      </c>
      <c r="R152" s="15">
        <f>VLOOKUP(Table2[[#This Row],[Course Title]],'TSD-Data'!$A$1:$F$53,6,FALSE)</f>
        <v>4</v>
      </c>
      <c r="S152" s="15">
        <f>VLOOKUP(Table2[[#This Row],[Course Title]],'TSD-Data'!$A$1:$E$56,5,FALSE)</f>
        <v>0.5</v>
      </c>
      <c r="T152" s="15">
        <v>0</v>
      </c>
      <c r="U152" s="15"/>
      <c r="V152" s="15"/>
      <c r="W152" s="15"/>
      <c r="X152" s="103"/>
      <c r="Y152" s="15"/>
      <c r="Z152" s="15"/>
      <c r="AA152" s="100"/>
      <c r="AB152" s="99"/>
      <c r="AC152" s="71">
        <f ca="1">Table2[[#This Row],[End Date]]+2-TODAY()</f>
        <v>170</v>
      </c>
      <c r="AD152" s="15">
        <f>IF(ISBLANK(Table2[[#This Row],[Roster Received By]]),1,0)</f>
        <v>1</v>
      </c>
      <c r="AE152" s="15">
        <f ca="1">IF(Table2[[#This Row],[Start Date]]&gt;TODAY(),1,)</f>
        <v>1</v>
      </c>
      <c r="AF152" s="135"/>
    </row>
    <row r="153" spans="1:32" x14ac:dyDescent="0.25">
      <c r="A153" s="62"/>
      <c r="B153" s="99" t="s">
        <v>44</v>
      </c>
      <c r="C153" s="100" t="str">
        <f>VLOOKUP(Table2[[#This Row],[Course Title]],'TSD-Data'!$A$1:$E$56,2,FALSE)</f>
        <v>A-493-0020</v>
      </c>
      <c r="D153" s="100">
        <f>VLOOKUP(Table2[[#This Row],[Course Title]],'TSD-Data'!$A$1:$E$56,3,FALSE)</f>
        <v>3888</v>
      </c>
      <c r="E153" s="99" t="s">
        <v>80</v>
      </c>
      <c r="F153" s="102">
        <v>45701</v>
      </c>
      <c r="G153" s="102">
        <v>45701</v>
      </c>
      <c r="H153" s="108"/>
      <c r="I153" s="101">
        <v>0.79166666666666663</v>
      </c>
      <c r="J153" s="101">
        <v>0.66666666666666663</v>
      </c>
      <c r="K153" s="101">
        <v>0.125</v>
      </c>
      <c r="L153" s="101">
        <v>4.1666666666666664E-2</v>
      </c>
      <c r="M153" s="101">
        <v>0.58333333333333337</v>
      </c>
      <c r="N153" s="101">
        <v>0.375</v>
      </c>
      <c r="O153" s="15" t="s">
        <v>175</v>
      </c>
      <c r="P153" s="15"/>
      <c r="Q153" s="15">
        <f>VLOOKUP(Table2[[#This Row],[Course Title]],'TSD-Data'!$A$1:$E$56,4,FALSE)</f>
        <v>30</v>
      </c>
      <c r="R153" s="15">
        <f>VLOOKUP(Table2[[#This Row],[Course Title]],'TSD-Data'!$A$1:$F$53,6,FALSE)</f>
        <v>4</v>
      </c>
      <c r="S153" s="15">
        <f>VLOOKUP(Table2[[#This Row],[Course Title]],'TSD-Data'!$A$1:$E$56,5,FALSE)</f>
        <v>0.5</v>
      </c>
      <c r="T153" s="15">
        <v>0</v>
      </c>
      <c r="U153" s="15"/>
      <c r="V153" s="15"/>
      <c r="W153" s="15"/>
      <c r="X153" s="103"/>
      <c r="Y153" s="15"/>
      <c r="Z153" s="15"/>
      <c r="AA153" s="103"/>
      <c r="AB153" s="99"/>
      <c r="AC153" s="71">
        <f ca="1">Table2[[#This Row],[End Date]]+2-TODAY()</f>
        <v>171</v>
      </c>
      <c r="AD153" s="15">
        <f>IF(ISBLANK(Table2[[#This Row],[Roster Received By]]),1,0)</f>
        <v>1</v>
      </c>
      <c r="AE153" s="15">
        <f ca="1">IF(Table2[[#This Row],[Start Date]]&gt;TODAY(),1,)</f>
        <v>1</v>
      </c>
      <c r="AF153" s="135"/>
    </row>
    <row r="154" spans="1:32" x14ac:dyDescent="0.25">
      <c r="A154" s="62"/>
      <c r="B154" s="99" t="s">
        <v>31</v>
      </c>
      <c r="C154" s="100" t="str">
        <f>VLOOKUP(Table2[[#This Row],[Course Title]],'TSD-Data'!$A$1:$E$56,2,FALSE)</f>
        <v>A-493-0083</v>
      </c>
      <c r="D154" s="100" t="str">
        <f>VLOOKUP(Table2[[#This Row],[Course Title]],'TSD-Data'!$A$1:$E$56,3,FALSE)</f>
        <v>339E</v>
      </c>
      <c r="E154" s="99" t="s">
        <v>121</v>
      </c>
      <c r="F154" s="102">
        <v>45701</v>
      </c>
      <c r="G154" s="102">
        <v>45701</v>
      </c>
      <c r="H154" s="105">
        <v>0.33333333333333331</v>
      </c>
      <c r="I154" s="108"/>
      <c r="J154" s="108"/>
      <c r="K154" s="230"/>
      <c r="L154" s="230"/>
      <c r="M154" s="230"/>
      <c r="N154" s="230"/>
      <c r="O154" s="15" t="s">
        <v>94</v>
      </c>
      <c r="P154" s="15"/>
      <c r="Q154" s="15">
        <f>VLOOKUP(Table2[[#This Row],[Course Title]],'TSD-Data'!$A$1:$E$56,4,FALSE)</f>
        <v>30</v>
      </c>
      <c r="R154" s="15">
        <f>VLOOKUP(Table2[[#This Row],[Course Title]],'TSD-Data'!$A$1:$F$53,6,FALSE)</f>
        <v>8</v>
      </c>
      <c r="S154" s="15">
        <f>VLOOKUP(Table2[[#This Row],[Course Title]],'TSD-Data'!$A$1:$E$56,5,FALSE)</f>
        <v>1</v>
      </c>
      <c r="T154" s="15">
        <v>112</v>
      </c>
      <c r="U154" s="15"/>
      <c r="V154" s="15"/>
      <c r="W154" s="15"/>
      <c r="X154" s="103"/>
      <c r="Y154" s="15"/>
      <c r="Z154" s="15"/>
      <c r="AA154" s="15"/>
      <c r="AB154" s="99"/>
      <c r="AC154" s="71">
        <f ca="1">Table2[[#This Row],[End Date]]+2-TODAY()</f>
        <v>171</v>
      </c>
      <c r="AD154" s="15">
        <f>IF(ISBLANK(Table2[[#This Row],[Roster Received By]]),1,0)</f>
        <v>1</v>
      </c>
      <c r="AE154" s="15">
        <f ca="1">IF(Table2[[#This Row],[Start Date]]&gt;TODAY(),1,)</f>
        <v>1</v>
      </c>
      <c r="AF154" s="106"/>
    </row>
    <row r="155" spans="1:32" x14ac:dyDescent="0.25">
      <c r="A155" s="62"/>
      <c r="B155" s="99" t="s">
        <v>31</v>
      </c>
      <c r="C155" s="100" t="str">
        <f>VLOOKUP(Table2[[#This Row],[Course Title]],'TSD-Data'!$A$1:$E$56,2,FALSE)</f>
        <v>A-493-0083</v>
      </c>
      <c r="D155" s="100" t="str">
        <f>VLOOKUP(Table2[[#This Row],[Course Title]],'TSD-Data'!$A$1:$E$56,3,FALSE)</f>
        <v>339E</v>
      </c>
      <c r="E155" s="99" t="s">
        <v>121</v>
      </c>
      <c r="F155" s="102">
        <v>45702</v>
      </c>
      <c r="G155" s="102">
        <v>45702</v>
      </c>
      <c r="H155" s="105">
        <v>0.33333333333333331</v>
      </c>
      <c r="I155" s="108"/>
      <c r="J155" s="108"/>
      <c r="K155" s="230"/>
      <c r="L155" s="230"/>
      <c r="M155" s="230"/>
      <c r="N155" s="230"/>
      <c r="O155" s="15" t="s">
        <v>94</v>
      </c>
      <c r="P155" s="15"/>
      <c r="Q155" s="15">
        <f>VLOOKUP(Table2[[#This Row],[Course Title]],'TSD-Data'!$A$1:$E$56,4,FALSE)</f>
        <v>30</v>
      </c>
      <c r="R155" s="15">
        <f>VLOOKUP(Table2[[#This Row],[Course Title]],'TSD-Data'!$A$1:$F$53,6,FALSE)</f>
        <v>8</v>
      </c>
      <c r="S155" s="15">
        <f>VLOOKUP(Table2[[#This Row],[Course Title]],'TSD-Data'!$A$1:$E$56,5,FALSE)</f>
        <v>1</v>
      </c>
      <c r="T155" s="15">
        <v>112</v>
      </c>
      <c r="U155" s="15"/>
      <c r="V155" s="15"/>
      <c r="W155" s="15"/>
      <c r="X155" s="103"/>
      <c r="Y155" s="15"/>
      <c r="Z155" s="15"/>
      <c r="AA155" s="15"/>
      <c r="AB155" s="99"/>
      <c r="AC155" s="71">
        <f ca="1">Table2[[#This Row],[End Date]]+2-TODAY()</f>
        <v>172</v>
      </c>
      <c r="AD155" s="15">
        <f>IF(ISBLANK(Table2[[#This Row],[Roster Received By]]),1,0)</f>
        <v>1</v>
      </c>
      <c r="AE155" s="15">
        <f ca="1">IF(Table2[[#This Row],[Start Date]]&gt;TODAY(),1,)</f>
        <v>1</v>
      </c>
      <c r="AF155" s="106"/>
    </row>
    <row r="156" spans="1:32" x14ac:dyDescent="0.25">
      <c r="A156" s="62" t="s">
        <v>390</v>
      </c>
      <c r="B156" s="99" t="s">
        <v>258</v>
      </c>
      <c r="C156" s="100" t="str">
        <f>VLOOKUP(Table2[[#This Row],[Course Title]],'TSD-Data'!$A$1:$E$56,2,FALSE)</f>
        <v>Holiday</v>
      </c>
      <c r="D156" s="100" t="str">
        <f>VLOOKUP(Table2[[#This Row],[Course Title]],'TSD-Data'!$A$1:$E$56,3,FALSE)</f>
        <v>Holiday</v>
      </c>
      <c r="E156" s="99"/>
      <c r="F156" s="102">
        <v>45705</v>
      </c>
      <c r="G156" s="102">
        <v>45705</v>
      </c>
      <c r="H156" s="105"/>
      <c r="I156" s="105"/>
      <c r="J156" s="105"/>
      <c r="K156" s="105"/>
      <c r="L156" s="105"/>
      <c r="M156" s="105"/>
      <c r="N156" s="105"/>
      <c r="O156" s="15"/>
      <c r="P156" s="15"/>
      <c r="Q156" s="15">
        <f>VLOOKUP(Table2[[#This Row],[Course Title]],'TSD-Data'!$A$1:$E$56,4,FALSE)</f>
        <v>0</v>
      </c>
      <c r="R156" s="15">
        <f>VLOOKUP(Table2[[#This Row],[Course Title]],'TSD-Data'!$A$1:$F$53,6,FALSE)</f>
        <v>0</v>
      </c>
      <c r="S156" s="15">
        <f>VLOOKUP(Table2[[#This Row],[Course Title]],'TSD-Data'!$A$1:$E$56,5,FALSE)</f>
        <v>0</v>
      </c>
      <c r="T156" s="15">
        <v>0</v>
      </c>
      <c r="U156" s="15"/>
      <c r="V156" s="15"/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99" t="s">
        <v>100</v>
      </c>
      <c r="AC156" s="71">
        <f ca="1">Table2[[#This Row],[End Date]]+2-TODAY()</f>
        <v>175</v>
      </c>
      <c r="AD156" s="15">
        <f>IF(ISBLANK(Table2[[#This Row],[Roster Received By]]),1,0)</f>
        <v>0</v>
      </c>
      <c r="AE156" s="15">
        <f ca="1">IF(Table2[[#This Row],[Start Date]]&gt;TODAY(),1,)</f>
        <v>1</v>
      </c>
      <c r="AF156" s="106"/>
    </row>
    <row r="157" spans="1:32" x14ac:dyDescent="0.25">
      <c r="A157" s="62"/>
      <c r="B157" s="99" t="s">
        <v>57</v>
      </c>
      <c r="C157" s="100" t="str">
        <f>VLOOKUP(Table2[[#This Row],[Course Title]],'TSD-Data'!$A$1:$E$56,2,FALSE)</f>
        <v>A-493-0099</v>
      </c>
      <c r="D157" s="100" t="str">
        <f>VLOOKUP(Table2[[#This Row],[Course Title]],'TSD-Data'!$A$1:$E$56,3,FALSE)</f>
        <v>12JW</v>
      </c>
      <c r="E157" s="99" t="s">
        <v>80</v>
      </c>
      <c r="F157" s="102">
        <v>45706</v>
      </c>
      <c r="G157" s="102">
        <v>45708</v>
      </c>
      <c r="H157" s="105"/>
      <c r="I157" s="105">
        <v>0.33333333333333331</v>
      </c>
      <c r="J157" s="105">
        <v>0.20833333333333334</v>
      </c>
      <c r="K157" s="105">
        <v>0.66666666666666663</v>
      </c>
      <c r="L157" s="105">
        <v>0.58333333333333337</v>
      </c>
      <c r="M157" s="105">
        <v>0.125</v>
      </c>
      <c r="N157" s="105">
        <v>0.91666666666666663</v>
      </c>
      <c r="O157" s="15" t="s">
        <v>145</v>
      </c>
      <c r="P157" s="15"/>
      <c r="Q157" s="103">
        <f>VLOOKUP(Table2[[#This Row],[Course Title]],'TSD-Data'!$A$1:$E$56,4,FALSE)</f>
        <v>45</v>
      </c>
      <c r="R157" s="15">
        <f>VLOOKUP(Table2[[#This Row],[Course Title]],'TSD-Data'!$A$1:$F$53,6,FALSE)</f>
        <v>24</v>
      </c>
      <c r="S157" s="15">
        <f>VLOOKUP(Table2[[#This Row],[Course Title]],'TSD-Data'!$A$1:$E$56,5,FALSE)</f>
        <v>3</v>
      </c>
      <c r="T157" s="15">
        <v>368</v>
      </c>
      <c r="U157" s="15"/>
      <c r="V157" s="15"/>
      <c r="W157" s="103"/>
      <c r="X157" s="103"/>
      <c r="Y157" s="15"/>
      <c r="Z157" s="15"/>
      <c r="AA157" s="15"/>
      <c r="AB157" s="99"/>
      <c r="AC157" s="71">
        <f ca="1">Table2[[#This Row],[End Date]]+2-TODAY()</f>
        <v>178</v>
      </c>
      <c r="AD157" s="15">
        <f>IF(ISBLANK(Table2[[#This Row],[Roster Received By]]),1,0)</f>
        <v>1</v>
      </c>
      <c r="AE157" s="15">
        <f ca="1">IF(Table2[[#This Row],[Start Date]]&gt;TODAY(),1,)</f>
        <v>1</v>
      </c>
      <c r="AF157" s="106"/>
    </row>
    <row r="158" spans="1:32" x14ac:dyDescent="0.25">
      <c r="A158" s="99"/>
      <c r="B158" s="99" t="s">
        <v>38</v>
      </c>
      <c r="C158" s="100" t="str">
        <f>VLOOKUP(Table2[[#This Row],[Course Title]],'TSD-Data'!$A$1:$E$56,2,FALSE)</f>
        <v>A-493-0061</v>
      </c>
      <c r="D158" s="100" t="str">
        <f>VLOOKUP(Table2[[#This Row],[Course Title]],'TSD-Data'!$A$1:$E$56,3,FALSE)</f>
        <v>288E</v>
      </c>
      <c r="E158" s="99" t="s">
        <v>80</v>
      </c>
      <c r="F158" s="102">
        <v>45706</v>
      </c>
      <c r="G158" s="102">
        <v>45709</v>
      </c>
      <c r="H158" s="105"/>
      <c r="I158" s="105">
        <v>0.54166666666666663</v>
      </c>
      <c r="J158" s="101">
        <v>0.41666666666666669</v>
      </c>
      <c r="K158" s="101">
        <v>0.875</v>
      </c>
      <c r="L158" s="101">
        <v>0.79166666666666663</v>
      </c>
      <c r="M158" s="101">
        <v>0.33333333333333331</v>
      </c>
      <c r="N158" s="101">
        <v>0.125</v>
      </c>
      <c r="O158" s="15" t="s">
        <v>138</v>
      </c>
      <c r="P158" s="15"/>
      <c r="Q158" s="103">
        <f>VLOOKUP(Table2[[#This Row],[Course Title]],'TSD-Data'!$A$1:$E$56,4,FALSE)</f>
        <v>45</v>
      </c>
      <c r="R158" s="15">
        <f>VLOOKUP(Table2[[#This Row],[Course Title]],'TSD-Data'!$A$1:$F$53,6,FALSE)</f>
        <v>30</v>
      </c>
      <c r="S158" s="15">
        <f>VLOOKUP(Table2[[#This Row],[Course Title]],'TSD-Data'!$A$1:$E$56,5,FALSE)</f>
        <v>4</v>
      </c>
      <c r="T158" s="15">
        <v>533</v>
      </c>
      <c r="U158" s="15"/>
      <c r="V158" s="15"/>
      <c r="W158" s="103"/>
      <c r="X158" s="103"/>
      <c r="Y158" s="15"/>
      <c r="Z158" s="15"/>
      <c r="AA158" s="15"/>
      <c r="AB158" s="99"/>
      <c r="AC158" s="71">
        <f ca="1">Table2[[#This Row],[End Date]]+2-TODAY()</f>
        <v>179</v>
      </c>
      <c r="AD158" s="15">
        <f>IF(ISBLANK(Table2[[#This Row],[Roster Received By]]),1,0)</f>
        <v>1</v>
      </c>
      <c r="AE158" s="15">
        <f ca="1">IF(Table2[[#This Row],[Start Date]]&gt;TODAY(),1,)</f>
        <v>1</v>
      </c>
      <c r="AF158" s="106"/>
    </row>
    <row r="159" spans="1:32" x14ac:dyDescent="0.25">
      <c r="A159" s="99"/>
      <c r="B159" s="99" t="s">
        <v>50</v>
      </c>
      <c r="C159" s="100" t="str">
        <f>VLOOKUP(Table2[[#This Row],[Course Title]],'TSD-Data'!$A$1:$E$56,2,FALSE)</f>
        <v>A-493-0331</v>
      </c>
      <c r="D159" s="100" t="str">
        <f>VLOOKUP(Table2[[#This Row],[Course Title]],'TSD-Data'!$A$1:$E$56,3,FALSE)</f>
        <v>10UG</v>
      </c>
      <c r="E159" s="99" t="s">
        <v>80</v>
      </c>
      <c r="F159" s="102">
        <v>45706</v>
      </c>
      <c r="G159" s="102">
        <v>45708</v>
      </c>
      <c r="H159" s="102"/>
      <c r="I159" s="101">
        <v>0.5</v>
      </c>
      <c r="J159" s="101">
        <v>0.375</v>
      </c>
      <c r="K159" s="101">
        <v>0.83333333333333337</v>
      </c>
      <c r="L159" s="101">
        <v>0.75</v>
      </c>
      <c r="M159" s="101">
        <v>0.29166666666666669</v>
      </c>
      <c r="N159" s="101">
        <v>8.3333333333333329E-2</v>
      </c>
      <c r="O159" s="15" t="s">
        <v>192</v>
      </c>
      <c r="P159" s="15"/>
      <c r="Q159" s="15">
        <f>VLOOKUP(Table2[[#This Row],[Course Title]],'TSD-Data'!$A$1:$E$56,4,FALSE)</f>
        <v>45</v>
      </c>
      <c r="R159" s="15">
        <f>VLOOKUP(Table2[[#This Row],[Course Title]],'TSD-Data'!$A$1:$F$53,6,FALSE)</f>
        <v>24</v>
      </c>
      <c r="S159" s="15">
        <f>VLOOKUP(Table2[[#This Row],[Course Title]],'TSD-Data'!$A$1:$E$56,5,FALSE)</f>
        <v>3</v>
      </c>
      <c r="T159" s="15">
        <v>805</v>
      </c>
      <c r="U159" s="15"/>
      <c r="V159" s="15"/>
      <c r="W159" s="15"/>
      <c r="X159" s="103"/>
      <c r="Y159" s="15"/>
      <c r="Z159" s="15"/>
      <c r="AA159" s="15"/>
      <c r="AB159" s="99"/>
      <c r="AC159" s="71">
        <f ca="1">Table2[[#This Row],[End Date]]+2-TODAY()</f>
        <v>178</v>
      </c>
      <c r="AD159" s="15">
        <f>IF(ISBLANK(Table2[[#This Row],[Roster Received By]]),1,0)</f>
        <v>1</v>
      </c>
      <c r="AE159" s="15">
        <f ca="1">IF(Table2[[#This Row],[Start Date]]&gt;TODAY(),1,)</f>
        <v>1</v>
      </c>
      <c r="AF159" s="106"/>
    </row>
    <row r="160" spans="1:32" x14ac:dyDescent="0.25">
      <c r="A160" s="62"/>
      <c r="B160" s="99" t="s">
        <v>49</v>
      </c>
      <c r="C160" s="100" t="str">
        <f>VLOOKUP(Table2[[#This Row],[Course Title]],'TSD-Data'!$A$1:$E$56,2,FALSE)</f>
        <v>A-493-0092</v>
      </c>
      <c r="D160" s="100">
        <f>VLOOKUP(Table2[[#This Row],[Course Title]],'TSD-Data'!$A$1:$E$56,3,FALSE)</f>
        <v>5891</v>
      </c>
      <c r="E160" s="99" t="s">
        <v>309</v>
      </c>
      <c r="F160" s="67">
        <v>45707</v>
      </c>
      <c r="G160" s="67">
        <v>45709</v>
      </c>
      <c r="H160" s="105">
        <v>0.33333333333333331</v>
      </c>
      <c r="I160" s="108"/>
      <c r="J160" s="108"/>
      <c r="K160" s="108"/>
      <c r="L160" s="108"/>
      <c r="M160" s="108"/>
      <c r="N160" s="108"/>
      <c r="O160" s="15" t="s">
        <v>186</v>
      </c>
      <c r="P160" s="15" t="s">
        <v>116</v>
      </c>
      <c r="Q160" s="15">
        <f>VLOOKUP(Table2[[#This Row],[Course Title]],'TSD-Data'!$A$1:$E$56,4,FALSE)</f>
        <v>25</v>
      </c>
      <c r="R160" s="15">
        <f>VLOOKUP(Table2[[#This Row],[Course Title]],'TSD-Data'!$A$1:$F$53,6,FALSE)</f>
        <v>24</v>
      </c>
      <c r="S160" s="15">
        <f>VLOOKUP(Table2[[#This Row],[Course Title]],'TSD-Data'!$A$1:$E$56,5,FALSE)</f>
        <v>3</v>
      </c>
      <c r="T160" s="15">
        <v>24</v>
      </c>
      <c r="U160" s="15"/>
      <c r="V160" s="15"/>
      <c r="W160" s="15"/>
      <c r="X160" s="103"/>
      <c r="Y160" s="15"/>
      <c r="Z160" s="15"/>
      <c r="AA160" s="100"/>
      <c r="AB160" s="99"/>
      <c r="AC160" s="71">
        <f ca="1">Table2[[#This Row],[End Date]]+2-TODAY()</f>
        <v>179</v>
      </c>
      <c r="AD160" s="15">
        <f>IF(ISBLANK(Table2[[#This Row],[Roster Received By]]),1,0)</f>
        <v>1</v>
      </c>
      <c r="AE160" s="15">
        <f ca="1">IF(Table2[[#This Row],[Start Date]]&gt;TODAY(),1,)</f>
        <v>1</v>
      </c>
      <c r="AF160" s="106"/>
    </row>
    <row r="161" spans="1:32" x14ac:dyDescent="0.25">
      <c r="A161" s="62"/>
      <c r="B161" s="99" t="s">
        <v>165</v>
      </c>
      <c r="C161" s="100" t="str">
        <f>VLOOKUP(Table2[[#This Row],[Course Title]],'TSD-Data'!$A$1:$E$56,2,FALSE)</f>
        <v>A-322-2604</v>
      </c>
      <c r="D161" s="100" t="str">
        <f>VLOOKUP(Table2[[#This Row],[Course Title]],'TSD-Data'!$A$1:$E$56,3,FALSE)</f>
        <v>10ZZ</v>
      </c>
      <c r="E161" s="99" t="s">
        <v>80</v>
      </c>
      <c r="F161" s="102">
        <v>45711</v>
      </c>
      <c r="G161" s="102">
        <v>45715</v>
      </c>
      <c r="H161" s="102"/>
      <c r="I161" s="101">
        <v>0.79166666666666663</v>
      </c>
      <c r="J161" s="101">
        <v>0.66666666666666663</v>
      </c>
      <c r="K161" s="101">
        <v>0.125</v>
      </c>
      <c r="L161" s="101">
        <v>4.1666666666666664E-2</v>
      </c>
      <c r="M161" s="101">
        <v>0.58333333333333337</v>
      </c>
      <c r="N161" s="101">
        <v>0.375</v>
      </c>
      <c r="O161" s="15" t="s">
        <v>124</v>
      </c>
      <c r="P161" s="15"/>
      <c r="Q161" s="15">
        <f>VLOOKUP(Table2[[#This Row],[Course Title]],'TSD-Data'!$A$1:$E$56,4,FALSE)</f>
        <v>45</v>
      </c>
      <c r="R161" s="15">
        <f>VLOOKUP(Table2[[#This Row],[Course Title]],'TSD-Data'!$A$1:$F$53,6,FALSE)</f>
        <v>24</v>
      </c>
      <c r="S161" s="15">
        <f>VLOOKUP(Table2[[#This Row],[Course Title]],'TSD-Data'!$A$1:$E$56,5,FALSE)</f>
        <v>3</v>
      </c>
      <c r="T161" s="15">
        <v>105</v>
      </c>
      <c r="U161" s="15"/>
      <c r="V161" s="15"/>
      <c r="W161" s="15"/>
      <c r="X161" s="103"/>
      <c r="Y161" s="15"/>
      <c r="Z161" s="15"/>
      <c r="AA161" s="100"/>
      <c r="AB161" s="99"/>
      <c r="AC161" s="71">
        <f ca="1">Table2[[#This Row],[End Date]]+2-TODAY()</f>
        <v>185</v>
      </c>
      <c r="AD161" s="15">
        <f>IF(ISBLANK(Table2[[#This Row],[Roster Received By]]),1,0)</f>
        <v>1</v>
      </c>
      <c r="AE161" s="15">
        <f ca="1">IF(Table2[[#This Row],[Start Date]]&gt;TODAY(),1,)</f>
        <v>1</v>
      </c>
      <c r="AF161" s="106"/>
    </row>
    <row r="162" spans="1:32" x14ac:dyDescent="0.25">
      <c r="A162" s="65"/>
      <c r="B162" s="99" t="s">
        <v>55</v>
      </c>
      <c r="C162" s="100" t="str">
        <f>VLOOKUP(Table2[[#This Row],[Course Title]],'TSD-Data'!$A$1:$E$56,2,FALSE)</f>
        <v>A-493-0103</v>
      </c>
      <c r="D162" s="100" t="str">
        <f>VLOOKUP(Table2[[#This Row],[Course Title]],'TSD-Data'!$A$1:$E$56,3,FALSE)</f>
        <v>12JY</v>
      </c>
      <c r="E162" s="99" t="s">
        <v>267</v>
      </c>
      <c r="F162" s="102">
        <v>45712</v>
      </c>
      <c r="G162" s="102">
        <v>45716</v>
      </c>
      <c r="H162" s="105">
        <v>0.33333333333333331</v>
      </c>
      <c r="I162" s="105"/>
      <c r="J162" s="226"/>
      <c r="K162" s="226"/>
      <c r="L162" s="226"/>
      <c r="M162" s="226"/>
      <c r="N162" s="226"/>
      <c r="O162" s="15" t="s">
        <v>160</v>
      </c>
      <c r="P162" s="15"/>
      <c r="Q162" s="15">
        <f>VLOOKUP(Table2[[#This Row],[Course Title]],'TSD-Data'!$A$1:$E$56,4,FALSE)</f>
        <v>25</v>
      </c>
      <c r="R162" s="15">
        <f>VLOOKUP(Table2[[#This Row],[Course Title]],'TSD-Data'!$A$1:$F$53,6,FALSE)</f>
        <v>40</v>
      </c>
      <c r="S162" s="15">
        <f>VLOOKUP(Table2[[#This Row],[Course Title]],'TSD-Data'!$A$1:$E$56,5,FALSE)</f>
        <v>5</v>
      </c>
      <c r="T162" s="15">
        <v>332</v>
      </c>
      <c r="U162" s="15"/>
      <c r="V162" s="15"/>
      <c r="W162" s="15"/>
      <c r="X162" s="103"/>
      <c r="Y162" s="15"/>
      <c r="Z162" s="15"/>
      <c r="AA162" s="15"/>
      <c r="AB162" s="99"/>
      <c r="AC162" s="71">
        <f ca="1">Table2[[#This Row],[End Date]]+2-TODAY()</f>
        <v>186</v>
      </c>
      <c r="AD162" s="15">
        <f>IF(ISBLANK(Table2[[#This Row],[Roster Received By]]),1,0)</f>
        <v>1</v>
      </c>
      <c r="AE162" s="15">
        <f ca="1">IF(Table2[[#This Row],[Start Date]]&gt;TODAY(),1,)</f>
        <v>1</v>
      </c>
      <c r="AF162" s="106"/>
    </row>
    <row r="163" spans="1:32" x14ac:dyDescent="0.25">
      <c r="A163" s="99"/>
      <c r="B163" s="99" t="s">
        <v>55</v>
      </c>
      <c r="C163" s="100" t="str">
        <f>VLOOKUP(Table2[[#This Row],[Course Title]],'TSD-Data'!$A$1:$E$56,2,FALSE)</f>
        <v>A-493-0103</v>
      </c>
      <c r="D163" s="100" t="str">
        <f>VLOOKUP(Table2[[#This Row],[Course Title]],'TSD-Data'!$A$1:$E$56,3,FALSE)</f>
        <v>12JY</v>
      </c>
      <c r="E163" s="65" t="s">
        <v>309</v>
      </c>
      <c r="F163" s="102">
        <v>45712</v>
      </c>
      <c r="G163" s="102">
        <v>45716</v>
      </c>
      <c r="H163" s="105">
        <v>0.33333333333333331</v>
      </c>
      <c r="I163" s="108"/>
      <c r="J163" s="108"/>
      <c r="K163" s="108"/>
      <c r="L163" s="108"/>
      <c r="M163" s="108"/>
      <c r="N163" s="108"/>
      <c r="O163" s="15" t="s">
        <v>160</v>
      </c>
      <c r="P163" s="15"/>
      <c r="Q163" s="15">
        <f>VLOOKUP(Table2[[#This Row],[Course Title]],'TSD-Data'!$A$1:$E$56,4,FALSE)</f>
        <v>25</v>
      </c>
      <c r="R163" s="15">
        <f>VLOOKUP(Table2[[#This Row],[Course Title]],'TSD-Data'!$A$1:$F$53,6,FALSE)</f>
        <v>40</v>
      </c>
      <c r="S163" s="15">
        <f>VLOOKUP(Table2[[#This Row],[Course Title]],'TSD-Data'!$A$1:$E$56,5,FALSE)</f>
        <v>5</v>
      </c>
      <c r="T163" s="15">
        <v>65</v>
      </c>
      <c r="U163" s="15"/>
      <c r="V163" s="15"/>
      <c r="W163" s="15"/>
      <c r="X163" s="103"/>
      <c r="Y163" s="15"/>
      <c r="Z163" s="15"/>
      <c r="AA163" s="15"/>
      <c r="AB163" s="99"/>
      <c r="AC163" s="71">
        <f ca="1">Table2[[#This Row],[End Date]]+2-TODAY()</f>
        <v>186</v>
      </c>
      <c r="AD163" s="15">
        <f>IF(ISBLANK(Table2[[#This Row],[Roster Received By]]),1,0)</f>
        <v>1</v>
      </c>
      <c r="AE163" s="15">
        <f ca="1">IF(Table2[[#This Row],[Start Date]]&gt;TODAY(),1,)</f>
        <v>1</v>
      </c>
      <c r="AF163" s="106"/>
    </row>
    <row r="164" spans="1:32" x14ac:dyDescent="0.25">
      <c r="A164" s="65"/>
      <c r="B164" s="99" t="s">
        <v>56</v>
      </c>
      <c r="C164" s="100" t="str">
        <f>VLOOKUP(Table2[[#This Row],[Course Title]],'TSD-Data'!$A$1:$E$56,2,FALSE)</f>
        <v>A-493-0021</v>
      </c>
      <c r="D164" s="100" t="str">
        <f>VLOOKUP(Table2[[#This Row],[Course Title]],'TSD-Data'!$A$1:$E$56,3,FALSE)</f>
        <v>18BN</v>
      </c>
      <c r="E164" s="99" t="s">
        <v>292</v>
      </c>
      <c r="F164" s="102">
        <v>45712</v>
      </c>
      <c r="G164" s="102">
        <v>45715</v>
      </c>
      <c r="H164" s="105">
        <v>0.33333333333333331</v>
      </c>
      <c r="I164" s="108"/>
      <c r="J164" s="230"/>
      <c r="K164" s="230"/>
      <c r="L164" s="230"/>
      <c r="M164" s="230"/>
      <c r="N164" s="230"/>
      <c r="O164" s="15" t="s">
        <v>160</v>
      </c>
      <c r="P164" s="15"/>
      <c r="Q164" s="15">
        <f>VLOOKUP(Table2[[#This Row],[Course Title]],'TSD-Data'!$A$1:$E$56,4,FALSE)</f>
        <v>35</v>
      </c>
      <c r="R164" s="15">
        <f>VLOOKUP(Table2[[#This Row],[Course Title]],'TSD-Data'!$A$1:$F$53,6,FALSE)</f>
        <v>30</v>
      </c>
      <c r="S164" s="15">
        <f>VLOOKUP(Table2[[#This Row],[Course Title]],'TSD-Data'!$A$1:$E$56,5,FALSE)</f>
        <v>5</v>
      </c>
      <c r="T164" s="15">
        <v>60</v>
      </c>
      <c r="U164" s="15"/>
      <c r="V164" s="15"/>
      <c r="W164" s="15"/>
      <c r="X164" s="103"/>
      <c r="Y164" s="15"/>
      <c r="Z164" s="15"/>
      <c r="AA164" s="15"/>
      <c r="AB164" s="99"/>
      <c r="AC164" s="71">
        <f ca="1">Table2[[#This Row],[End Date]]+2-TODAY()</f>
        <v>185</v>
      </c>
      <c r="AD164" s="15">
        <f>IF(ISBLANK(Table2[[#This Row],[Roster Received By]]),1,0)</f>
        <v>1</v>
      </c>
      <c r="AE164" s="15">
        <f ca="1">IF(Table2[[#This Row],[Start Date]]&gt;TODAY(),1,)</f>
        <v>1</v>
      </c>
      <c r="AF164" s="106"/>
    </row>
    <row r="165" spans="1:32" x14ac:dyDescent="0.25">
      <c r="A165" s="62"/>
      <c r="B165" s="99" t="s">
        <v>17</v>
      </c>
      <c r="C165" s="100" t="str">
        <f>VLOOKUP(Table2[[#This Row],[Course Title]],'TSD-Data'!$A$1:$E$56,2,FALSE)</f>
        <v>A-493-0012</v>
      </c>
      <c r="D165" s="100">
        <f>VLOOKUP(Table2[[#This Row],[Course Title]],'TSD-Data'!$A$1:$E$56,3,FALSE)</f>
        <v>3682</v>
      </c>
      <c r="E165" s="65" t="s">
        <v>157</v>
      </c>
      <c r="F165" s="67">
        <v>45712</v>
      </c>
      <c r="G165" s="67">
        <v>45716</v>
      </c>
      <c r="H165" s="105">
        <v>0.33333333333333331</v>
      </c>
      <c r="I165" s="226"/>
      <c r="J165" s="226"/>
      <c r="K165" s="226"/>
      <c r="L165" s="226"/>
      <c r="M165" s="226"/>
      <c r="N165" s="226"/>
      <c r="O165" s="15" t="s">
        <v>94</v>
      </c>
      <c r="P165" s="15"/>
      <c r="Q165" s="15">
        <f>VLOOKUP(Table2[[#This Row],[Course Title]],'TSD-Data'!$A$1:$E$56,4,FALSE)</f>
        <v>40</v>
      </c>
      <c r="R165" s="15">
        <f>VLOOKUP(Table2[[#This Row],[Course Title]],'TSD-Data'!$A$1:$F$53,6,FALSE)</f>
        <v>40</v>
      </c>
      <c r="S165" s="15">
        <f>VLOOKUP(Table2[[#This Row],[Course Title]],'TSD-Data'!$A$1:$E$56,5,FALSE)</f>
        <v>5</v>
      </c>
      <c r="T165" s="15">
        <v>30</v>
      </c>
      <c r="U165" s="15"/>
      <c r="V165" s="15"/>
      <c r="W165" s="15"/>
      <c r="X165" s="103"/>
      <c r="Y165" s="15"/>
      <c r="Z165" s="15"/>
      <c r="AA165" s="100"/>
      <c r="AB165" s="99"/>
      <c r="AC165" s="71">
        <f ca="1">Table2[[#This Row],[End Date]]+2-TODAY()</f>
        <v>186</v>
      </c>
      <c r="AD165" s="15">
        <f>IF(ISBLANK(Table2[[#This Row],[Roster Received By]]),1,0)</f>
        <v>1</v>
      </c>
      <c r="AE165" s="15">
        <f ca="1">IF(Table2[[#This Row],[Start Date]]&gt;TODAY(),1,)</f>
        <v>1</v>
      </c>
      <c r="AF165" s="106"/>
    </row>
    <row r="166" spans="1:32" x14ac:dyDescent="0.25">
      <c r="A166" s="62" t="s">
        <v>391</v>
      </c>
      <c r="B166" s="99" t="s">
        <v>29</v>
      </c>
      <c r="C166" s="100" t="str">
        <f>VLOOKUP(Table2[[#This Row],[Course Title]],'TSD-Data'!$A$1:$E$56,2,FALSE)</f>
        <v>A-493-0077</v>
      </c>
      <c r="D166" s="100" t="str">
        <f>VLOOKUP(Table2[[#This Row],[Course Title]],'TSD-Data'!$A$1:$E$56,3,FALSE)</f>
        <v>0381</v>
      </c>
      <c r="E166" s="99" t="s">
        <v>157</v>
      </c>
      <c r="F166" s="102">
        <v>45712</v>
      </c>
      <c r="G166" s="102">
        <v>45714</v>
      </c>
      <c r="H166" s="105">
        <v>0.33333333333333331</v>
      </c>
      <c r="I166" s="226"/>
      <c r="J166" s="226"/>
      <c r="K166" s="226"/>
      <c r="L166" s="226"/>
      <c r="M166" s="226"/>
      <c r="N166" s="226"/>
      <c r="O166" s="15" t="s">
        <v>94</v>
      </c>
      <c r="P166" s="15"/>
      <c r="Q166" s="15">
        <f>VLOOKUP(Table2[[#This Row],[Course Title]],'TSD-Data'!$A$1:$E$56,4,FALSE)</f>
        <v>25</v>
      </c>
      <c r="R166" s="15">
        <f>VLOOKUP(Table2[[#This Row],[Course Title]],'TSD-Data'!$A$1:$F$53,6,FALSE)</f>
        <v>24</v>
      </c>
      <c r="S166" s="15">
        <f>VLOOKUP(Table2[[#This Row],[Course Title]],'TSD-Data'!$A$1:$E$56,5,FALSE)</f>
        <v>3</v>
      </c>
      <c r="T166" s="15">
        <v>32</v>
      </c>
      <c r="U166" s="15"/>
      <c r="V166" s="15"/>
      <c r="W166" s="15"/>
      <c r="X166" s="103"/>
      <c r="Y166" s="15"/>
      <c r="Z166" s="15"/>
      <c r="AA166" s="15"/>
      <c r="AB166" s="99"/>
      <c r="AC166" s="71">
        <f ca="1">Table2[[#This Row],[End Date]]+2-TODAY()</f>
        <v>184</v>
      </c>
      <c r="AD166" s="15">
        <f>IF(ISBLANK(Table2[[#This Row],[Roster Received By]]),1,0)</f>
        <v>1</v>
      </c>
      <c r="AE166" s="15">
        <f ca="1">IF(Table2[[#This Row],[Start Date]]&gt;TODAY(),1,)</f>
        <v>1</v>
      </c>
      <c r="AF166" s="106"/>
    </row>
    <row r="167" spans="1:32" x14ac:dyDescent="0.25">
      <c r="A167" s="62" t="s">
        <v>391</v>
      </c>
      <c r="B167" s="99" t="s">
        <v>32</v>
      </c>
      <c r="C167" s="100" t="str">
        <f>VLOOKUP(Table2[[#This Row],[Course Title]],'TSD-Data'!$A$1:$E$56,2,FALSE)</f>
        <v>A-493-2300</v>
      </c>
      <c r="D167" s="100" t="str">
        <f>VLOOKUP(Table2[[#This Row],[Course Title]],'TSD-Data'!$A$1:$E$56,3,FALSE)</f>
        <v>993F</v>
      </c>
      <c r="E167" s="99" t="s">
        <v>157</v>
      </c>
      <c r="F167" s="102">
        <v>45712</v>
      </c>
      <c r="G167" s="102">
        <v>45713</v>
      </c>
      <c r="H167" s="105">
        <v>0.33333333333333331</v>
      </c>
      <c r="I167" s="226"/>
      <c r="J167" s="226"/>
      <c r="K167" s="226"/>
      <c r="L167" s="226"/>
      <c r="M167" s="226"/>
      <c r="N167" s="226"/>
      <c r="O167" s="15" t="s">
        <v>94</v>
      </c>
      <c r="P167" s="15"/>
      <c r="Q167" s="15">
        <f>VLOOKUP(Table2[[#This Row],[Course Title]],'TSD-Data'!$A$1:$E$56,4,FALSE)</f>
        <v>30</v>
      </c>
      <c r="R167" s="15">
        <f>VLOOKUP(Table2[[#This Row],[Course Title]],'TSD-Data'!$A$1:$F$53,6,FALSE)</f>
        <v>16</v>
      </c>
      <c r="S167" s="15">
        <f>VLOOKUP(Table2[[#This Row],[Course Title]],'TSD-Data'!$A$1:$E$56,5,FALSE)</f>
        <v>2</v>
      </c>
      <c r="T167" s="15">
        <v>30</v>
      </c>
      <c r="U167" s="15"/>
      <c r="V167" s="15"/>
      <c r="W167" s="15"/>
      <c r="X167" s="103"/>
      <c r="Y167" s="15"/>
      <c r="Z167" s="15"/>
      <c r="AA167" s="15"/>
      <c r="AB167" s="99"/>
      <c r="AC167" s="71">
        <f ca="1">Table2[[#This Row],[End Date]]+2-TODAY()</f>
        <v>183</v>
      </c>
      <c r="AD167" s="15">
        <f>IF(ISBLANK(Table2[[#This Row],[Roster Received By]]),1,0)</f>
        <v>1</v>
      </c>
      <c r="AE167" s="15">
        <f ca="1">IF(Table2[[#This Row],[Start Date]]&gt;TODAY(),1,)</f>
        <v>1</v>
      </c>
      <c r="AF167" s="106"/>
    </row>
    <row r="168" spans="1:32" x14ac:dyDescent="0.25">
      <c r="A168" s="62"/>
      <c r="B168" s="99" t="s">
        <v>51</v>
      </c>
      <c r="C168" s="100" t="str">
        <f>VLOOKUP(Table2[[#This Row],[Course Title]],'TSD-Data'!$A$1:$E$56,2,FALSE)</f>
        <v>A-493-0335</v>
      </c>
      <c r="D168" s="100" t="str">
        <f>VLOOKUP(Table2[[#This Row],[Course Title]],'TSD-Data'!$A$1:$E$56,3,FALSE)</f>
        <v>09ND</v>
      </c>
      <c r="E168" s="99" t="s">
        <v>80</v>
      </c>
      <c r="F168" s="102">
        <v>45712</v>
      </c>
      <c r="G168" s="102">
        <v>45715</v>
      </c>
      <c r="H168" s="105"/>
      <c r="I168" s="101">
        <v>0.5</v>
      </c>
      <c r="J168" s="101">
        <v>0.375</v>
      </c>
      <c r="K168" s="101">
        <v>0.83333333333333337</v>
      </c>
      <c r="L168" s="101">
        <v>0.75</v>
      </c>
      <c r="M168" s="101">
        <v>0.29166666666666669</v>
      </c>
      <c r="N168" s="101">
        <v>8.3333333333333329E-2</v>
      </c>
      <c r="O168" s="15" t="s">
        <v>179</v>
      </c>
      <c r="P168" s="15"/>
      <c r="Q168" s="15">
        <f>VLOOKUP(Table2[[#This Row],[Course Title]],'TSD-Data'!$A$1:$E$56,4,FALSE)</f>
        <v>45</v>
      </c>
      <c r="R168" s="15">
        <f>VLOOKUP(Table2[[#This Row],[Course Title]],'TSD-Data'!$A$1:$F$53,6,FALSE)</f>
        <v>32</v>
      </c>
      <c r="S168" s="15">
        <f>VLOOKUP(Table2[[#This Row],[Course Title]],'TSD-Data'!$A$1:$E$56,5,FALSE)</f>
        <v>4</v>
      </c>
      <c r="T168" s="15">
        <v>400</v>
      </c>
      <c r="U168" s="15"/>
      <c r="V168" s="15"/>
      <c r="W168" s="15"/>
      <c r="X168" s="103"/>
      <c r="Y168" s="15"/>
      <c r="Z168" s="15"/>
      <c r="AA168" s="15"/>
      <c r="AB168" s="99"/>
      <c r="AC168" s="71">
        <f ca="1">Table2[[#This Row],[End Date]]+2-TODAY()</f>
        <v>185</v>
      </c>
      <c r="AD168" s="15">
        <f>IF(ISBLANK(Table2[[#This Row],[Roster Received By]]),1,0)</f>
        <v>1</v>
      </c>
      <c r="AE168" s="15">
        <f ca="1">IF(Table2[[#This Row],[Start Date]]&gt;TODAY(),1,)</f>
        <v>1</v>
      </c>
      <c r="AF168" s="135"/>
    </row>
    <row r="169" spans="1:32" x14ac:dyDescent="0.25">
      <c r="A169" s="62"/>
      <c r="B169" s="99" t="s">
        <v>59</v>
      </c>
      <c r="C169" s="100" t="str">
        <f>VLOOKUP(Table2[[#This Row],[Course Title]],'TSD-Data'!$A$1:$E$56,2,FALSE)</f>
        <v>A-493-0550</v>
      </c>
      <c r="D169" s="100" t="str">
        <f>VLOOKUP(Table2[[#This Row],[Course Title]],'TSD-Data'!$A$1:$E$56,3,FALSE)</f>
        <v>09K5</v>
      </c>
      <c r="E169" s="99" t="s">
        <v>80</v>
      </c>
      <c r="F169" s="102">
        <v>45712</v>
      </c>
      <c r="G169" s="102">
        <v>45715</v>
      </c>
      <c r="H169" s="102"/>
      <c r="I169" s="105">
        <v>0.45833333333333331</v>
      </c>
      <c r="J169" s="105">
        <v>0.33333333333333331</v>
      </c>
      <c r="K169" s="105">
        <v>0.79166666666666663</v>
      </c>
      <c r="L169" s="105">
        <v>0.70833333333333337</v>
      </c>
      <c r="M169" s="105">
        <v>0.25</v>
      </c>
      <c r="N169" s="105">
        <v>4.1666666666666664E-2</v>
      </c>
      <c r="O169" s="15" t="s">
        <v>145</v>
      </c>
      <c r="P169" s="15"/>
      <c r="Q169" s="15">
        <f>VLOOKUP(Table2[[#This Row],[Course Title]],'TSD-Data'!$A$1:$E$56,4,FALSE)</f>
        <v>45</v>
      </c>
      <c r="R169" s="15">
        <f>VLOOKUP(Table2[[#This Row],[Course Title]],'TSD-Data'!$A$1:$F$53,6,FALSE)</f>
        <v>32</v>
      </c>
      <c r="S169" s="15">
        <f>VLOOKUP(Table2[[#This Row],[Course Title]],'TSD-Data'!$A$1:$E$56,5,FALSE)</f>
        <v>4</v>
      </c>
      <c r="T169" s="15">
        <v>949</v>
      </c>
      <c r="U169" s="15"/>
      <c r="V169" s="15"/>
      <c r="W169" s="15"/>
      <c r="X169" s="103"/>
      <c r="Y169" s="15"/>
      <c r="Z169" s="15"/>
      <c r="AA169" s="15"/>
      <c r="AB169" s="99"/>
      <c r="AC169" s="71">
        <f ca="1">Table2[[#This Row],[End Date]]+2-TODAY()</f>
        <v>185</v>
      </c>
      <c r="AD169" s="15">
        <f>IF(ISBLANK(Table2[[#This Row],[Roster Received By]]),1,0)</f>
        <v>1</v>
      </c>
      <c r="AE169" s="15">
        <f ca="1">IF(Table2[[#This Row],[Start Date]]&gt;TODAY(),1,)</f>
        <v>1</v>
      </c>
      <c r="AF169" s="106"/>
    </row>
    <row r="170" spans="1:32" x14ac:dyDescent="0.25">
      <c r="A170" s="99"/>
      <c r="B170" s="99" t="s">
        <v>61</v>
      </c>
      <c r="C170" s="100" t="str">
        <f>VLOOKUP(Table2[[#This Row],[Course Title]],'TSD-Data'!$A$1:$E$56,2,FALSE)</f>
        <v>A-493-0078</v>
      </c>
      <c r="D170" s="100">
        <f>VLOOKUP(Table2[[#This Row],[Course Title]],'TSD-Data'!$A$1:$E$56,3,FALSE)</f>
        <v>1228</v>
      </c>
      <c r="E170" s="99" t="s">
        <v>80</v>
      </c>
      <c r="F170" s="102">
        <v>45712</v>
      </c>
      <c r="G170" s="102">
        <v>45715</v>
      </c>
      <c r="H170" s="105"/>
      <c r="I170" s="105">
        <v>0.79166666666666663</v>
      </c>
      <c r="J170" s="101">
        <v>0.66666666666666663</v>
      </c>
      <c r="K170" s="101">
        <v>0.125</v>
      </c>
      <c r="L170" s="101">
        <v>4.1666666666666664E-2</v>
      </c>
      <c r="M170" s="101">
        <v>0.58333333333333337</v>
      </c>
      <c r="N170" s="101">
        <v>0.375</v>
      </c>
      <c r="O170" s="15" t="s">
        <v>141</v>
      </c>
      <c r="P170" s="15"/>
      <c r="Q170" s="15">
        <f>VLOOKUP(Table2[[#This Row],[Course Title]],'TSD-Data'!$A$1:$E$56,4,FALSE)</f>
        <v>45</v>
      </c>
      <c r="R170" s="15">
        <f>VLOOKUP(Table2[[#This Row],[Course Title]],'TSD-Data'!$A$1:$F$53,6,FALSE)</f>
        <v>32</v>
      </c>
      <c r="S170" s="15">
        <f>VLOOKUP(Table2[[#This Row],[Course Title]],'TSD-Data'!$A$1:$E$56,5,FALSE)</f>
        <v>4</v>
      </c>
      <c r="T170" s="15">
        <v>249</v>
      </c>
      <c r="U170" s="15"/>
      <c r="V170" s="15"/>
      <c r="W170" s="15"/>
      <c r="X170" s="103"/>
      <c r="Y170" s="15"/>
      <c r="Z170" s="15"/>
      <c r="AA170" s="15"/>
      <c r="AB170" s="99"/>
      <c r="AC170" s="71">
        <f ca="1">Table2[[#This Row],[End Date]]+2-TODAY()</f>
        <v>185</v>
      </c>
      <c r="AD170" s="15">
        <f>IF(ISBLANK(Table2[[#This Row],[Roster Received By]]),1,0)</f>
        <v>1</v>
      </c>
      <c r="AE170" s="15">
        <f ca="1">IF(Table2[[#This Row],[Start Date]]&gt;TODAY(),1,)</f>
        <v>1</v>
      </c>
      <c r="AF170" s="62"/>
    </row>
    <row r="171" spans="1:32" x14ac:dyDescent="0.25">
      <c r="A171" s="62"/>
      <c r="B171" s="99" t="s">
        <v>52</v>
      </c>
      <c r="C171" s="100" t="str">
        <f>VLOOKUP(Table2[[#This Row],[Course Title]],'TSD-Data'!$A$1:$E$56,2,FALSE)</f>
        <v>A-493-0085</v>
      </c>
      <c r="D171" s="100">
        <f>VLOOKUP(Table2[[#This Row],[Course Title]],'TSD-Data'!$A$1:$E$56,3,FALSE)</f>
        <v>3555</v>
      </c>
      <c r="E171" s="99" t="s">
        <v>80</v>
      </c>
      <c r="F171" s="102">
        <v>45712</v>
      </c>
      <c r="G171" s="102">
        <v>45715</v>
      </c>
      <c r="H171" s="102"/>
      <c r="I171" s="101">
        <v>1900.7916666666667</v>
      </c>
      <c r="J171" s="101">
        <v>0.66666666666666663</v>
      </c>
      <c r="K171" s="101">
        <v>8.3333333333333329E-2</v>
      </c>
      <c r="L171" s="101">
        <v>0</v>
      </c>
      <c r="M171" s="101">
        <v>0.54166666666666663</v>
      </c>
      <c r="N171" s="101">
        <v>0.33333333333333331</v>
      </c>
      <c r="O171" s="15" t="s">
        <v>175</v>
      </c>
      <c r="P171" s="15"/>
      <c r="Q171" s="15">
        <f>VLOOKUP(Table2[[#This Row],[Course Title]],'TSD-Data'!$A$1:$E$56,4,FALSE)</f>
        <v>45</v>
      </c>
      <c r="R171" s="15">
        <f>VLOOKUP(Table2[[#This Row],[Course Title]],'TSD-Data'!$A$1:$F$53,6,FALSE)</f>
        <v>32</v>
      </c>
      <c r="S171" s="15">
        <f>VLOOKUP(Table2[[#This Row],[Course Title]],'TSD-Data'!$A$1:$E$56,5,FALSE)</f>
        <v>4</v>
      </c>
      <c r="T171" s="15">
        <v>120</v>
      </c>
      <c r="U171" s="15"/>
      <c r="V171" s="15"/>
      <c r="W171" s="15"/>
      <c r="X171" s="103"/>
      <c r="Y171" s="15"/>
      <c r="Z171" s="15"/>
      <c r="AA171" s="15"/>
      <c r="AB171" s="99"/>
      <c r="AC171" s="71">
        <f ca="1">Table2[[#This Row],[End Date]]+2-TODAY()</f>
        <v>185</v>
      </c>
      <c r="AD171" s="15">
        <f>IF(ISBLANK(Table2[[#This Row],[Roster Received By]]),1,0)</f>
        <v>1</v>
      </c>
      <c r="AE171" s="15">
        <f ca="1">IF(Table2[[#This Row],[Start Date]]&gt;TODAY(),1,)</f>
        <v>1</v>
      </c>
      <c r="AF171" s="62"/>
    </row>
    <row r="172" spans="1:32" x14ac:dyDescent="0.25">
      <c r="A172" s="100"/>
      <c r="B172" s="99" t="s">
        <v>39</v>
      </c>
      <c r="C172" s="100" t="str">
        <f>VLOOKUP(Table2[[#This Row],[Course Title]],'TSD-Data'!$A$1:$E$56,2,FALSE)</f>
        <v>A-570-0100</v>
      </c>
      <c r="D172" s="100" t="str">
        <f>VLOOKUP(Table2[[#This Row],[Course Title]],'TSD-Data'!$A$1:$E$56,3,FALSE)</f>
        <v>18B7</v>
      </c>
      <c r="E172" s="99" t="s">
        <v>80</v>
      </c>
      <c r="F172" s="102">
        <v>45712</v>
      </c>
      <c r="G172" s="102">
        <v>45715</v>
      </c>
      <c r="H172" s="105"/>
      <c r="I172" s="105">
        <v>0.33333333333333331</v>
      </c>
      <c r="J172" s="105">
        <v>0.20833333333333334</v>
      </c>
      <c r="K172" s="105">
        <v>0.66666666666666663</v>
      </c>
      <c r="L172" s="105">
        <v>0.58333333333333337</v>
      </c>
      <c r="M172" s="105">
        <v>0.125</v>
      </c>
      <c r="N172" s="105">
        <v>0.91666666666666663</v>
      </c>
      <c r="O172" s="15" t="s">
        <v>79</v>
      </c>
      <c r="P172" s="15"/>
      <c r="Q172" s="15">
        <f>VLOOKUP(Table2[[#This Row],[Course Title]],'TSD-Data'!$A$1:$E$56,4,FALSE)</f>
        <v>45</v>
      </c>
      <c r="R172" s="15">
        <f>VLOOKUP(Table2[[#This Row],[Course Title]],'TSD-Data'!$A$1:$F$53,6,FALSE)</f>
        <v>16</v>
      </c>
      <c r="S172" s="15">
        <f>VLOOKUP(Table2[[#This Row],[Course Title]],'TSD-Data'!$A$1:$E$56,5,FALSE)</f>
        <v>2</v>
      </c>
      <c r="T172" s="15">
        <v>404</v>
      </c>
      <c r="U172" s="15"/>
      <c r="V172" s="15"/>
      <c r="W172" s="104"/>
      <c r="X172" s="104"/>
      <c r="Y172" s="100"/>
      <c r="Z172" s="100"/>
      <c r="AA172" s="104"/>
      <c r="AB172" s="99"/>
      <c r="AC172" s="71">
        <f ca="1">Table2[[#This Row],[End Date]]+2-TODAY()</f>
        <v>185</v>
      </c>
      <c r="AD172" s="15">
        <f>IF(ISBLANK(Table2[[#This Row],[Roster Received By]]),1,0)</f>
        <v>1</v>
      </c>
      <c r="AE172" s="15">
        <f ca="1">IF(Table2[[#This Row],[Start Date]]&gt;TODAY(),1,)</f>
        <v>1</v>
      </c>
      <c r="AF172" s="62"/>
    </row>
    <row r="173" spans="1:32" x14ac:dyDescent="0.25">
      <c r="A173" s="62"/>
      <c r="B173" s="99" t="s">
        <v>53</v>
      </c>
      <c r="C173" s="100" t="str">
        <f>VLOOKUP(Table2[[#This Row],[Course Title]],'TSD-Data'!$A$1:$E$56,2,FALSE)</f>
        <v>A-493-0072</v>
      </c>
      <c r="D173" s="100" t="str">
        <f>VLOOKUP(Table2[[#This Row],[Course Title]],'TSD-Data'!$A$1:$E$56,3,FALSE)</f>
        <v>713U</v>
      </c>
      <c r="E173" s="99" t="s">
        <v>309</v>
      </c>
      <c r="F173" s="102">
        <v>45712</v>
      </c>
      <c r="G173" s="102">
        <v>45716</v>
      </c>
      <c r="H173" s="105">
        <v>0.33333333333333331</v>
      </c>
      <c r="I173" s="108"/>
      <c r="J173" s="108"/>
      <c r="K173" s="108"/>
      <c r="L173" s="108"/>
      <c r="M173" s="108"/>
      <c r="N173" s="108"/>
      <c r="O173" s="15" t="s">
        <v>186</v>
      </c>
      <c r="P173" s="15" t="s">
        <v>116</v>
      </c>
      <c r="Q173" s="15">
        <f>VLOOKUP(Table2[[#This Row],[Course Title]],'TSD-Data'!$A$1:$E$56,4,FALSE)</f>
        <v>30</v>
      </c>
      <c r="R173" s="15">
        <f>VLOOKUP(Table2[[#This Row],[Course Title]],'TSD-Data'!$A$1:$F$53,6,FALSE)</f>
        <v>40</v>
      </c>
      <c r="S173" s="15">
        <f>VLOOKUP(Table2[[#This Row],[Course Title]],'TSD-Data'!$A$1:$E$56,5,FALSE)</f>
        <v>5</v>
      </c>
      <c r="T173" s="15">
        <v>36</v>
      </c>
      <c r="U173" s="15"/>
      <c r="V173" s="15"/>
      <c r="W173" s="15"/>
      <c r="X173" s="103"/>
      <c r="Y173" s="15"/>
      <c r="Z173" s="15"/>
      <c r="AA173" s="104"/>
      <c r="AB173" s="99"/>
      <c r="AC173" s="71">
        <f ca="1">Table2[[#This Row],[End Date]]+2-TODAY()</f>
        <v>186</v>
      </c>
      <c r="AD173" s="15">
        <f>IF(ISBLANK(Table2[[#This Row],[Roster Received By]]),1,0)</f>
        <v>1</v>
      </c>
      <c r="AE173" s="15">
        <f ca="1">IF(Table2[[#This Row],[Start Date]]&gt;TODAY(),1,)</f>
        <v>1</v>
      </c>
      <c r="AF173" s="62"/>
    </row>
    <row r="174" spans="1:32" x14ac:dyDescent="0.25">
      <c r="A174" s="62"/>
      <c r="B174" s="99" t="s">
        <v>58</v>
      </c>
      <c r="C174" s="100" t="str">
        <f>VLOOKUP(Table2[[#This Row],[Course Title]],'TSD-Data'!$A$1:$E$56,2,FALSE)</f>
        <v xml:space="preserve">A-493-0075 </v>
      </c>
      <c r="D174" s="100" t="str">
        <f>VLOOKUP(Table2[[#This Row],[Course Title]],'TSD-Data'!$A$1:$E$56,3,FALSE)</f>
        <v>714U</v>
      </c>
      <c r="E174" s="99" t="s">
        <v>292</v>
      </c>
      <c r="F174" s="102">
        <v>45713</v>
      </c>
      <c r="G174" s="102">
        <v>45716</v>
      </c>
      <c r="H174" s="105">
        <v>0.33333333333333331</v>
      </c>
      <c r="I174" s="108"/>
      <c r="J174" s="230"/>
      <c r="K174" s="230"/>
      <c r="L174" s="230"/>
      <c r="M174" s="230"/>
      <c r="N174" s="230"/>
      <c r="O174" s="15" t="s">
        <v>160</v>
      </c>
      <c r="P174" s="15"/>
      <c r="Q174" s="15">
        <f>VLOOKUP(Table2[[#This Row],[Course Title]],'TSD-Data'!$A$1:$E$56,4,FALSE)</f>
        <v>30</v>
      </c>
      <c r="R174" s="15">
        <f>VLOOKUP(Table2[[#This Row],[Course Title]],'TSD-Data'!$A$1:$F$53,6,FALSE)</f>
        <v>32</v>
      </c>
      <c r="S174" s="15">
        <f>VLOOKUP(Table2[[#This Row],[Course Title]],'TSD-Data'!$A$1:$E$56,5,FALSE)</f>
        <v>4</v>
      </c>
      <c r="T174" s="15">
        <v>137</v>
      </c>
      <c r="U174" s="15"/>
      <c r="V174" s="15"/>
      <c r="W174" s="15"/>
      <c r="X174" s="103"/>
      <c r="Y174" s="15"/>
      <c r="Z174" s="15"/>
      <c r="AA174" s="15"/>
      <c r="AB174" s="99"/>
      <c r="AC174" s="71">
        <f ca="1">Table2[[#This Row],[End Date]]+2-TODAY()</f>
        <v>186</v>
      </c>
      <c r="AD174" s="15">
        <f>IF(ISBLANK(Table2[[#This Row],[Roster Received By]]),1,0)</f>
        <v>1</v>
      </c>
      <c r="AE174" s="15">
        <f ca="1">IF(Table2[[#This Row],[Start Date]]&gt;TODAY(),1,)</f>
        <v>1</v>
      </c>
      <c r="AF174" s="62"/>
    </row>
    <row r="175" spans="1:32" x14ac:dyDescent="0.25">
      <c r="A175" s="62" t="s">
        <v>392</v>
      </c>
      <c r="B175" s="99" t="s">
        <v>31</v>
      </c>
      <c r="C175" s="100" t="str">
        <f>VLOOKUP(Table2[[#This Row],[Course Title]],'TSD-Data'!$A$1:$E$56,2,FALSE)</f>
        <v>A-493-0083</v>
      </c>
      <c r="D175" s="100" t="str">
        <f>VLOOKUP(Table2[[#This Row],[Course Title]],'TSD-Data'!$A$1:$E$56,3,FALSE)</f>
        <v>339E</v>
      </c>
      <c r="E175" s="99" t="s">
        <v>80</v>
      </c>
      <c r="F175" s="102">
        <v>45713</v>
      </c>
      <c r="G175" s="102">
        <v>45713</v>
      </c>
      <c r="H175" s="105"/>
      <c r="I175" s="101">
        <v>8.3333333333333329E-2</v>
      </c>
      <c r="J175" s="101">
        <v>0.95833333333333337</v>
      </c>
      <c r="K175" s="101">
        <v>0.41666666666666669</v>
      </c>
      <c r="L175" s="101">
        <v>0.33333333333333331</v>
      </c>
      <c r="M175" s="101">
        <v>0.875</v>
      </c>
      <c r="N175" s="101">
        <v>0.66666666666666663</v>
      </c>
      <c r="O175" s="15" t="s">
        <v>94</v>
      </c>
      <c r="P175" s="15"/>
      <c r="Q175" s="15">
        <f>VLOOKUP(Table2[[#This Row],[Course Title]],'TSD-Data'!$A$1:$E$56,4,FALSE)</f>
        <v>30</v>
      </c>
      <c r="R175" s="15">
        <f>VLOOKUP(Table2[[#This Row],[Course Title]],'TSD-Data'!$A$1:$F$53,6,FALSE)</f>
        <v>8</v>
      </c>
      <c r="S175" s="15">
        <f>VLOOKUP(Table2[[#This Row],[Course Title]],'TSD-Data'!$A$1:$E$56,5,FALSE)</f>
        <v>1</v>
      </c>
      <c r="T175" s="15">
        <v>0</v>
      </c>
      <c r="U175" s="15"/>
      <c r="V175" s="15"/>
      <c r="W175" s="15"/>
      <c r="X175" s="103"/>
      <c r="Y175" s="15"/>
      <c r="Z175" s="15"/>
      <c r="AA175" s="15"/>
      <c r="AB175" s="99"/>
      <c r="AC175" s="71">
        <f ca="1">Table2[[#This Row],[End Date]]+2-TODAY()</f>
        <v>183</v>
      </c>
      <c r="AD175" s="15">
        <f>IF(ISBLANK(Table2[[#This Row],[Roster Received By]]),1,0)</f>
        <v>1</v>
      </c>
      <c r="AE175" s="15">
        <f ca="1">IF(Table2[[#This Row],[Start Date]]&gt;TODAY(),1,)</f>
        <v>1</v>
      </c>
      <c r="AF175" s="62"/>
    </row>
    <row r="176" spans="1:32" x14ac:dyDescent="0.25">
      <c r="A176" s="62" t="s">
        <v>391</v>
      </c>
      <c r="B176" s="99" t="s">
        <v>33</v>
      </c>
      <c r="C176" s="100" t="str">
        <f>VLOOKUP(Table2[[#This Row],[Course Title]],'TSD-Data'!$A$1:$E$56,2,FALSE)</f>
        <v>A-493-2301</v>
      </c>
      <c r="D176" s="100" t="str">
        <f>VLOOKUP(Table2[[#This Row],[Course Title]],'TSD-Data'!$A$1:$E$56,3,FALSE)</f>
        <v>05ZD</v>
      </c>
      <c r="E176" s="99" t="s">
        <v>157</v>
      </c>
      <c r="F176" s="102">
        <v>45714</v>
      </c>
      <c r="G176" s="102">
        <v>45714</v>
      </c>
      <c r="H176" s="105">
        <v>0.33333333333333331</v>
      </c>
      <c r="I176" s="226"/>
      <c r="J176" s="226"/>
      <c r="K176" s="226"/>
      <c r="L176" s="226"/>
      <c r="M176" s="226"/>
      <c r="N176" s="226"/>
      <c r="O176" s="15" t="s">
        <v>94</v>
      </c>
      <c r="P176" s="15"/>
      <c r="Q176" s="15">
        <f>VLOOKUP(Table2[[#This Row],[Course Title]],'TSD-Data'!$A$1:$E$56,4,FALSE)</f>
        <v>30</v>
      </c>
      <c r="R176" s="15">
        <f>VLOOKUP(Table2[[#This Row],[Course Title]],'TSD-Data'!$A$1:$F$53,6,FALSE)</f>
        <v>8</v>
      </c>
      <c r="S176" s="15">
        <f>VLOOKUP(Table2[[#This Row],[Course Title]],'TSD-Data'!$A$1:$E$56,5,FALSE)</f>
        <v>1</v>
      </c>
      <c r="T176" s="15">
        <v>30</v>
      </c>
      <c r="U176" s="15"/>
      <c r="V176" s="15"/>
      <c r="W176" s="15"/>
      <c r="X176" s="103"/>
      <c r="Y176" s="15"/>
      <c r="Z176" s="15"/>
      <c r="AA176" s="15"/>
      <c r="AB176" s="99"/>
      <c r="AC176" s="71">
        <f ca="1">Table2[[#This Row],[End Date]]+2-TODAY()</f>
        <v>184</v>
      </c>
      <c r="AD176" s="15">
        <f>IF(ISBLANK(Table2[[#This Row],[Roster Received By]]),1,0)</f>
        <v>1</v>
      </c>
      <c r="AE176" s="15">
        <f ca="1">IF(Table2[[#This Row],[Start Date]]&gt;TODAY(),1,)</f>
        <v>1</v>
      </c>
      <c r="AF176" s="62"/>
    </row>
    <row r="177" spans="1:32" x14ac:dyDescent="0.25">
      <c r="A177" s="62" t="s">
        <v>391</v>
      </c>
      <c r="B177" s="99" t="s">
        <v>31</v>
      </c>
      <c r="C177" s="100" t="str">
        <f>VLOOKUP(Table2[[#This Row],[Course Title]],'TSD-Data'!$A$1:$E$56,2,FALSE)</f>
        <v>A-493-0083</v>
      </c>
      <c r="D177" s="100" t="str">
        <f>VLOOKUP(Table2[[#This Row],[Course Title]],'TSD-Data'!$A$1:$E$56,3,FALSE)</f>
        <v>339E</v>
      </c>
      <c r="E177" s="99" t="s">
        <v>157</v>
      </c>
      <c r="F177" s="102">
        <v>45715</v>
      </c>
      <c r="G177" s="102">
        <v>45715</v>
      </c>
      <c r="H177" s="105">
        <v>0.33333333333333331</v>
      </c>
      <c r="I177" s="226"/>
      <c r="J177" s="226"/>
      <c r="K177" s="226"/>
      <c r="L177" s="226"/>
      <c r="M177" s="226"/>
      <c r="N177" s="226"/>
      <c r="O177" s="15" t="s">
        <v>94</v>
      </c>
      <c r="P177" s="15"/>
      <c r="Q177" s="15">
        <f>VLOOKUP(Table2[[#This Row],[Course Title]],'TSD-Data'!$A$1:$E$56,4,FALSE)</f>
        <v>30</v>
      </c>
      <c r="R177" s="15">
        <f>VLOOKUP(Table2[[#This Row],[Course Title]],'TSD-Data'!$A$1:$F$53,6,FALSE)</f>
        <v>8</v>
      </c>
      <c r="S177" s="15">
        <f>VLOOKUP(Table2[[#This Row],[Course Title]],'TSD-Data'!$A$1:$E$56,5,FALSE)</f>
        <v>1</v>
      </c>
      <c r="T177" s="15">
        <v>62</v>
      </c>
      <c r="U177" s="15"/>
      <c r="V177" s="15"/>
      <c r="W177" s="15"/>
      <c r="X177" s="103"/>
      <c r="Y177" s="15"/>
      <c r="Z177" s="15"/>
      <c r="AA177" s="15"/>
      <c r="AB177" s="99"/>
      <c r="AC177" s="71">
        <f ca="1">Table2[[#This Row],[End Date]]+2-TODAY()</f>
        <v>185</v>
      </c>
      <c r="AD177" s="15">
        <f>IF(ISBLANK(Table2[[#This Row],[Roster Received By]]),1,0)</f>
        <v>1</v>
      </c>
      <c r="AE177" s="15">
        <f ca="1">IF(Table2[[#This Row],[Start Date]]&gt;TODAY(),1,)</f>
        <v>1</v>
      </c>
      <c r="AF177" s="62"/>
    </row>
    <row r="178" spans="1:32" x14ac:dyDescent="0.25">
      <c r="A178" s="62" t="s">
        <v>391</v>
      </c>
      <c r="B178" s="99" t="s">
        <v>34</v>
      </c>
      <c r="C178" s="100" t="str">
        <f>VLOOKUP(Table2[[#This Row],[Course Title]],'TSD-Data'!$A$1:$E$56,2,FALSE)</f>
        <v>A-493-0216</v>
      </c>
      <c r="D178" s="100" t="str">
        <f>VLOOKUP(Table2[[#This Row],[Course Title]],'TSD-Data'!$A$1:$E$56,3,FALSE)</f>
        <v>12X8</v>
      </c>
      <c r="E178" s="99" t="s">
        <v>157</v>
      </c>
      <c r="F178" s="102">
        <v>45715</v>
      </c>
      <c r="G178" s="102">
        <v>45715</v>
      </c>
      <c r="H178" s="105">
        <v>0.33333333333333331</v>
      </c>
      <c r="I178" s="226"/>
      <c r="J178" s="226"/>
      <c r="K178" s="226"/>
      <c r="L178" s="226"/>
      <c r="M178" s="226"/>
      <c r="N178" s="226"/>
      <c r="O178" s="15" t="s">
        <v>94</v>
      </c>
      <c r="P178" s="15"/>
      <c r="Q178" s="15">
        <f>VLOOKUP(Table2[[#This Row],[Course Title]],'TSD-Data'!$A$1:$E$56,4,FALSE)</f>
        <v>30</v>
      </c>
      <c r="R178" s="15">
        <f>VLOOKUP(Table2[[#This Row],[Course Title]],'TSD-Data'!$A$1:$F$53,6,FALSE)</f>
        <v>8</v>
      </c>
      <c r="S178" s="15">
        <f>VLOOKUP(Table2[[#This Row],[Course Title]],'TSD-Data'!$A$1:$E$56,5,FALSE)</f>
        <v>1</v>
      </c>
      <c r="T178" s="15">
        <v>30</v>
      </c>
      <c r="U178" s="15"/>
      <c r="V178" s="15"/>
      <c r="W178" s="15"/>
      <c r="X178" s="103"/>
      <c r="Y178" s="15"/>
      <c r="Z178" s="15"/>
      <c r="AA178" s="15"/>
      <c r="AB178" s="99"/>
      <c r="AC178" s="71">
        <f ca="1">Table2[[#This Row],[End Date]]+2-TODAY()</f>
        <v>185</v>
      </c>
      <c r="AD178" s="15">
        <f>IF(ISBLANK(Table2[[#This Row],[Roster Received By]]),1,0)</f>
        <v>1</v>
      </c>
      <c r="AE178" s="15">
        <f ca="1">IF(Table2[[#This Row],[Start Date]]&gt;TODAY(),1,)</f>
        <v>1</v>
      </c>
      <c r="AF178" s="62"/>
    </row>
    <row r="179" spans="1:32" x14ac:dyDescent="0.25">
      <c r="A179" s="62" t="s">
        <v>391</v>
      </c>
      <c r="B179" s="99" t="s">
        <v>31</v>
      </c>
      <c r="C179" s="100" t="str">
        <f>VLOOKUP(Table2[[#This Row],[Course Title]],'TSD-Data'!$A$1:$E$56,2,FALSE)</f>
        <v>A-493-0083</v>
      </c>
      <c r="D179" s="100" t="str">
        <f>VLOOKUP(Table2[[#This Row],[Course Title]],'TSD-Data'!$A$1:$E$56,3,FALSE)</f>
        <v>339E</v>
      </c>
      <c r="E179" s="99" t="s">
        <v>157</v>
      </c>
      <c r="F179" s="102">
        <v>45716</v>
      </c>
      <c r="G179" s="102">
        <v>45716</v>
      </c>
      <c r="H179" s="105">
        <v>0.33333333333333331</v>
      </c>
      <c r="I179" s="226"/>
      <c r="J179" s="226"/>
      <c r="K179" s="226"/>
      <c r="L179" s="226"/>
      <c r="M179" s="226"/>
      <c r="N179" s="226"/>
      <c r="O179" s="15" t="s">
        <v>94</v>
      </c>
      <c r="P179" s="15"/>
      <c r="Q179" s="15">
        <f>VLOOKUP(Table2[[#This Row],[Course Title]],'TSD-Data'!$A$1:$E$56,4,FALSE)</f>
        <v>30</v>
      </c>
      <c r="R179" s="15">
        <f>VLOOKUP(Table2[[#This Row],[Course Title]],'TSD-Data'!$A$1:$F$53,6,FALSE)</f>
        <v>8</v>
      </c>
      <c r="S179" s="15">
        <f>VLOOKUP(Table2[[#This Row],[Course Title]],'TSD-Data'!$A$1:$E$56,5,FALSE)</f>
        <v>1</v>
      </c>
      <c r="T179" s="15">
        <v>62</v>
      </c>
      <c r="U179" s="15"/>
      <c r="V179" s="15"/>
      <c r="W179" s="15"/>
      <c r="X179" s="103"/>
      <c r="Y179" s="15"/>
      <c r="Z179" s="15"/>
      <c r="AA179" s="15"/>
      <c r="AB179" s="99"/>
      <c r="AC179" s="71">
        <f ca="1">Table2[[#This Row],[End Date]]+2-TODAY()</f>
        <v>186</v>
      </c>
      <c r="AD179" s="15">
        <f>IF(ISBLANK(Table2[[#This Row],[Roster Received By]]),1,0)</f>
        <v>1</v>
      </c>
      <c r="AE179" s="15">
        <f ca="1">IF(Table2[[#This Row],[Start Date]]&gt;TODAY(),1,)</f>
        <v>1</v>
      </c>
      <c r="AF179" s="62"/>
    </row>
    <row r="180" spans="1:32" x14ac:dyDescent="0.25">
      <c r="A180" s="62" t="s">
        <v>391</v>
      </c>
      <c r="B180" s="99" t="s">
        <v>35</v>
      </c>
      <c r="C180" s="100" t="str">
        <f>VLOOKUP(Table2[[#This Row],[Course Title]],'TSD-Data'!$A$1:$E$56,2,FALSE)</f>
        <v>A-493-2501</v>
      </c>
      <c r="D180" s="100" t="str">
        <f>VLOOKUP(Table2[[#This Row],[Course Title]],'TSD-Data'!$A$1:$E$56,3,FALSE)</f>
        <v>05ZE</v>
      </c>
      <c r="E180" s="99" t="s">
        <v>157</v>
      </c>
      <c r="F180" s="67">
        <v>45716</v>
      </c>
      <c r="G180" s="102">
        <v>45716</v>
      </c>
      <c r="H180" s="105">
        <v>0.33333333333333331</v>
      </c>
      <c r="I180" s="226"/>
      <c r="J180" s="226"/>
      <c r="K180" s="226"/>
      <c r="L180" s="226"/>
      <c r="M180" s="226"/>
      <c r="N180" s="226"/>
      <c r="O180" s="15" t="s">
        <v>94</v>
      </c>
      <c r="P180" s="15"/>
      <c r="Q180" s="15">
        <f>VLOOKUP(Table2[[#This Row],[Course Title]],'TSD-Data'!$A$1:$E$56,4,FALSE)</f>
        <v>30</v>
      </c>
      <c r="R180" s="15">
        <f>VLOOKUP(Table2[[#This Row],[Course Title]],'TSD-Data'!$A$1:$F$53,6,FALSE)</f>
        <v>8</v>
      </c>
      <c r="S180" s="15">
        <f>VLOOKUP(Table2[[#This Row],[Course Title]],'TSD-Data'!$A$1:$E$56,5,FALSE)</f>
        <v>1</v>
      </c>
      <c r="T180" s="15">
        <v>20</v>
      </c>
      <c r="U180" s="15"/>
      <c r="V180" s="15"/>
      <c r="W180" s="15"/>
      <c r="X180" s="103"/>
      <c r="Y180" s="15"/>
      <c r="Z180" s="15"/>
      <c r="AA180" s="15"/>
      <c r="AB180" s="99"/>
      <c r="AC180" s="71">
        <f ca="1">Table2[[#This Row],[End Date]]+2-TODAY()</f>
        <v>186</v>
      </c>
      <c r="AD180" s="15">
        <f>IF(ISBLANK(Table2[[#This Row],[Roster Received By]]),1,0)</f>
        <v>1</v>
      </c>
      <c r="AE180" s="15">
        <f ca="1">IF(Table2[[#This Row],[Start Date]]&gt;TODAY(),1,)</f>
        <v>1</v>
      </c>
      <c r="AF180" s="62"/>
    </row>
    <row r="181" spans="1:32" x14ac:dyDescent="0.25">
      <c r="A181" s="62"/>
      <c r="B181" s="99" t="s">
        <v>55</v>
      </c>
      <c r="C181" s="100" t="str">
        <f>VLOOKUP(Table2[[#This Row],[Course Title]],'TSD-Data'!$A$1:$E$56,2,FALSE)</f>
        <v>A-493-0103</v>
      </c>
      <c r="D181" s="100" t="str">
        <f>VLOOKUP(Table2[[#This Row],[Course Title]],'TSD-Data'!$A$1:$E$56,3,FALSE)</f>
        <v>12JY</v>
      </c>
      <c r="E181" s="99" t="s">
        <v>267</v>
      </c>
      <c r="F181" s="102">
        <v>45719</v>
      </c>
      <c r="G181" s="102">
        <v>45723</v>
      </c>
      <c r="H181" s="105">
        <v>0.33333333333333331</v>
      </c>
      <c r="I181" s="105"/>
      <c r="J181" s="226"/>
      <c r="K181" s="226"/>
      <c r="L181" s="226"/>
      <c r="M181" s="226"/>
      <c r="N181" s="226"/>
      <c r="O181" s="15" t="s">
        <v>160</v>
      </c>
      <c r="P181" s="15"/>
      <c r="Q181" s="15">
        <f>VLOOKUP(Table2[[#This Row],[Course Title]],'TSD-Data'!$A$1:$E$56,4,FALSE)</f>
        <v>25</v>
      </c>
      <c r="R181" s="15">
        <f>VLOOKUP(Table2[[#This Row],[Course Title]],'TSD-Data'!$A$1:$F$53,6,FALSE)</f>
        <v>40</v>
      </c>
      <c r="S181" s="15">
        <f>VLOOKUP(Table2[[#This Row],[Course Title]],'TSD-Data'!$A$1:$E$56,5,FALSE)</f>
        <v>5</v>
      </c>
      <c r="T181" s="15">
        <v>332</v>
      </c>
      <c r="U181" s="15"/>
      <c r="V181" s="15"/>
      <c r="W181" s="103"/>
      <c r="X181" s="103"/>
      <c r="Y181" s="15"/>
      <c r="Z181" s="15"/>
      <c r="AA181" s="15"/>
      <c r="AB181" s="99"/>
      <c r="AC181" s="71">
        <f ca="1">Table2[[#This Row],[End Date]]+2-TODAY()</f>
        <v>193</v>
      </c>
      <c r="AD181" s="15">
        <f>IF(ISBLANK(Table2[[#This Row],[Roster Received By]]),1,0)</f>
        <v>1</v>
      </c>
      <c r="AE181" s="15">
        <f ca="1">IF(Table2[[#This Row],[Start Date]]&gt;TODAY(),1,)</f>
        <v>1</v>
      </c>
      <c r="AF181" s="62"/>
    </row>
    <row r="182" spans="1:32" x14ac:dyDescent="0.25">
      <c r="A182" s="62"/>
      <c r="B182" s="99" t="s">
        <v>55</v>
      </c>
      <c r="C182" s="100" t="str">
        <f>VLOOKUP(Table2[[#This Row],[Course Title]],'TSD-Data'!$A$1:$E$56,2,FALSE)</f>
        <v>A-493-0103</v>
      </c>
      <c r="D182" s="100" t="str">
        <f>VLOOKUP(Table2[[#This Row],[Course Title]],'TSD-Data'!$A$1:$E$56,3,FALSE)</f>
        <v>12JY</v>
      </c>
      <c r="E182" s="99" t="s">
        <v>309</v>
      </c>
      <c r="F182" s="102">
        <v>45719</v>
      </c>
      <c r="G182" s="102">
        <v>45723</v>
      </c>
      <c r="H182" s="105">
        <v>0.33333333333333331</v>
      </c>
      <c r="I182" s="108"/>
      <c r="J182" s="108"/>
      <c r="K182" s="108"/>
      <c r="L182" s="108"/>
      <c r="M182" s="108"/>
      <c r="N182" s="108"/>
      <c r="O182" s="15" t="s">
        <v>160</v>
      </c>
      <c r="P182" s="15"/>
      <c r="Q182" s="15">
        <f>VLOOKUP(Table2[[#This Row],[Course Title]],'TSD-Data'!$A$1:$E$56,4,FALSE)</f>
        <v>25</v>
      </c>
      <c r="R182" s="15">
        <f>VLOOKUP(Table2[[#This Row],[Course Title]],'TSD-Data'!$A$1:$F$53,6,FALSE)</f>
        <v>40</v>
      </c>
      <c r="S182" s="15">
        <f>VLOOKUP(Table2[[#This Row],[Course Title]],'TSD-Data'!$A$1:$E$56,5,FALSE)</f>
        <v>5</v>
      </c>
      <c r="T182" s="15">
        <v>65</v>
      </c>
      <c r="U182" s="15"/>
      <c r="V182" s="15"/>
      <c r="W182" s="15"/>
      <c r="X182" s="103"/>
      <c r="Y182" s="15"/>
      <c r="Z182" s="15"/>
      <c r="AA182" s="15"/>
      <c r="AB182" s="99"/>
      <c r="AC182" s="71">
        <f ca="1">Table2[[#This Row],[End Date]]+2-TODAY()</f>
        <v>193</v>
      </c>
      <c r="AD182" s="15">
        <f>IF(ISBLANK(Table2[[#This Row],[Roster Received By]]),1,0)</f>
        <v>1</v>
      </c>
      <c r="AE182" s="15">
        <f ca="1">IF(Table2[[#This Row],[Start Date]]&gt;TODAY(),1,)</f>
        <v>1</v>
      </c>
      <c r="AF182" s="62"/>
    </row>
    <row r="183" spans="1:32" x14ac:dyDescent="0.25">
      <c r="A183" s="62"/>
      <c r="B183" s="99" t="s">
        <v>58</v>
      </c>
      <c r="C183" s="100" t="str">
        <f>VLOOKUP(Table2[[#This Row],[Course Title]],'TSD-Data'!$A$1:$E$56,2,FALSE)</f>
        <v xml:space="preserve">A-493-0075 </v>
      </c>
      <c r="D183" s="100" t="str">
        <f>VLOOKUP(Table2[[#This Row],[Course Title]],'TSD-Data'!$A$1:$E$56,3,FALSE)</f>
        <v>714U</v>
      </c>
      <c r="E183" s="99" t="s">
        <v>306</v>
      </c>
      <c r="F183" s="102">
        <v>45719</v>
      </c>
      <c r="G183" s="102">
        <v>45722</v>
      </c>
      <c r="H183" s="105">
        <v>0.33333333333333331</v>
      </c>
      <c r="I183" s="108"/>
      <c r="J183" s="108"/>
      <c r="K183" s="230"/>
      <c r="L183" s="230"/>
      <c r="M183" s="230"/>
      <c r="N183" s="230"/>
      <c r="O183" s="15" t="s">
        <v>160</v>
      </c>
      <c r="P183" s="15"/>
      <c r="Q183" s="15">
        <f>VLOOKUP(Table2[[#This Row],[Course Title]],'TSD-Data'!$A$1:$E$56,4,FALSE)</f>
        <v>30</v>
      </c>
      <c r="R183" s="15">
        <f>VLOOKUP(Table2[[#This Row],[Course Title]],'TSD-Data'!$A$1:$F$53,6,FALSE)</f>
        <v>32</v>
      </c>
      <c r="S183" s="15">
        <f>VLOOKUP(Table2[[#This Row],[Course Title]],'TSD-Data'!$A$1:$E$56,5,FALSE)</f>
        <v>4</v>
      </c>
      <c r="T183" s="15">
        <v>2</v>
      </c>
      <c r="U183" s="15"/>
      <c r="V183" s="15"/>
      <c r="W183" s="15"/>
      <c r="X183" s="103"/>
      <c r="Y183" s="15"/>
      <c r="Z183" s="15"/>
      <c r="AA183" s="15"/>
      <c r="AB183" s="99"/>
      <c r="AC183" s="71">
        <f ca="1">Table2[[#This Row],[End Date]]+2-TODAY()</f>
        <v>192</v>
      </c>
      <c r="AD183" s="15">
        <f>IF(ISBLANK(Table2[[#This Row],[Roster Received By]]),1,0)</f>
        <v>1</v>
      </c>
      <c r="AE183" s="15">
        <f ca="1">IF(Table2[[#This Row],[Start Date]]&gt;TODAY(),1,)</f>
        <v>1</v>
      </c>
      <c r="AF183" s="62"/>
    </row>
    <row r="184" spans="1:32" x14ac:dyDescent="0.25">
      <c r="A184" s="62"/>
      <c r="B184" s="99" t="s">
        <v>38</v>
      </c>
      <c r="C184" s="100" t="str">
        <f>VLOOKUP(Table2[[#This Row],[Course Title]],'TSD-Data'!$A$1:$E$56,2,FALSE)</f>
        <v>A-493-0061</v>
      </c>
      <c r="D184" s="100" t="str">
        <f>VLOOKUP(Table2[[#This Row],[Course Title]],'TSD-Data'!$A$1:$E$56,3,FALSE)</f>
        <v>288E</v>
      </c>
      <c r="E184" s="99" t="s">
        <v>80</v>
      </c>
      <c r="F184" s="110">
        <v>45719</v>
      </c>
      <c r="G184" s="110">
        <v>45722</v>
      </c>
      <c r="H184" s="105"/>
      <c r="I184" s="105">
        <v>0.45833333333333331</v>
      </c>
      <c r="J184" s="105">
        <v>0.33333333333333331</v>
      </c>
      <c r="K184" s="105">
        <v>0.79166666666666663</v>
      </c>
      <c r="L184" s="105">
        <v>0.70833333333333337</v>
      </c>
      <c r="M184" s="105">
        <v>0.25</v>
      </c>
      <c r="N184" s="105">
        <v>4.1666666666666664E-2</v>
      </c>
      <c r="O184" s="15" t="s">
        <v>138</v>
      </c>
      <c r="P184" s="15"/>
      <c r="Q184" s="15">
        <f>VLOOKUP(Table2[[#This Row],[Course Title]],'TSD-Data'!$A$1:$E$56,4,FALSE)</f>
        <v>45</v>
      </c>
      <c r="R184" s="15">
        <f>VLOOKUP(Table2[[#This Row],[Course Title]],'TSD-Data'!$A$1:$F$53,6,FALSE)</f>
        <v>30</v>
      </c>
      <c r="S184" s="15">
        <f>VLOOKUP(Table2[[#This Row],[Course Title]],'TSD-Data'!$A$1:$E$56,5,FALSE)</f>
        <v>4</v>
      </c>
      <c r="T184" s="15">
        <v>533</v>
      </c>
      <c r="U184" s="15"/>
      <c r="V184" s="15"/>
      <c r="W184" s="15"/>
      <c r="X184" s="103"/>
      <c r="Y184" s="15"/>
      <c r="Z184" s="15"/>
      <c r="AA184" s="15"/>
      <c r="AB184" s="99"/>
      <c r="AC184" s="71">
        <f ca="1">Table2[[#This Row],[End Date]]+2-TODAY()</f>
        <v>192</v>
      </c>
      <c r="AD184" s="15">
        <f>IF(ISBLANK(Table2[[#This Row],[Roster Received By]]),1,0)</f>
        <v>1</v>
      </c>
      <c r="AE184" s="15">
        <f ca="1">IF(Table2[[#This Row],[Start Date]]&gt;TODAY(),1,)</f>
        <v>1</v>
      </c>
      <c r="AF184" s="62"/>
    </row>
    <row r="185" spans="1:32" x14ac:dyDescent="0.25">
      <c r="A185" s="62"/>
      <c r="B185" s="99" t="s">
        <v>29</v>
      </c>
      <c r="C185" s="100" t="str">
        <f>VLOOKUP(Table2[[#This Row],[Course Title]],'TSD-Data'!$A$1:$E$56,2,FALSE)</f>
        <v>A-493-0077</v>
      </c>
      <c r="D185" s="100" t="str">
        <f>VLOOKUP(Table2[[#This Row],[Course Title]],'TSD-Data'!$A$1:$E$56,3,FALSE)</f>
        <v>0381</v>
      </c>
      <c r="E185" s="99" t="s">
        <v>153</v>
      </c>
      <c r="F185" s="110">
        <v>45719</v>
      </c>
      <c r="G185" s="110">
        <v>45721</v>
      </c>
      <c r="H185" s="105">
        <v>0.33333333333333331</v>
      </c>
      <c r="I185" s="108"/>
      <c r="J185" s="108"/>
      <c r="K185" s="108"/>
      <c r="L185" s="108"/>
      <c r="M185" s="108"/>
      <c r="N185" s="108"/>
      <c r="O185" s="15" t="s">
        <v>94</v>
      </c>
      <c r="P185" s="15"/>
      <c r="Q185" s="15">
        <f>VLOOKUP(Table2[[#This Row],[Course Title]],'TSD-Data'!$A$1:$E$56,4,FALSE)</f>
        <v>25</v>
      </c>
      <c r="R185" s="15">
        <f>VLOOKUP(Table2[[#This Row],[Course Title]],'TSD-Data'!$A$1:$F$53,6,FALSE)</f>
        <v>24</v>
      </c>
      <c r="S185" s="15">
        <f>VLOOKUP(Table2[[#This Row],[Course Title]],'TSD-Data'!$A$1:$E$56,5,FALSE)</f>
        <v>3</v>
      </c>
      <c r="T185" s="15">
        <v>33</v>
      </c>
      <c r="U185" s="15"/>
      <c r="V185" s="15"/>
      <c r="W185" s="15"/>
      <c r="X185" s="103"/>
      <c r="Y185" s="15"/>
      <c r="Z185" s="15"/>
      <c r="AA185" s="15"/>
      <c r="AB185" s="99"/>
      <c r="AC185" s="71">
        <f ca="1">Table2[[#This Row],[End Date]]+2-TODAY()</f>
        <v>191</v>
      </c>
      <c r="AD185" s="15">
        <f>IF(ISBLANK(Table2[[#This Row],[Roster Received By]]),1,0)</f>
        <v>1</v>
      </c>
      <c r="AE185" s="15">
        <f ca="1">IF(Table2[[#This Row],[Start Date]]&gt;TODAY(),1,)</f>
        <v>1</v>
      </c>
      <c r="AF185" s="62"/>
    </row>
    <row r="186" spans="1:32" x14ac:dyDescent="0.25">
      <c r="A186" s="100"/>
      <c r="B186" s="99" t="s">
        <v>39</v>
      </c>
      <c r="C186" s="100" t="str">
        <f>VLOOKUP(Table2[[#This Row],[Course Title]],'TSD-Data'!$A$1:$E$56,2,FALSE)</f>
        <v>A-570-0100</v>
      </c>
      <c r="D186" s="100" t="str">
        <f>VLOOKUP(Table2[[#This Row],[Course Title]],'TSD-Data'!$A$1:$E$56,3,FALSE)</f>
        <v>18B7</v>
      </c>
      <c r="E186" s="99" t="s">
        <v>80</v>
      </c>
      <c r="F186" s="110">
        <v>45719</v>
      </c>
      <c r="G186" s="110">
        <v>45722</v>
      </c>
      <c r="H186" s="105"/>
      <c r="I186" s="105">
        <v>0.54166666666666663</v>
      </c>
      <c r="J186" s="101">
        <v>0.41666666666666669</v>
      </c>
      <c r="K186" s="101">
        <v>0.875</v>
      </c>
      <c r="L186" s="101">
        <v>0.79166666666666663</v>
      </c>
      <c r="M186" s="101">
        <v>0.33333333333333331</v>
      </c>
      <c r="N186" s="101">
        <v>0.125</v>
      </c>
      <c r="O186" s="15" t="s">
        <v>79</v>
      </c>
      <c r="P186" s="15"/>
      <c r="Q186" s="15">
        <f>VLOOKUP(Table2[[#This Row],[Course Title]],'TSD-Data'!$A$1:$E$56,4,FALSE)</f>
        <v>45</v>
      </c>
      <c r="R186" s="15">
        <f>VLOOKUP(Table2[[#This Row],[Course Title]],'TSD-Data'!$A$1:$F$53,6,FALSE)</f>
        <v>16</v>
      </c>
      <c r="S186" s="15">
        <f>VLOOKUP(Table2[[#This Row],[Course Title]],'TSD-Data'!$A$1:$E$56,5,FALSE)</f>
        <v>2</v>
      </c>
      <c r="T186" s="15">
        <v>621</v>
      </c>
      <c r="U186" s="15"/>
      <c r="V186" s="15"/>
      <c r="W186" s="104"/>
      <c r="X186" s="104"/>
      <c r="Y186" s="100"/>
      <c r="Z186" s="100"/>
      <c r="AA186" s="104"/>
      <c r="AB186" s="99"/>
      <c r="AC186" s="71">
        <f ca="1">Table2[[#This Row],[End Date]]+2-TODAY()</f>
        <v>192</v>
      </c>
      <c r="AD186" s="15">
        <f>IF(ISBLANK(Table2[[#This Row],[Roster Received By]]),1,0)</f>
        <v>1</v>
      </c>
      <c r="AE186" s="15">
        <f ca="1">IF(Table2[[#This Row],[Start Date]]&gt;TODAY(),1,)</f>
        <v>1</v>
      </c>
      <c r="AF186" s="62"/>
    </row>
    <row r="187" spans="1:32" x14ac:dyDescent="0.25">
      <c r="A187" s="62" t="s">
        <v>393</v>
      </c>
      <c r="B187" s="99" t="s">
        <v>53</v>
      </c>
      <c r="C187" s="100" t="str">
        <f>VLOOKUP(Table2[[#This Row],[Course Title]],'TSD-Data'!$A$1:$E$56,2,FALSE)</f>
        <v>A-493-0072</v>
      </c>
      <c r="D187" s="100" t="str">
        <f>VLOOKUP(Table2[[#This Row],[Course Title]],'TSD-Data'!$A$1:$E$56,3,FALSE)</f>
        <v>713U</v>
      </c>
      <c r="E187" s="99" t="s">
        <v>266</v>
      </c>
      <c r="F187" s="376">
        <v>45719</v>
      </c>
      <c r="G187" s="376">
        <v>45723</v>
      </c>
      <c r="H187" s="105">
        <v>0.33333333333333331</v>
      </c>
      <c r="I187" s="101"/>
      <c r="J187" s="101"/>
      <c r="K187" s="101"/>
      <c r="L187" s="101"/>
      <c r="M187" s="101"/>
      <c r="N187" s="101"/>
      <c r="O187" s="15" t="s">
        <v>394</v>
      </c>
      <c r="P187" s="15"/>
      <c r="Q187" s="15">
        <f>VLOOKUP(Table2[[#This Row],[Course Title]],'TSD-Data'!$A$1:$E$56,4,FALSE)</f>
        <v>30</v>
      </c>
      <c r="R187" s="15">
        <f>VLOOKUP(Table2[[#This Row],[Course Title]],'TSD-Data'!$A$1:$F$53,6,FALSE)</f>
        <v>40</v>
      </c>
      <c r="S187" s="15">
        <f>VLOOKUP(Table2[[#This Row],[Course Title]],'TSD-Data'!$A$1:$E$56,5,FALSE)</f>
        <v>5</v>
      </c>
      <c r="T187" s="15"/>
      <c r="U187" s="15"/>
      <c r="V187" s="15"/>
      <c r="W187" s="15"/>
      <c r="X187" s="103"/>
      <c r="Y187" s="15"/>
      <c r="Z187" s="15"/>
      <c r="AA187" s="15"/>
      <c r="AB187" s="99"/>
      <c r="AC187" s="71">
        <f ca="1">Table2[[#This Row],[End Date]]+2-TODAY()</f>
        <v>193</v>
      </c>
      <c r="AD187" s="15">
        <f>IF(ISBLANK(Table2[[#This Row],[Roster Received By]]),1,0)</f>
        <v>1</v>
      </c>
      <c r="AE187" s="15">
        <f ca="1">IF(Table2[[#This Row],[Start Date]]&gt;TODAY(),1,)</f>
        <v>1</v>
      </c>
      <c r="AF187" s="62"/>
    </row>
    <row r="188" spans="1:32" x14ac:dyDescent="0.25">
      <c r="A188" s="100"/>
      <c r="B188" s="99" t="s">
        <v>40</v>
      </c>
      <c r="C188" s="100" t="str">
        <f>VLOOKUP(Table2[[#This Row],[Course Title]],'TSD-Data'!$A$1:$E$56,2,FALSE)</f>
        <v>A-493-2098</v>
      </c>
      <c r="D188" s="100" t="str">
        <f>VLOOKUP(Table2[[#This Row],[Course Title]],'TSD-Data'!$A$1:$E$56,3,FALSE)</f>
        <v>09WW</v>
      </c>
      <c r="E188" s="99" t="s">
        <v>80</v>
      </c>
      <c r="F188" s="102">
        <v>45719</v>
      </c>
      <c r="G188" s="102">
        <v>45723</v>
      </c>
      <c r="H188" s="105"/>
      <c r="I188" s="105">
        <v>0.54166666666666663</v>
      </c>
      <c r="J188" s="101">
        <v>0.41666666666666669</v>
      </c>
      <c r="K188" s="101">
        <v>0.875</v>
      </c>
      <c r="L188" s="101">
        <v>0.79166666666666663</v>
      </c>
      <c r="M188" s="101">
        <v>0.33333333333333331</v>
      </c>
      <c r="N188" s="101">
        <v>0.125</v>
      </c>
      <c r="O188" s="15" t="s">
        <v>110</v>
      </c>
      <c r="P188" s="15"/>
      <c r="Q188" s="15">
        <f>VLOOKUP(Table2[[#This Row],[Course Title]],'TSD-Data'!$A$1:$E$56,4,FALSE)</f>
        <v>100</v>
      </c>
      <c r="R188" s="15">
        <f>VLOOKUP(Table2[[#This Row],[Course Title]],'TSD-Data'!$A$1:$F$53,6,FALSE)</f>
        <v>16</v>
      </c>
      <c r="S188" s="15">
        <f>VLOOKUP(Table2[[#This Row],[Course Title]],'TSD-Data'!$A$1:$E$56,5,FALSE)</f>
        <v>2</v>
      </c>
      <c r="T188" s="15">
        <v>1432</v>
      </c>
      <c r="U188" s="15"/>
      <c r="V188" s="15"/>
      <c r="W188" s="104"/>
      <c r="X188" s="104"/>
      <c r="Y188" s="100"/>
      <c r="Z188" s="100"/>
      <c r="AA188" s="104"/>
      <c r="AB188" s="99"/>
      <c r="AC188" s="71">
        <f ca="1">Table2[[#This Row],[End Date]]+2-TODAY()</f>
        <v>193</v>
      </c>
      <c r="AD188" s="15">
        <f>IF(ISBLANK(Table2[[#This Row],[Roster Received By]]),1,0)</f>
        <v>1</v>
      </c>
      <c r="AE188" s="15">
        <f ca="1">IF(Table2[[#This Row],[Start Date]]&gt;TODAY(),1,)</f>
        <v>1</v>
      </c>
      <c r="AF188" s="62"/>
    </row>
    <row r="189" spans="1:32" x14ac:dyDescent="0.25">
      <c r="A189" s="100"/>
      <c r="B189" s="99" t="s">
        <v>57</v>
      </c>
      <c r="C189" s="100" t="str">
        <f>VLOOKUP(Table2[[#This Row],[Course Title]],'TSD-Data'!$A$1:$E$56,2,FALSE)</f>
        <v>A-493-0099</v>
      </c>
      <c r="D189" s="100" t="str">
        <f>VLOOKUP(Table2[[#This Row],[Course Title]],'TSD-Data'!$A$1:$E$56,3,FALSE)</f>
        <v>12JW</v>
      </c>
      <c r="E189" s="99" t="s">
        <v>80</v>
      </c>
      <c r="F189" s="110">
        <v>45720</v>
      </c>
      <c r="G189" s="110">
        <v>45722</v>
      </c>
      <c r="H189" s="105"/>
      <c r="I189" s="105">
        <v>0.45833333333333331</v>
      </c>
      <c r="J189" s="105">
        <v>0.33333333333333331</v>
      </c>
      <c r="K189" s="105">
        <v>0.79166666666666663</v>
      </c>
      <c r="L189" s="105">
        <v>0.70833333333333337</v>
      </c>
      <c r="M189" s="105">
        <v>0.25</v>
      </c>
      <c r="N189" s="105">
        <v>4.1666666666666664E-2</v>
      </c>
      <c r="O189" s="15" t="s">
        <v>145</v>
      </c>
      <c r="P189" s="15"/>
      <c r="Q189" s="103">
        <f>VLOOKUP(Table2[[#This Row],[Course Title]],'TSD-Data'!$A$1:$E$56,4,FALSE)</f>
        <v>45</v>
      </c>
      <c r="R189" s="15">
        <f>VLOOKUP(Table2[[#This Row],[Course Title]],'TSD-Data'!$A$1:$F$53,6,FALSE)</f>
        <v>24</v>
      </c>
      <c r="S189" s="15">
        <f>VLOOKUP(Table2[[#This Row],[Course Title]],'TSD-Data'!$A$1:$E$56,5,FALSE)</f>
        <v>3</v>
      </c>
      <c r="T189" s="15">
        <v>718</v>
      </c>
      <c r="U189" s="15"/>
      <c r="V189" s="15"/>
      <c r="W189" s="104"/>
      <c r="X189" s="104"/>
      <c r="Y189" s="100"/>
      <c r="Z189" s="100"/>
      <c r="AA189" s="104"/>
      <c r="AB189" s="99"/>
      <c r="AC189" s="71">
        <f ca="1">Table2[[#This Row],[End Date]]+2-TODAY()</f>
        <v>192</v>
      </c>
      <c r="AD189" s="15">
        <f>IF(ISBLANK(Table2[[#This Row],[Roster Received By]]),1,0)</f>
        <v>1</v>
      </c>
      <c r="AE189" s="15">
        <f ca="1">IF(Table2[[#This Row],[Start Date]]&gt;TODAY(),1,)</f>
        <v>1</v>
      </c>
      <c r="AF189" s="62"/>
    </row>
    <row r="190" spans="1:32" x14ac:dyDescent="0.25">
      <c r="A190" s="62"/>
      <c r="B190" s="99" t="s">
        <v>50</v>
      </c>
      <c r="C190" s="100" t="str">
        <f>VLOOKUP(Table2[[#This Row],[Course Title]],'TSD-Data'!$A$1:$E$56,2,FALSE)</f>
        <v>A-493-0331</v>
      </c>
      <c r="D190" s="100" t="str">
        <f>VLOOKUP(Table2[[#This Row],[Course Title]],'TSD-Data'!$A$1:$E$56,3,FALSE)</f>
        <v>10UG</v>
      </c>
      <c r="E190" s="99" t="s">
        <v>80</v>
      </c>
      <c r="F190" s="110">
        <v>45720</v>
      </c>
      <c r="G190" s="110">
        <v>45722</v>
      </c>
      <c r="H190" s="102"/>
      <c r="I190" s="101">
        <v>0.5</v>
      </c>
      <c r="J190" s="101">
        <v>0.375</v>
      </c>
      <c r="K190" s="101">
        <v>0.83333333333333337</v>
      </c>
      <c r="L190" s="101">
        <v>0.75</v>
      </c>
      <c r="M190" s="101">
        <v>0.29166666666666669</v>
      </c>
      <c r="N190" s="101">
        <v>8.3333333333333329E-2</v>
      </c>
      <c r="O190" s="15" t="s">
        <v>186</v>
      </c>
      <c r="P190" s="15"/>
      <c r="Q190" s="15">
        <f>VLOOKUP(Table2[[#This Row],[Course Title]],'TSD-Data'!$A$1:$E$56,4,FALSE)</f>
        <v>45</v>
      </c>
      <c r="R190" s="15">
        <f>VLOOKUP(Table2[[#This Row],[Course Title]],'TSD-Data'!$A$1:$F$53,6,FALSE)</f>
        <v>24</v>
      </c>
      <c r="S190" s="15">
        <f>VLOOKUP(Table2[[#This Row],[Course Title]],'TSD-Data'!$A$1:$E$56,5,FALSE)</f>
        <v>3</v>
      </c>
      <c r="T190" s="15">
        <v>805</v>
      </c>
      <c r="U190" s="15"/>
      <c r="V190" s="15"/>
      <c r="W190" s="15"/>
      <c r="X190" s="103"/>
      <c r="Y190" s="15"/>
      <c r="Z190" s="15"/>
      <c r="AA190" s="100"/>
      <c r="AB190" s="99"/>
      <c r="AC190" s="71">
        <f ca="1">Table2[[#This Row],[End Date]]+2-TODAY()</f>
        <v>192</v>
      </c>
      <c r="AD190" s="15">
        <f>IF(ISBLANK(Table2[[#This Row],[Roster Received By]]),1,0)</f>
        <v>1</v>
      </c>
      <c r="AE190" s="15">
        <f ca="1">IF(Table2[[#This Row],[Start Date]]&gt;TODAY(),1,)</f>
        <v>1</v>
      </c>
      <c r="AF190" s="62"/>
    </row>
    <row r="191" spans="1:32" x14ac:dyDescent="0.25">
      <c r="A191" s="62"/>
      <c r="B191" s="99" t="s">
        <v>59</v>
      </c>
      <c r="C191" s="100" t="str">
        <f>VLOOKUP(Table2[[#This Row],[Course Title]],'TSD-Data'!$A$1:$E$56,2,FALSE)</f>
        <v>A-493-0550</v>
      </c>
      <c r="D191" s="100" t="str">
        <f>VLOOKUP(Table2[[#This Row],[Course Title]],'TSD-Data'!$A$1:$E$56,3,FALSE)</f>
        <v>09K5</v>
      </c>
      <c r="E191" s="99" t="s">
        <v>80</v>
      </c>
      <c r="F191" s="110">
        <v>45720</v>
      </c>
      <c r="G191" s="110">
        <v>45723</v>
      </c>
      <c r="H191" s="102"/>
      <c r="I191" s="101">
        <v>0.29166666666666669</v>
      </c>
      <c r="J191" s="105">
        <v>0.16666666666666666</v>
      </c>
      <c r="K191" s="105">
        <v>0.625</v>
      </c>
      <c r="L191" s="105">
        <v>0.54166666666666663</v>
      </c>
      <c r="M191" s="105">
        <v>8.3333333333333329E-2</v>
      </c>
      <c r="N191" s="105">
        <v>0.875</v>
      </c>
      <c r="O191" s="15" t="s">
        <v>145</v>
      </c>
      <c r="P191" s="15"/>
      <c r="Q191" s="15">
        <f>VLOOKUP(Table2[[#This Row],[Course Title]],'TSD-Data'!$A$1:$E$56,4,FALSE)</f>
        <v>45</v>
      </c>
      <c r="R191" s="15">
        <f>VLOOKUP(Table2[[#This Row],[Course Title]],'TSD-Data'!$A$1:$F$53,6,FALSE)</f>
        <v>32</v>
      </c>
      <c r="S191" s="15">
        <f>VLOOKUP(Table2[[#This Row],[Course Title]],'TSD-Data'!$A$1:$E$56,5,FALSE)</f>
        <v>4</v>
      </c>
      <c r="T191" s="15">
        <v>380</v>
      </c>
      <c r="U191" s="15"/>
      <c r="V191" s="15"/>
      <c r="W191" s="15"/>
      <c r="X191" s="103"/>
      <c r="Y191" s="15"/>
      <c r="Z191" s="15"/>
      <c r="AA191" s="100"/>
      <c r="AB191" s="99"/>
      <c r="AC191" s="71">
        <f ca="1">Table2[[#This Row],[End Date]]+2-TODAY()</f>
        <v>193</v>
      </c>
      <c r="AD191" s="15">
        <f>IF(ISBLANK(Table2[[#This Row],[Roster Received By]]),1,0)</f>
        <v>1</v>
      </c>
      <c r="AE191" s="15">
        <f ca="1">IF(Table2[[#This Row],[Start Date]]&gt;TODAY(),1,)</f>
        <v>1</v>
      </c>
      <c r="AF191" s="62"/>
    </row>
    <row r="192" spans="1:32" x14ac:dyDescent="0.25">
      <c r="A192" s="62"/>
      <c r="B192" s="99" t="s">
        <v>31</v>
      </c>
      <c r="C192" s="100" t="str">
        <f>VLOOKUP(Table2[[#This Row],[Course Title]],'TSD-Data'!$A$1:$E$56,2,FALSE)</f>
        <v>A-493-0083</v>
      </c>
      <c r="D192" s="100" t="str">
        <f>VLOOKUP(Table2[[#This Row],[Course Title]],'TSD-Data'!$A$1:$E$56,3,FALSE)</f>
        <v>339E</v>
      </c>
      <c r="E192" s="99" t="s">
        <v>153</v>
      </c>
      <c r="F192" s="110">
        <v>45722</v>
      </c>
      <c r="G192" s="110">
        <v>45722</v>
      </c>
      <c r="H192" s="105">
        <v>0.33333333333333331</v>
      </c>
      <c r="I192" s="108"/>
      <c r="J192" s="108"/>
      <c r="K192" s="108"/>
      <c r="L192" s="108"/>
      <c r="M192" s="108"/>
      <c r="N192" s="108"/>
      <c r="O192" s="15" t="s">
        <v>94</v>
      </c>
      <c r="P192" s="15"/>
      <c r="Q192" s="15">
        <f>VLOOKUP(Table2[[#This Row],[Course Title]],'TSD-Data'!$A$1:$E$56,4,FALSE)</f>
        <v>30</v>
      </c>
      <c r="R192" s="15">
        <f>VLOOKUP(Table2[[#This Row],[Course Title]],'TSD-Data'!$A$1:$F$53,6,FALSE)</f>
        <v>8</v>
      </c>
      <c r="S192" s="15">
        <f>VLOOKUP(Table2[[#This Row],[Course Title]],'TSD-Data'!$A$1:$E$56,5,FALSE)</f>
        <v>1</v>
      </c>
      <c r="T192" s="15">
        <v>33</v>
      </c>
      <c r="U192" s="15"/>
      <c r="V192" s="15"/>
      <c r="W192" s="15"/>
      <c r="X192" s="103"/>
      <c r="Y192" s="15"/>
      <c r="Z192" s="15"/>
      <c r="AA192" s="103"/>
      <c r="AB192" s="99"/>
      <c r="AC192" s="71">
        <f ca="1">Table2[[#This Row],[End Date]]+2-TODAY()</f>
        <v>192</v>
      </c>
      <c r="AD192" s="15">
        <f>IF(ISBLANK(Table2[[#This Row],[Roster Received By]]),1,0)</f>
        <v>1</v>
      </c>
      <c r="AE192" s="15">
        <f ca="1">IF(Table2[[#This Row],[Start Date]]&gt;TODAY(),1,)</f>
        <v>1</v>
      </c>
      <c r="AF192" s="62"/>
    </row>
    <row r="193" spans="1:32" x14ac:dyDescent="0.25">
      <c r="A193" s="62"/>
      <c r="B193" s="99" t="s">
        <v>53</v>
      </c>
      <c r="C193" s="100" t="str">
        <f>VLOOKUP(Table2[[#This Row],[Course Title]],'TSD-Data'!$A$1:$E$56,2,FALSE)</f>
        <v>A-493-0072</v>
      </c>
      <c r="D193" s="100" t="str">
        <f>VLOOKUP(Table2[[#This Row],[Course Title]],'TSD-Data'!$A$1:$E$56,3,FALSE)</f>
        <v>713U</v>
      </c>
      <c r="E193" s="99" t="s">
        <v>221</v>
      </c>
      <c r="F193" s="110">
        <v>45723</v>
      </c>
      <c r="G193" s="110">
        <v>45835</v>
      </c>
      <c r="H193" s="105">
        <v>0.33333333333333331</v>
      </c>
      <c r="I193" s="105"/>
      <c r="J193" s="102"/>
      <c r="K193" s="102"/>
      <c r="L193" s="102"/>
      <c r="M193" s="102"/>
      <c r="N193" s="102"/>
      <c r="O193" s="15" t="s">
        <v>394</v>
      </c>
      <c r="P193" s="15"/>
      <c r="Q193" s="15">
        <f>VLOOKUP(Table2[[#This Row],[Course Title]],'TSD-Data'!$A$1:$E$56,4,FALSE)</f>
        <v>30</v>
      </c>
      <c r="R193" s="15">
        <f>VLOOKUP(Table2[[#This Row],[Course Title]],'TSD-Data'!$A$1:$F$53,6,FALSE)</f>
        <v>40</v>
      </c>
      <c r="S193" s="15">
        <f>VLOOKUP(Table2[[#This Row],[Course Title]],'TSD-Data'!$A$1:$E$56,5,FALSE)</f>
        <v>5</v>
      </c>
      <c r="T193" s="15"/>
      <c r="U193" s="15"/>
      <c r="V193" s="15"/>
      <c r="W193" s="15"/>
      <c r="X193" s="103"/>
      <c r="Y193" s="15"/>
      <c r="Z193" s="15"/>
      <c r="AA193" s="15"/>
      <c r="AB193" s="99"/>
      <c r="AC193" s="71">
        <f ca="1">Table2[[#This Row],[End Date]]+2-TODAY()</f>
        <v>305</v>
      </c>
      <c r="AD193" s="15">
        <f>IF(ISBLANK(Table2[[#This Row],[Roster Received By]]),1,0)</f>
        <v>1</v>
      </c>
      <c r="AE193" s="15">
        <f ca="1">IF(Table2[[#This Row],[Start Date]]&gt;TODAY(),1,)</f>
        <v>1</v>
      </c>
      <c r="AF193" s="62"/>
    </row>
    <row r="194" spans="1:32" x14ac:dyDescent="0.25">
      <c r="A194" s="99"/>
      <c r="B194" s="99" t="s">
        <v>165</v>
      </c>
      <c r="C194" s="100" t="str">
        <f>VLOOKUP(Table2[[#This Row],[Course Title]],'TSD-Data'!$A$1:$E$56,2,FALSE)</f>
        <v>A-322-2604</v>
      </c>
      <c r="D194" s="100" t="str">
        <f>VLOOKUP(Table2[[#This Row],[Course Title]],'TSD-Data'!$A$1:$E$56,3,FALSE)</f>
        <v>10ZZ</v>
      </c>
      <c r="E194" s="99" t="s">
        <v>80</v>
      </c>
      <c r="F194" s="110">
        <v>45726</v>
      </c>
      <c r="G194" s="110">
        <v>45730</v>
      </c>
      <c r="H194" s="102"/>
      <c r="I194" s="101">
        <v>0.54166666666666663</v>
      </c>
      <c r="J194" s="101">
        <v>0.41666666666666669</v>
      </c>
      <c r="K194" s="101">
        <v>0.83333333333333337</v>
      </c>
      <c r="L194" s="101">
        <v>0.75</v>
      </c>
      <c r="M194" s="101">
        <v>0.29166666666666669</v>
      </c>
      <c r="N194" s="101">
        <v>8.3333333333333329E-2</v>
      </c>
      <c r="O194" s="15" t="s">
        <v>124</v>
      </c>
      <c r="P194" s="15"/>
      <c r="Q194" s="15">
        <f>VLOOKUP(Table2[[#This Row],[Course Title]],'TSD-Data'!$A$1:$E$56,4,FALSE)</f>
        <v>45</v>
      </c>
      <c r="R194" s="15">
        <f>VLOOKUP(Table2[[#This Row],[Course Title]],'TSD-Data'!$A$1:$F$53,6,FALSE)</f>
        <v>24</v>
      </c>
      <c r="S194" s="15">
        <f>VLOOKUP(Table2[[#This Row],[Course Title]],'TSD-Data'!$A$1:$E$56,5,FALSE)</f>
        <v>3</v>
      </c>
      <c r="T194" s="15">
        <v>634</v>
      </c>
      <c r="U194" s="15"/>
      <c r="V194" s="15"/>
      <c r="W194" s="15"/>
      <c r="X194" s="103"/>
      <c r="Y194" s="15"/>
      <c r="Z194" s="15"/>
      <c r="AA194" s="100"/>
      <c r="AB194" s="99"/>
      <c r="AC194" s="71">
        <f ca="1">Table2[[#This Row],[End Date]]+2-TODAY()</f>
        <v>200</v>
      </c>
      <c r="AD194" s="15">
        <f>IF(ISBLANK(Table2[[#This Row],[Roster Received By]]),1,0)</f>
        <v>1</v>
      </c>
      <c r="AE194" s="15">
        <f ca="1">IF(Table2[[#This Row],[Start Date]]&gt;TODAY(),1,)</f>
        <v>1</v>
      </c>
      <c r="AF194" s="62"/>
    </row>
    <row r="195" spans="1:32" x14ac:dyDescent="0.25">
      <c r="A195" s="62"/>
      <c r="B195" s="99" t="s">
        <v>32</v>
      </c>
      <c r="C195" s="100" t="str">
        <f>VLOOKUP(Table2[[#This Row],[Course Title]],'TSD-Data'!$A$1:$E$56,2,FALSE)</f>
        <v>A-493-2300</v>
      </c>
      <c r="D195" s="100" t="str">
        <f>VLOOKUP(Table2[[#This Row],[Course Title]],'TSD-Data'!$A$1:$E$56,3,FALSE)</f>
        <v>993F</v>
      </c>
      <c r="E195" s="99" t="s">
        <v>91</v>
      </c>
      <c r="F195" s="110">
        <v>45726</v>
      </c>
      <c r="G195" s="110">
        <v>45727</v>
      </c>
      <c r="H195" s="105">
        <v>0.33333333333333331</v>
      </c>
      <c r="I195" s="108"/>
      <c r="J195" s="108"/>
      <c r="K195" s="108"/>
      <c r="L195" s="108"/>
      <c r="M195" s="108"/>
      <c r="N195" s="108"/>
      <c r="O195" s="15" t="s">
        <v>94</v>
      </c>
      <c r="P195" s="15"/>
      <c r="Q195" s="15">
        <f>VLOOKUP(Table2[[#This Row],[Course Title]],'TSD-Data'!$A$1:$E$56,4,FALSE)</f>
        <v>30</v>
      </c>
      <c r="R195" s="15">
        <f>VLOOKUP(Table2[[#This Row],[Course Title]],'TSD-Data'!$A$1:$F$53,6,FALSE)</f>
        <v>16</v>
      </c>
      <c r="S195" s="15">
        <f>VLOOKUP(Table2[[#This Row],[Course Title]],'TSD-Data'!$A$1:$E$56,5,FALSE)</f>
        <v>2</v>
      </c>
      <c r="T195" s="15">
        <v>27</v>
      </c>
      <c r="U195" s="15"/>
      <c r="V195" s="15"/>
      <c r="W195" s="103"/>
      <c r="X195" s="103"/>
      <c r="Y195" s="15"/>
      <c r="Z195" s="15"/>
      <c r="AA195" s="100"/>
      <c r="AB195" s="99"/>
      <c r="AC195" s="71">
        <f ca="1">Table2[[#This Row],[End Date]]+2-TODAY()</f>
        <v>197</v>
      </c>
      <c r="AD195" s="15">
        <f>IF(ISBLANK(Table2[[#This Row],[Roster Received By]]),1,0)</f>
        <v>1</v>
      </c>
      <c r="AE195" s="15">
        <f ca="1">IF(Table2[[#This Row],[Start Date]]&gt;TODAY(),1,)</f>
        <v>1</v>
      </c>
      <c r="AF195" s="62"/>
    </row>
    <row r="196" spans="1:32" x14ac:dyDescent="0.25">
      <c r="A196" s="62"/>
      <c r="B196" s="99" t="s">
        <v>61</v>
      </c>
      <c r="C196" s="100" t="str">
        <f>VLOOKUP(Table2[[#This Row],[Course Title]],'TSD-Data'!$A$1:$E$56,2,FALSE)</f>
        <v>A-493-0078</v>
      </c>
      <c r="D196" s="100">
        <f>VLOOKUP(Table2[[#This Row],[Course Title]],'TSD-Data'!$A$1:$E$56,3,FALSE)</f>
        <v>1228</v>
      </c>
      <c r="E196" s="99" t="s">
        <v>80</v>
      </c>
      <c r="F196" s="110">
        <v>45726</v>
      </c>
      <c r="G196" s="110">
        <v>45729</v>
      </c>
      <c r="H196" s="105"/>
      <c r="I196" s="105">
        <v>0.29166666666666669</v>
      </c>
      <c r="J196" s="105">
        <v>0.16666666666666666</v>
      </c>
      <c r="K196" s="105">
        <v>0.58333333333333337</v>
      </c>
      <c r="L196" s="105">
        <v>0.5</v>
      </c>
      <c r="M196" s="105">
        <v>4.1666666666666664E-2</v>
      </c>
      <c r="N196" s="105">
        <v>0.83333333333333337</v>
      </c>
      <c r="O196" s="15" t="s">
        <v>141</v>
      </c>
      <c r="P196" s="15"/>
      <c r="Q196" s="15">
        <f>VLOOKUP(Table2[[#This Row],[Course Title]],'TSD-Data'!$A$1:$E$56,4,FALSE)</f>
        <v>45</v>
      </c>
      <c r="R196" s="15">
        <f>VLOOKUP(Table2[[#This Row],[Course Title]],'TSD-Data'!$A$1:$F$53,6,FALSE)</f>
        <v>32</v>
      </c>
      <c r="S196" s="15">
        <f>VLOOKUP(Table2[[#This Row],[Course Title]],'TSD-Data'!$A$1:$E$56,5,FALSE)</f>
        <v>4</v>
      </c>
      <c r="T196" s="15">
        <v>62</v>
      </c>
      <c r="U196" s="15"/>
      <c r="V196" s="15"/>
      <c r="W196" s="15"/>
      <c r="X196" s="103"/>
      <c r="Y196" s="15"/>
      <c r="Z196" s="15"/>
      <c r="AA196" s="15"/>
      <c r="AB196" s="99"/>
      <c r="AC196" s="71">
        <f ca="1">Table2[[#This Row],[End Date]]+2-TODAY()</f>
        <v>199</v>
      </c>
      <c r="AD196" s="15">
        <f>IF(ISBLANK(Table2[[#This Row],[Roster Received By]]),1,0)</f>
        <v>1</v>
      </c>
      <c r="AE196" s="15">
        <f ca="1">IF(Table2[[#This Row],[Start Date]]&gt;TODAY(),1,)</f>
        <v>1</v>
      </c>
      <c r="AF196" s="62"/>
    </row>
    <row r="197" spans="1:32" x14ac:dyDescent="0.25">
      <c r="A197" s="62"/>
      <c r="B197" s="99" t="s">
        <v>52</v>
      </c>
      <c r="C197" s="100" t="str">
        <f>VLOOKUP(Table2[[#This Row],[Course Title]],'TSD-Data'!$A$1:$E$56,2,FALSE)</f>
        <v>A-493-0085</v>
      </c>
      <c r="D197" s="100">
        <f>VLOOKUP(Table2[[#This Row],[Course Title]],'TSD-Data'!$A$1:$E$56,3,FALSE)</f>
        <v>3555</v>
      </c>
      <c r="E197" s="99" t="s">
        <v>80</v>
      </c>
      <c r="F197" s="110">
        <v>45726</v>
      </c>
      <c r="G197" s="110">
        <v>45729</v>
      </c>
      <c r="H197" s="102"/>
      <c r="I197" s="101">
        <v>0.5</v>
      </c>
      <c r="J197" s="101">
        <v>0.375</v>
      </c>
      <c r="K197" s="101">
        <v>0.79166666666666663</v>
      </c>
      <c r="L197" s="101">
        <v>0.75</v>
      </c>
      <c r="M197" s="101">
        <v>0.25</v>
      </c>
      <c r="N197" s="101">
        <v>4.1666666666666664E-2</v>
      </c>
      <c r="O197" s="15" t="s">
        <v>179</v>
      </c>
      <c r="P197" s="15"/>
      <c r="Q197" s="15">
        <f>VLOOKUP(Table2[[#This Row],[Course Title]],'TSD-Data'!$A$1:$E$56,4,FALSE)</f>
        <v>45</v>
      </c>
      <c r="R197" s="15">
        <f>VLOOKUP(Table2[[#This Row],[Course Title]],'TSD-Data'!$A$1:$F$53,6,FALSE)</f>
        <v>32</v>
      </c>
      <c r="S197" s="15">
        <f>VLOOKUP(Table2[[#This Row],[Course Title]],'TSD-Data'!$A$1:$E$56,5,FALSE)</f>
        <v>4</v>
      </c>
      <c r="T197" s="15">
        <v>503</v>
      </c>
      <c r="U197" s="15"/>
      <c r="V197" s="15"/>
      <c r="W197" s="15"/>
      <c r="X197" s="103"/>
      <c r="Y197" s="15"/>
      <c r="Z197" s="15"/>
      <c r="AA197" s="15"/>
      <c r="AB197" s="99"/>
      <c r="AC197" s="71">
        <f ca="1">Table2[[#This Row],[End Date]]+2-TODAY()</f>
        <v>199</v>
      </c>
      <c r="AD197" s="15">
        <f>IF(ISBLANK(Table2[[#This Row],[Roster Received By]]),1,0)</f>
        <v>1</v>
      </c>
      <c r="AE197" s="15">
        <f ca="1">IF(Table2[[#This Row],[Start Date]]&gt;TODAY(),1,)</f>
        <v>1</v>
      </c>
      <c r="AF197" s="62"/>
    </row>
    <row r="198" spans="1:32" x14ac:dyDescent="0.25">
      <c r="A198" s="62"/>
      <c r="B198" s="99" t="s">
        <v>36</v>
      </c>
      <c r="C198" s="100" t="str">
        <f>VLOOKUP(Table2[[#This Row],[Course Title]],'TSD-Data'!$A$1:$E$56,2,FALSE)</f>
        <v>A-493-2017</v>
      </c>
      <c r="D198" s="100" t="str">
        <f>VLOOKUP(Table2[[#This Row],[Course Title]],'TSD-Data'!$A$1:$E$56,3,FALSE)</f>
        <v>12x3</v>
      </c>
      <c r="E198" s="99" t="s">
        <v>161</v>
      </c>
      <c r="F198" s="102">
        <v>45726</v>
      </c>
      <c r="G198" s="102">
        <v>45730</v>
      </c>
      <c r="H198" s="105">
        <v>0.33333333333333331</v>
      </c>
      <c r="I198" s="108"/>
      <c r="J198" s="108"/>
      <c r="K198" s="108"/>
      <c r="L198" s="108"/>
      <c r="M198" s="108"/>
      <c r="N198" s="108"/>
      <c r="O198" s="15" t="s">
        <v>94</v>
      </c>
      <c r="P198" s="15"/>
      <c r="Q198" s="15">
        <f>VLOOKUP(Table2[[#This Row],[Course Title]],'TSD-Data'!$A$1:$E$56,4,FALSE)</f>
        <v>25</v>
      </c>
      <c r="R198" s="15">
        <f>VLOOKUP(Table2[[#This Row],[Course Title]],'TSD-Data'!$A$1:$F$53,6,FALSE)</f>
        <v>40</v>
      </c>
      <c r="S198" s="15">
        <f>VLOOKUP(Table2[[#This Row],[Course Title]],'TSD-Data'!$A$1:$E$56,5,FALSE)</f>
        <v>5</v>
      </c>
      <c r="T198" s="15">
        <v>1</v>
      </c>
      <c r="U198" s="15"/>
      <c r="V198" s="15"/>
      <c r="W198" s="15"/>
      <c r="X198" s="103"/>
      <c r="Y198" s="15"/>
      <c r="Z198" s="15"/>
      <c r="AA198" s="15"/>
      <c r="AB198" s="99"/>
      <c r="AC198" s="71">
        <f ca="1">Table2[[#This Row],[End Date]]+2-TODAY()</f>
        <v>200</v>
      </c>
      <c r="AD198" s="15">
        <f>IF(ISBLANK(Table2[[#This Row],[Roster Received By]]),1,0)</f>
        <v>1</v>
      </c>
      <c r="AE198" s="15">
        <f ca="1">IF(Table2[[#This Row],[Start Date]]&gt;TODAY(),1,)</f>
        <v>1</v>
      </c>
      <c r="AF198" s="62"/>
    </row>
    <row r="199" spans="1:32" x14ac:dyDescent="0.25">
      <c r="A199" s="62"/>
      <c r="B199" s="99" t="s">
        <v>33</v>
      </c>
      <c r="C199" s="100" t="str">
        <f>VLOOKUP(Table2[[#This Row],[Course Title]],'TSD-Data'!$A$1:$E$56,2,FALSE)</f>
        <v>A-493-2301</v>
      </c>
      <c r="D199" s="100" t="str">
        <f>VLOOKUP(Table2[[#This Row],[Course Title]],'TSD-Data'!$A$1:$E$56,3,FALSE)</f>
        <v>05ZD</v>
      </c>
      <c r="E199" s="99" t="s">
        <v>91</v>
      </c>
      <c r="F199" s="67">
        <v>45728</v>
      </c>
      <c r="G199" s="102">
        <v>45728</v>
      </c>
      <c r="H199" s="105">
        <v>0.33333333333333331</v>
      </c>
      <c r="I199" s="108"/>
      <c r="J199" s="108"/>
      <c r="K199" s="108"/>
      <c r="L199" s="108"/>
      <c r="M199" s="108"/>
      <c r="N199" s="108"/>
      <c r="O199" s="15" t="s">
        <v>94</v>
      </c>
      <c r="P199" s="15"/>
      <c r="Q199" s="15">
        <f>VLOOKUP(Table2[[#This Row],[Course Title]],'TSD-Data'!$A$1:$E$56,4,FALSE)</f>
        <v>30</v>
      </c>
      <c r="R199" s="15">
        <f>VLOOKUP(Table2[[#This Row],[Course Title]],'TSD-Data'!$A$1:$F$53,6,FALSE)</f>
        <v>8</v>
      </c>
      <c r="S199" s="15">
        <f>VLOOKUP(Table2[[#This Row],[Course Title]],'TSD-Data'!$A$1:$E$56,5,FALSE)</f>
        <v>1</v>
      </c>
      <c r="T199" s="15">
        <v>28</v>
      </c>
      <c r="U199" s="15"/>
      <c r="V199" s="15"/>
      <c r="W199" s="15"/>
      <c r="X199" s="103"/>
      <c r="Y199" s="15"/>
      <c r="Z199" s="15"/>
      <c r="AA199" s="15"/>
      <c r="AB199" s="99"/>
      <c r="AC199" s="71">
        <f ca="1">Table2[[#This Row],[End Date]]+2-TODAY()</f>
        <v>198</v>
      </c>
      <c r="AD199" s="15">
        <f>IF(ISBLANK(Table2[[#This Row],[Roster Received By]]),1,0)</f>
        <v>1</v>
      </c>
      <c r="AE199" s="15">
        <f ca="1">IF(Table2[[#This Row],[Start Date]]&gt;TODAY(),1,)</f>
        <v>1</v>
      </c>
      <c r="AF199" s="16"/>
    </row>
    <row r="200" spans="1:32" x14ac:dyDescent="0.25">
      <c r="A200" s="62"/>
      <c r="B200" s="99" t="s">
        <v>49</v>
      </c>
      <c r="C200" s="100" t="str">
        <f>VLOOKUP(Table2[[#This Row],[Course Title]],'TSD-Data'!$A$1:$E$56,2,FALSE)</f>
        <v>A-493-0092</v>
      </c>
      <c r="D200" s="100">
        <f>VLOOKUP(Table2[[#This Row],[Course Title]],'TSD-Data'!$A$1:$E$56,3,FALSE)</f>
        <v>5891</v>
      </c>
      <c r="E200" s="99" t="s">
        <v>292</v>
      </c>
      <c r="F200" s="98">
        <v>45728</v>
      </c>
      <c r="G200" s="98">
        <v>45730</v>
      </c>
      <c r="H200" s="105">
        <v>0.33333333333333331</v>
      </c>
      <c r="I200" s="226"/>
      <c r="J200" s="226"/>
      <c r="K200" s="226"/>
      <c r="L200" s="226"/>
      <c r="M200" s="226"/>
      <c r="N200" s="226"/>
      <c r="O200" s="15" t="s">
        <v>175</v>
      </c>
      <c r="P200" s="15" t="s">
        <v>116</v>
      </c>
      <c r="Q200" s="15">
        <f>VLOOKUP(Table2[[#This Row],[Course Title]],'TSD-Data'!$A$1:$E$56,4,FALSE)</f>
        <v>25</v>
      </c>
      <c r="R200" s="15">
        <f>VLOOKUP(Table2[[#This Row],[Course Title]],'TSD-Data'!$A$1:$F$53,6,FALSE)</f>
        <v>24</v>
      </c>
      <c r="S200" s="15">
        <f>VLOOKUP(Table2[[#This Row],[Course Title]],'TSD-Data'!$A$1:$E$56,5,FALSE)</f>
        <v>3</v>
      </c>
      <c r="T200" s="15">
        <v>102</v>
      </c>
      <c r="U200" s="15"/>
      <c r="V200" s="15"/>
      <c r="W200" s="15"/>
      <c r="X200" s="103"/>
      <c r="Y200" s="15"/>
      <c r="Z200" s="15"/>
      <c r="AA200" s="15"/>
      <c r="AB200" s="99"/>
      <c r="AC200" s="71">
        <f ca="1">Table2[[#This Row],[End Date]]+2-TODAY()</f>
        <v>200</v>
      </c>
      <c r="AD200" s="15">
        <f>IF(ISBLANK(Table2[[#This Row],[Roster Received By]]),1,0)</f>
        <v>1</v>
      </c>
      <c r="AE200" s="15">
        <f ca="1">IF(Table2[[#This Row],[Start Date]]&gt;TODAY(),1,)</f>
        <v>1</v>
      </c>
      <c r="AF200" s="62"/>
    </row>
    <row r="201" spans="1:32" x14ac:dyDescent="0.25">
      <c r="A201" s="62"/>
      <c r="B201" s="99" t="s">
        <v>34</v>
      </c>
      <c r="C201" s="100" t="str">
        <f>VLOOKUP(Table2[[#This Row],[Course Title]],'TSD-Data'!$A$1:$E$56,2,FALSE)</f>
        <v>A-493-0216</v>
      </c>
      <c r="D201" s="100" t="str">
        <f>VLOOKUP(Table2[[#This Row],[Course Title]],'TSD-Data'!$A$1:$E$56,3,FALSE)</f>
        <v>12X8</v>
      </c>
      <c r="E201" s="99" t="s">
        <v>91</v>
      </c>
      <c r="F201" s="102">
        <v>45729</v>
      </c>
      <c r="G201" s="102">
        <v>45729</v>
      </c>
      <c r="H201" s="105">
        <v>0.33333333333333331</v>
      </c>
      <c r="I201" s="108"/>
      <c r="J201" s="108"/>
      <c r="K201" s="108"/>
      <c r="L201" s="108"/>
      <c r="M201" s="108"/>
      <c r="N201" s="108"/>
      <c r="O201" s="15" t="s">
        <v>94</v>
      </c>
      <c r="P201" s="15"/>
      <c r="Q201" s="15">
        <f>VLOOKUP(Table2[[#This Row],[Course Title]],'TSD-Data'!$A$1:$E$56,4,FALSE)</f>
        <v>30</v>
      </c>
      <c r="R201" s="15">
        <f>VLOOKUP(Table2[[#This Row],[Course Title]],'TSD-Data'!$A$1:$F$53,6,FALSE)</f>
        <v>8</v>
      </c>
      <c r="S201" s="15">
        <f>VLOOKUP(Table2[[#This Row],[Course Title]],'TSD-Data'!$A$1:$E$56,5,FALSE)</f>
        <v>1</v>
      </c>
      <c r="T201" s="15">
        <v>20</v>
      </c>
      <c r="U201" s="15"/>
      <c r="V201" s="15"/>
      <c r="W201" s="15"/>
      <c r="X201" s="103"/>
      <c r="Y201" s="15"/>
      <c r="Z201" s="15"/>
      <c r="AA201" s="15"/>
      <c r="AB201" s="99"/>
      <c r="AC201" s="71">
        <f ca="1">Table2[[#This Row],[End Date]]+2-TODAY()</f>
        <v>199</v>
      </c>
      <c r="AD201" s="15">
        <f>IF(ISBLANK(Table2[[#This Row],[Roster Received By]]),1,0)</f>
        <v>1</v>
      </c>
      <c r="AE201" s="15">
        <f ca="1">IF(Table2[[#This Row],[Start Date]]&gt;TODAY(),1,)</f>
        <v>1</v>
      </c>
      <c r="AF201" s="62"/>
    </row>
    <row r="202" spans="1:32" x14ac:dyDescent="0.25">
      <c r="A202" s="62"/>
      <c r="B202" s="99" t="s">
        <v>35</v>
      </c>
      <c r="C202" s="100" t="str">
        <f>VLOOKUP(Table2[[#This Row],[Course Title]],'TSD-Data'!$A$1:$E$56,2,FALSE)</f>
        <v>A-493-2501</v>
      </c>
      <c r="D202" s="100" t="str">
        <f>VLOOKUP(Table2[[#This Row],[Course Title]],'TSD-Data'!$A$1:$E$56,3,FALSE)</f>
        <v>05ZE</v>
      </c>
      <c r="E202" s="99" t="s">
        <v>91</v>
      </c>
      <c r="F202" s="102">
        <v>45730</v>
      </c>
      <c r="G202" s="102">
        <v>45730</v>
      </c>
      <c r="H202" s="105">
        <v>0.33333333333333331</v>
      </c>
      <c r="I202" s="108"/>
      <c r="J202" s="108"/>
      <c r="K202" s="108"/>
      <c r="L202" s="108"/>
      <c r="M202" s="108"/>
      <c r="N202" s="108"/>
      <c r="O202" s="15" t="s">
        <v>94</v>
      </c>
      <c r="P202" s="15"/>
      <c r="Q202" s="15">
        <f>VLOOKUP(Table2[[#This Row],[Course Title]],'TSD-Data'!$A$1:$E$56,4,FALSE)</f>
        <v>30</v>
      </c>
      <c r="R202" s="15">
        <f>VLOOKUP(Table2[[#This Row],[Course Title]],'TSD-Data'!$A$1:$F$53,6,FALSE)</f>
        <v>8</v>
      </c>
      <c r="S202" s="15">
        <f>VLOOKUP(Table2[[#This Row],[Course Title]],'TSD-Data'!$A$1:$E$56,5,FALSE)</f>
        <v>1</v>
      </c>
      <c r="T202" s="15">
        <v>23</v>
      </c>
      <c r="U202" s="15"/>
      <c r="V202" s="15"/>
      <c r="W202" s="15"/>
      <c r="X202" s="103"/>
      <c r="Y202" s="15"/>
      <c r="Z202" s="15"/>
      <c r="AA202" s="15"/>
      <c r="AB202" s="99"/>
      <c r="AC202" s="71">
        <f ca="1">Table2[[#This Row],[End Date]]+2-TODAY()</f>
        <v>200</v>
      </c>
      <c r="AD202" s="15">
        <f>IF(ISBLANK(Table2[[#This Row],[Roster Received By]]),1,0)</f>
        <v>1</v>
      </c>
      <c r="AE202" s="15">
        <f ca="1">IF(Table2[[#This Row],[Start Date]]&gt;TODAY(),1,)</f>
        <v>1</v>
      </c>
      <c r="AF202" s="62"/>
    </row>
    <row r="203" spans="1:32" x14ac:dyDescent="0.25">
      <c r="A203" s="100"/>
      <c r="B203" s="99" t="s">
        <v>55</v>
      </c>
      <c r="C203" s="100" t="str">
        <f>VLOOKUP(Table2[[#This Row],[Course Title]],'TSD-Data'!$A$1:$E$56,2,FALSE)</f>
        <v>A-493-0103</v>
      </c>
      <c r="D203" s="100" t="str">
        <f>VLOOKUP(Table2[[#This Row],[Course Title]],'TSD-Data'!$A$1:$E$56,3,FALSE)</f>
        <v>12JY</v>
      </c>
      <c r="E203" s="99" t="s">
        <v>146</v>
      </c>
      <c r="F203" s="102">
        <v>45733</v>
      </c>
      <c r="G203" s="102">
        <v>45737</v>
      </c>
      <c r="H203" s="105">
        <v>0.33333333333333331</v>
      </c>
      <c r="I203" s="108"/>
      <c r="J203" s="230"/>
      <c r="K203" s="230"/>
      <c r="L203" s="230"/>
      <c r="M203" s="230"/>
      <c r="N203" s="230"/>
      <c r="O203" s="15" t="s">
        <v>160</v>
      </c>
      <c r="P203" s="15"/>
      <c r="Q203" s="15">
        <f>VLOOKUP(Table2[[#This Row],[Course Title]],'TSD-Data'!$A$1:$E$56,4,FALSE)</f>
        <v>25</v>
      </c>
      <c r="R203" s="15">
        <f>VLOOKUP(Table2[[#This Row],[Course Title]],'TSD-Data'!$A$1:$F$53,6,FALSE)</f>
        <v>40</v>
      </c>
      <c r="S203" s="15">
        <f>VLOOKUP(Table2[[#This Row],[Course Title]],'TSD-Data'!$A$1:$E$56,5,FALSE)</f>
        <v>5</v>
      </c>
      <c r="T203" s="15">
        <v>125</v>
      </c>
      <c r="U203" s="15"/>
      <c r="V203" s="15"/>
      <c r="W203" s="107"/>
      <c r="X203" s="103"/>
      <c r="Y203" s="15"/>
      <c r="Z203" s="15"/>
      <c r="AA203" s="15"/>
      <c r="AB203" s="99"/>
      <c r="AC203" s="71">
        <f ca="1">Table2[[#This Row],[End Date]]+2-TODAY()</f>
        <v>207</v>
      </c>
      <c r="AD203" s="15">
        <f>IF(ISBLANK(Table2[[#This Row],[Roster Received By]]),1,0)</f>
        <v>1</v>
      </c>
      <c r="AE203" s="15">
        <f ca="1">IF(Table2[[#This Row],[Start Date]]&gt;TODAY(),1,)</f>
        <v>1</v>
      </c>
      <c r="AF203" s="62"/>
    </row>
    <row r="204" spans="1:32" x14ac:dyDescent="0.25">
      <c r="A204" s="62"/>
      <c r="B204" s="99" t="s">
        <v>55</v>
      </c>
      <c r="C204" s="100" t="str">
        <f>VLOOKUP(Table2[[#This Row],[Course Title]],'TSD-Data'!$A$1:$E$56,2,FALSE)</f>
        <v>A-493-0103</v>
      </c>
      <c r="D204" s="100" t="str">
        <f>VLOOKUP(Table2[[#This Row],[Course Title]],'TSD-Data'!$A$1:$E$56,3,FALSE)</f>
        <v>12JY</v>
      </c>
      <c r="E204" s="99" t="s">
        <v>292</v>
      </c>
      <c r="F204" s="102">
        <v>45733</v>
      </c>
      <c r="G204" s="102">
        <v>45737</v>
      </c>
      <c r="H204" s="105">
        <v>0.33333333333333331</v>
      </c>
      <c r="I204" s="108"/>
      <c r="J204" s="230"/>
      <c r="K204" s="230"/>
      <c r="L204" s="230"/>
      <c r="M204" s="230"/>
      <c r="N204" s="230"/>
      <c r="O204" s="15" t="s">
        <v>160</v>
      </c>
      <c r="P204" s="15"/>
      <c r="Q204" s="15">
        <f>VLOOKUP(Table2[[#This Row],[Course Title]],'TSD-Data'!$A$1:$E$56,4,FALSE)</f>
        <v>25</v>
      </c>
      <c r="R204" s="15">
        <f>VLOOKUP(Table2[[#This Row],[Course Title]],'TSD-Data'!$A$1:$F$53,6,FALSE)</f>
        <v>40</v>
      </c>
      <c r="S204" s="15">
        <f>VLOOKUP(Table2[[#This Row],[Course Title]],'TSD-Data'!$A$1:$E$56,5,FALSE)</f>
        <v>5</v>
      </c>
      <c r="T204" s="15">
        <v>248</v>
      </c>
      <c r="U204" s="15"/>
      <c r="V204" s="15"/>
      <c r="W204" s="15"/>
      <c r="X204" s="103"/>
      <c r="Y204" s="15"/>
      <c r="Z204" s="15"/>
      <c r="AA204" s="15"/>
      <c r="AB204" s="99"/>
      <c r="AC204" s="71">
        <f ca="1">Table2[[#This Row],[End Date]]+2-TODAY()</f>
        <v>207</v>
      </c>
      <c r="AD204" s="15">
        <f>IF(ISBLANK(Table2[[#This Row],[Roster Received By]]),1,0)</f>
        <v>1</v>
      </c>
      <c r="AE204" s="15">
        <f ca="1">IF(Table2[[#This Row],[Start Date]]&gt;TODAY(),1,)</f>
        <v>1</v>
      </c>
      <c r="AF204" s="62"/>
    </row>
    <row r="205" spans="1:32" x14ac:dyDescent="0.25">
      <c r="A205" s="62"/>
      <c r="B205" s="99" t="s">
        <v>56</v>
      </c>
      <c r="C205" s="100" t="str">
        <f>VLOOKUP(Table2[[#This Row],[Course Title]],'TSD-Data'!$A$1:$E$56,2,FALSE)</f>
        <v>A-493-0021</v>
      </c>
      <c r="D205" s="100" t="str">
        <f>VLOOKUP(Table2[[#This Row],[Course Title]],'TSD-Data'!$A$1:$E$56,3,FALSE)</f>
        <v>18BN</v>
      </c>
      <c r="E205" s="99" t="s">
        <v>267</v>
      </c>
      <c r="F205" s="102">
        <v>45733</v>
      </c>
      <c r="G205" s="102">
        <v>45737</v>
      </c>
      <c r="H205" s="105">
        <v>0.33333333333333331</v>
      </c>
      <c r="I205" s="108"/>
      <c r="J205" s="108"/>
      <c r="K205" s="108"/>
      <c r="L205" s="108"/>
      <c r="M205" s="108"/>
      <c r="N205" s="108"/>
      <c r="O205" s="15" t="s">
        <v>160</v>
      </c>
      <c r="P205" s="15"/>
      <c r="Q205" s="15">
        <f>VLOOKUP(Table2[[#This Row],[Course Title]],'TSD-Data'!$A$1:$E$56,4,FALSE)</f>
        <v>35</v>
      </c>
      <c r="R205" s="15">
        <f>VLOOKUP(Table2[[#This Row],[Course Title]],'TSD-Data'!$A$1:$F$53,6,FALSE)</f>
        <v>30</v>
      </c>
      <c r="S205" s="15">
        <f>VLOOKUP(Table2[[#This Row],[Course Title]],'TSD-Data'!$A$1:$E$56,5,FALSE)</f>
        <v>5</v>
      </c>
      <c r="T205" s="15">
        <v>31</v>
      </c>
      <c r="U205" s="15"/>
      <c r="V205" s="15"/>
      <c r="W205" s="103"/>
      <c r="X205" s="103"/>
      <c r="Y205" s="15"/>
      <c r="Z205" s="15"/>
      <c r="AA205" s="15"/>
      <c r="AB205" s="99"/>
      <c r="AC205" s="71">
        <f ca="1">Table2[[#This Row],[End Date]]+2-TODAY()</f>
        <v>207</v>
      </c>
      <c r="AD205" s="15">
        <f>IF(ISBLANK(Table2[[#This Row],[Roster Received By]]),1,0)</f>
        <v>1</v>
      </c>
      <c r="AE205" s="15">
        <f ca="1">IF(Table2[[#This Row],[Start Date]]&gt;TODAY(),1,)</f>
        <v>1</v>
      </c>
      <c r="AF205" s="62"/>
    </row>
    <row r="206" spans="1:32" x14ac:dyDescent="0.25">
      <c r="A206" s="62"/>
      <c r="B206" s="99" t="s">
        <v>17</v>
      </c>
      <c r="C206" s="100" t="str">
        <f>VLOOKUP(Table2[[#This Row],[Course Title]],'TSD-Data'!$A$1:$E$56,2,FALSE)</f>
        <v>A-493-0012</v>
      </c>
      <c r="D206" s="100">
        <f>VLOOKUP(Table2[[#This Row],[Course Title]],'TSD-Data'!$A$1:$E$56,3,FALSE)</f>
        <v>3682</v>
      </c>
      <c r="E206" s="99" t="s">
        <v>241</v>
      </c>
      <c r="F206" s="67">
        <v>45733</v>
      </c>
      <c r="G206" s="102">
        <v>45737</v>
      </c>
      <c r="H206" s="105">
        <v>0.33333333333333331</v>
      </c>
      <c r="I206" s="108"/>
      <c r="J206" s="108"/>
      <c r="K206" s="108"/>
      <c r="L206" s="108"/>
      <c r="M206" s="108"/>
      <c r="N206" s="108"/>
      <c r="O206" s="15" t="s">
        <v>94</v>
      </c>
      <c r="P206" s="15"/>
      <c r="Q206" s="15">
        <f>VLOOKUP(Table2[[#This Row],[Course Title]],'TSD-Data'!$A$1:$E$56,4,FALSE)</f>
        <v>40</v>
      </c>
      <c r="R206" s="15">
        <f>VLOOKUP(Table2[[#This Row],[Course Title]],'TSD-Data'!$A$1:$F$53,6,FALSE)</f>
        <v>40</v>
      </c>
      <c r="S206" s="15">
        <f>VLOOKUP(Table2[[#This Row],[Course Title]],'TSD-Data'!$A$1:$E$56,5,FALSE)</f>
        <v>5</v>
      </c>
      <c r="T206" s="15">
        <v>40</v>
      </c>
      <c r="U206" s="15"/>
      <c r="V206" s="15"/>
      <c r="W206" s="15"/>
      <c r="X206" s="103"/>
      <c r="Y206" s="15"/>
      <c r="Z206" s="15"/>
      <c r="AA206" s="100"/>
      <c r="AB206" s="99"/>
      <c r="AC206" s="71">
        <f ca="1">Table2[[#This Row],[End Date]]+2-TODAY()</f>
        <v>207</v>
      </c>
      <c r="AD206" s="15">
        <f>IF(ISBLANK(Table2[[#This Row],[Roster Received By]]),1,0)</f>
        <v>1</v>
      </c>
      <c r="AE206" s="15">
        <f ca="1">IF(Table2[[#This Row],[Start Date]]&gt;TODAY(),1,)</f>
        <v>1</v>
      </c>
      <c r="AF206" s="62"/>
    </row>
    <row r="207" spans="1:32" x14ac:dyDescent="0.25">
      <c r="A207" s="62"/>
      <c r="B207" s="99" t="s">
        <v>38</v>
      </c>
      <c r="C207" s="100" t="str">
        <f>VLOOKUP(Table2[[#This Row],[Course Title]],'TSD-Data'!$A$1:$E$56,2,FALSE)</f>
        <v>A-493-0061</v>
      </c>
      <c r="D207" s="100" t="str">
        <f>VLOOKUP(Table2[[#This Row],[Course Title]],'TSD-Data'!$A$1:$E$56,3,FALSE)</f>
        <v>288E</v>
      </c>
      <c r="E207" s="99" t="s">
        <v>80</v>
      </c>
      <c r="F207" s="102">
        <v>45733</v>
      </c>
      <c r="G207" s="102">
        <v>45736</v>
      </c>
      <c r="H207" s="105"/>
      <c r="I207" s="105">
        <v>0.29166666666666669</v>
      </c>
      <c r="J207" s="105">
        <v>0.16666666666666666</v>
      </c>
      <c r="K207" s="105">
        <v>0.58333333333333337</v>
      </c>
      <c r="L207" s="105">
        <v>0.5</v>
      </c>
      <c r="M207" s="105">
        <v>4.1666666666666664E-2</v>
      </c>
      <c r="N207" s="105">
        <v>0.83333333333333337</v>
      </c>
      <c r="O207" s="15" t="s">
        <v>138</v>
      </c>
      <c r="P207" s="15"/>
      <c r="Q207" s="103">
        <f>VLOOKUP(Table2[[#This Row],[Course Title]],'TSD-Data'!$A$1:$E$56,4,FALSE)</f>
        <v>45</v>
      </c>
      <c r="R207" s="15">
        <f>VLOOKUP(Table2[[#This Row],[Course Title]],'TSD-Data'!$A$1:$F$53,6,FALSE)</f>
        <v>30</v>
      </c>
      <c r="S207" s="15">
        <f>VLOOKUP(Table2[[#This Row],[Course Title]],'TSD-Data'!$A$1:$E$56,5,FALSE)</f>
        <v>4</v>
      </c>
      <c r="T207" s="15">
        <v>59</v>
      </c>
      <c r="U207" s="15"/>
      <c r="V207" s="15"/>
      <c r="W207" s="103"/>
      <c r="X207" s="103"/>
      <c r="Y207" s="15"/>
      <c r="Z207" s="15"/>
      <c r="AA207" s="15"/>
      <c r="AB207" s="99"/>
      <c r="AC207" s="71">
        <f ca="1">Table2[[#This Row],[End Date]]+2-TODAY()</f>
        <v>206</v>
      </c>
      <c r="AD207" s="15">
        <f>IF(ISBLANK(Table2[[#This Row],[Roster Received By]]),1,0)</f>
        <v>1</v>
      </c>
      <c r="AE207" s="15">
        <f ca="1">IF(Table2[[#This Row],[Start Date]]&gt;TODAY(),1,)</f>
        <v>1</v>
      </c>
      <c r="AF207" s="62"/>
    </row>
    <row r="208" spans="1:32" x14ac:dyDescent="0.25">
      <c r="A208" s="62" t="s">
        <v>395</v>
      </c>
      <c r="B208" s="99" t="s">
        <v>31</v>
      </c>
      <c r="C208" s="100" t="str">
        <f>VLOOKUP(Table2[[#This Row],[Course Title]],'TSD-Data'!$A$1:$E$56,2,FALSE)</f>
        <v>A-493-0083</v>
      </c>
      <c r="D208" s="100" t="str">
        <f>VLOOKUP(Table2[[#This Row],[Course Title]],'TSD-Data'!$A$1:$E$56,3,FALSE)</f>
        <v>339E</v>
      </c>
      <c r="E208" s="99" t="s">
        <v>80</v>
      </c>
      <c r="F208" s="102">
        <v>45733</v>
      </c>
      <c r="G208" s="102">
        <v>45733</v>
      </c>
      <c r="H208" s="105"/>
      <c r="I208" s="105">
        <v>0.45833333333333331</v>
      </c>
      <c r="J208" s="105">
        <v>0.33333333333333331</v>
      </c>
      <c r="K208" s="105">
        <v>0.75</v>
      </c>
      <c r="L208" s="105">
        <v>0.66666666666666663</v>
      </c>
      <c r="M208" s="105">
        <v>0.20833333333333334</v>
      </c>
      <c r="N208" s="105">
        <v>0</v>
      </c>
      <c r="O208" s="15" t="s">
        <v>94</v>
      </c>
      <c r="P208" s="15"/>
      <c r="Q208" s="15">
        <f>VLOOKUP(Table2[[#This Row],[Course Title]],'TSD-Data'!$A$1:$E$56,4,FALSE)</f>
        <v>30</v>
      </c>
      <c r="R208" s="15">
        <f>VLOOKUP(Table2[[#This Row],[Course Title]],'TSD-Data'!$A$1:$F$53,6,FALSE)</f>
        <v>8</v>
      </c>
      <c r="S208" s="15">
        <f>VLOOKUP(Table2[[#This Row],[Course Title]],'TSD-Data'!$A$1:$E$56,5,FALSE)</f>
        <v>1</v>
      </c>
      <c r="T208" s="15">
        <v>0</v>
      </c>
      <c r="U208" s="15"/>
      <c r="V208" s="15"/>
      <c r="W208" s="15"/>
      <c r="X208" s="103"/>
      <c r="Y208" s="15"/>
      <c r="Z208" s="15"/>
      <c r="AA208" s="15"/>
      <c r="AB208" s="99"/>
      <c r="AC208" s="71">
        <f ca="1">Table2[[#This Row],[End Date]]+2-TODAY()</f>
        <v>203</v>
      </c>
      <c r="AD208" s="15">
        <f>IF(ISBLANK(Table2[[#This Row],[Roster Received By]]),1,0)</f>
        <v>1</v>
      </c>
      <c r="AE208" s="15">
        <f ca="1">IF(Table2[[#This Row],[Start Date]]&gt;TODAY(),1,)</f>
        <v>1</v>
      </c>
      <c r="AF208" s="62"/>
    </row>
    <row r="209" spans="1:32" x14ac:dyDescent="0.25">
      <c r="A209" s="62"/>
      <c r="B209" s="99" t="s">
        <v>32</v>
      </c>
      <c r="C209" s="100" t="str">
        <f>VLOOKUP(Table2[[#This Row],[Course Title]],'TSD-Data'!$A$1:$E$56,2,FALSE)</f>
        <v>A-493-2300</v>
      </c>
      <c r="D209" s="100" t="str">
        <f>VLOOKUP(Table2[[#This Row],[Course Title]],'TSD-Data'!$A$1:$E$56,3,FALSE)</f>
        <v>993F</v>
      </c>
      <c r="E209" s="99" t="s">
        <v>309</v>
      </c>
      <c r="F209" s="102">
        <v>45733</v>
      </c>
      <c r="G209" s="102">
        <v>45734</v>
      </c>
      <c r="H209" s="105">
        <v>0.33333333333333331</v>
      </c>
      <c r="I209" s="108"/>
      <c r="J209" s="108"/>
      <c r="K209" s="108"/>
      <c r="L209" s="108"/>
      <c r="M209" s="108"/>
      <c r="N209" s="108"/>
      <c r="O209" s="15" t="s">
        <v>94</v>
      </c>
      <c r="P209" s="15"/>
      <c r="Q209" s="15">
        <f>VLOOKUP(Table2[[#This Row],[Course Title]],'TSD-Data'!$A$1:$E$56,4,FALSE)</f>
        <v>30</v>
      </c>
      <c r="R209" s="15">
        <f>VLOOKUP(Table2[[#This Row],[Course Title]],'TSD-Data'!$A$1:$F$53,6,FALSE)</f>
        <v>16</v>
      </c>
      <c r="S209" s="15">
        <f>VLOOKUP(Table2[[#This Row],[Course Title]],'TSD-Data'!$A$1:$E$56,5,FALSE)</f>
        <v>2</v>
      </c>
      <c r="T209" s="15">
        <v>23</v>
      </c>
      <c r="U209" s="15"/>
      <c r="V209" s="15"/>
      <c r="W209" s="15"/>
      <c r="X209" s="103"/>
      <c r="Y209" s="15"/>
      <c r="Z209" s="15"/>
      <c r="AA209" s="15"/>
      <c r="AB209" s="99"/>
      <c r="AC209" s="71">
        <f ca="1">Table2[[#This Row],[End Date]]+2-TODAY()</f>
        <v>204</v>
      </c>
      <c r="AD209" s="15">
        <f>IF(ISBLANK(Table2[[#This Row],[Roster Received By]]),1,0)</f>
        <v>1</v>
      </c>
      <c r="AE209" s="15">
        <f ca="1">IF(Table2[[#This Row],[Start Date]]&gt;TODAY(),1,)</f>
        <v>1</v>
      </c>
      <c r="AF209" s="62"/>
    </row>
    <row r="210" spans="1:32" x14ac:dyDescent="0.25">
      <c r="A210" s="62"/>
      <c r="B210" s="99" t="s">
        <v>59</v>
      </c>
      <c r="C210" s="100" t="str">
        <f>VLOOKUP(Table2[[#This Row],[Course Title]],'TSD-Data'!$A$1:$E$56,2,FALSE)</f>
        <v>A-493-0550</v>
      </c>
      <c r="D210" s="100" t="str">
        <f>VLOOKUP(Table2[[#This Row],[Course Title]],'TSD-Data'!$A$1:$E$56,3,FALSE)</f>
        <v>09K5</v>
      </c>
      <c r="E210" s="99" t="s">
        <v>80</v>
      </c>
      <c r="F210" s="102">
        <v>45733</v>
      </c>
      <c r="G210" s="102">
        <v>45736</v>
      </c>
      <c r="H210" s="105"/>
      <c r="I210" s="101">
        <v>0.33333333333333331</v>
      </c>
      <c r="J210" s="105">
        <v>0.20833333333333334</v>
      </c>
      <c r="K210" s="105">
        <v>0.625</v>
      </c>
      <c r="L210" s="105">
        <v>0.54166666666666663</v>
      </c>
      <c r="M210" s="105">
        <v>8.3333333333333329E-2</v>
      </c>
      <c r="N210" s="105">
        <v>0.875</v>
      </c>
      <c r="O210" s="15" t="s">
        <v>145</v>
      </c>
      <c r="P210" s="15"/>
      <c r="Q210" s="103">
        <f>VLOOKUP(Table2[[#This Row],[Course Title]],'TSD-Data'!$A$1:$E$56,4,FALSE)</f>
        <v>45</v>
      </c>
      <c r="R210" s="15">
        <f>VLOOKUP(Table2[[#This Row],[Course Title]],'TSD-Data'!$A$1:$F$53,6,FALSE)</f>
        <v>32</v>
      </c>
      <c r="S210" s="15">
        <f>VLOOKUP(Table2[[#This Row],[Course Title]],'TSD-Data'!$A$1:$E$56,5,FALSE)</f>
        <v>4</v>
      </c>
      <c r="T210" s="15">
        <v>845</v>
      </c>
      <c r="U210" s="15"/>
      <c r="V210" s="15"/>
      <c r="W210" s="103"/>
      <c r="X210" s="103"/>
      <c r="Y210" s="15"/>
      <c r="Z210" s="15"/>
      <c r="AA210" s="15"/>
      <c r="AB210" s="99"/>
      <c r="AC210" s="71">
        <f ca="1">Table2[[#This Row],[End Date]]+2-TODAY()</f>
        <v>206</v>
      </c>
      <c r="AD210" s="15">
        <f>IF(ISBLANK(Table2[[#This Row],[Roster Received By]]),1,0)</f>
        <v>1</v>
      </c>
      <c r="AE210" s="15">
        <f ca="1">IF(Table2[[#This Row],[Start Date]]&gt;TODAY(),1,)</f>
        <v>1</v>
      </c>
      <c r="AF210" s="62"/>
    </row>
    <row r="211" spans="1:32" x14ac:dyDescent="0.25">
      <c r="A211" s="62"/>
      <c r="B211" s="99" t="s">
        <v>60</v>
      </c>
      <c r="C211" s="100" t="str">
        <f>VLOOKUP(Table2[[#This Row],[Course Title]],'TSD-Data'!$A$1:$E$56,2,FALSE)</f>
        <v>A-493-0073</v>
      </c>
      <c r="D211" s="100" t="str">
        <f>VLOOKUP(Table2[[#This Row],[Course Title]],'TSD-Data'!$A$1:$E$56,3,FALSE)</f>
        <v>714S</v>
      </c>
      <c r="E211" s="99" t="s">
        <v>80</v>
      </c>
      <c r="F211" s="102">
        <v>45733</v>
      </c>
      <c r="G211" s="102">
        <v>45736</v>
      </c>
      <c r="H211" s="105"/>
      <c r="I211" s="101">
        <v>0.58333333333333337</v>
      </c>
      <c r="J211" s="101">
        <v>0.45833333333333331</v>
      </c>
      <c r="K211" s="101">
        <v>0.875</v>
      </c>
      <c r="L211" s="101">
        <v>0.79166666666666663</v>
      </c>
      <c r="M211" s="101">
        <v>0.33333333333333331</v>
      </c>
      <c r="N211" s="101">
        <v>0.125</v>
      </c>
      <c r="O211" s="15" t="s">
        <v>160</v>
      </c>
      <c r="P211" s="15"/>
      <c r="Q211" s="15">
        <f>VLOOKUP(Table2[[#This Row],[Course Title]],'TSD-Data'!$A$1:$E$56,4,FALSE)</f>
        <v>30</v>
      </c>
      <c r="R211" s="15">
        <f>VLOOKUP(Table2[[#This Row],[Course Title]],'TSD-Data'!$A$1:$F$53,6,FALSE)</f>
        <v>32</v>
      </c>
      <c r="S211" s="15">
        <f>VLOOKUP(Table2[[#This Row],[Course Title]],'TSD-Data'!$A$1:$E$56,5,FALSE)</f>
        <v>4</v>
      </c>
      <c r="T211" s="15">
        <v>194</v>
      </c>
      <c r="U211" s="15"/>
      <c r="V211" s="15"/>
      <c r="W211" s="15"/>
      <c r="X211" s="103"/>
      <c r="Y211" s="15"/>
      <c r="Z211" s="15"/>
      <c r="AA211" s="15"/>
      <c r="AB211" s="99"/>
      <c r="AC211" s="71">
        <f ca="1">Table2[[#This Row],[End Date]]+2-TODAY()</f>
        <v>206</v>
      </c>
      <c r="AD211" s="15">
        <f>IF(ISBLANK(Table2[[#This Row],[Roster Received By]]),1,0)</f>
        <v>1</v>
      </c>
      <c r="AE211" s="15">
        <f ca="1">IF(Table2[[#This Row],[Start Date]]&gt;TODAY(),1,)</f>
        <v>1</v>
      </c>
      <c r="AF211" s="62"/>
    </row>
    <row r="212" spans="1:32" x14ac:dyDescent="0.25">
      <c r="A212" s="100"/>
      <c r="B212" s="99" t="s">
        <v>39</v>
      </c>
      <c r="C212" s="100" t="str">
        <f>VLOOKUP(Table2[[#This Row],[Course Title]],'TSD-Data'!$A$1:$E$56,2,FALSE)</f>
        <v>A-570-0100</v>
      </c>
      <c r="D212" s="100" t="str">
        <f>VLOOKUP(Table2[[#This Row],[Course Title]],'TSD-Data'!$A$1:$E$56,3,FALSE)</f>
        <v>18B7</v>
      </c>
      <c r="E212" s="99" t="s">
        <v>80</v>
      </c>
      <c r="F212" s="102">
        <v>45733</v>
      </c>
      <c r="G212" s="102">
        <v>45736</v>
      </c>
      <c r="H212" s="105"/>
      <c r="I212" s="105">
        <v>0.54166666666666663</v>
      </c>
      <c r="J212" s="101">
        <v>0.41666666666666669</v>
      </c>
      <c r="K212" s="101">
        <v>0.83333333333333337</v>
      </c>
      <c r="L212" s="101">
        <v>0.75</v>
      </c>
      <c r="M212" s="105">
        <v>8.3333333333333329E-2</v>
      </c>
      <c r="N212" s="101">
        <v>8.3333333333333329E-2</v>
      </c>
      <c r="O212" s="15" t="s">
        <v>79</v>
      </c>
      <c r="P212" s="15"/>
      <c r="Q212" s="15">
        <f>VLOOKUP(Table2[[#This Row],[Course Title]],'TSD-Data'!$A$1:$E$56,4,FALSE)</f>
        <v>45</v>
      </c>
      <c r="R212" s="15">
        <f>VLOOKUP(Table2[[#This Row],[Course Title]],'TSD-Data'!$A$1:$F$53,6,FALSE)</f>
        <v>16</v>
      </c>
      <c r="S212" s="15">
        <f>VLOOKUP(Table2[[#This Row],[Course Title]],'TSD-Data'!$A$1:$E$56,5,FALSE)</f>
        <v>2</v>
      </c>
      <c r="T212" s="15">
        <v>621</v>
      </c>
      <c r="U212" s="15"/>
      <c r="V212" s="15"/>
      <c r="W212" s="104"/>
      <c r="X212" s="104"/>
      <c r="Y212" s="100"/>
      <c r="Z212" s="100"/>
      <c r="AA212" s="104"/>
      <c r="AB212" s="99"/>
      <c r="AC212" s="71">
        <f ca="1">Table2[[#This Row],[End Date]]+2-TODAY()</f>
        <v>206</v>
      </c>
      <c r="AD212" s="15">
        <f>IF(ISBLANK(Table2[[#This Row],[Roster Received By]]),1,0)</f>
        <v>1</v>
      </c>
      <c r="AE212" s="15">
        <f ca="1">IF(Table2[[#This Row],[Start Date]]&gt;TODAY(),1,)</f>
        <v>1</v>
      </c>
      <c r="AF212" s="62"/>
    </row>
    <row r="213" spans="1:32" x14ac:dyDescent="0.25">
      <c r="A213" s="100"/>
      <c r="B213" s="99" t="s">
        <v>231</v>
      </c>
      <c r="C213" s="100" t="str">
        <f>VLOOKUP(Table2[[#This Row],[Course Title]],'TSD-Data'!$A$1:$E$56,2,FALSE)</f>
        <v>A-4J-0019</v>
      </c>
      <c r="D213" s="100" t="s">
        <v>381</v>
      </c>
      <c r="E213" s="99" t="s">
        <v>270</v>
      </c>
      <c r="F213" s="102">
        <v>45733</v>
      </c>
      <c r="G213" s="102">
        <v>45736</v>
      </c>
      <c r="H213" s="105">
        <v>0.33333333333333331</v>
      </c>
      <c r="I213" s="105"/>
      <c r="J213" s="102"/>
      <c r="K213" s="102"/>
      <c r="L213" s="102"/>
      <c r="M213" s="102"/>
      <c r="N213" s="102"/>
      <c r="O213" s="15" t="s">
        <v>205</v>
      </c>
      <c r="P213" s="15" t="s">
        <v>201</v>
      </c>
      <c r="Q213" s="103">
        <f>VLOOKUP(Table2[[#This Row],[Course Title]],'TSD-Data'!$A$1:$E$56,4,FALSE)</f>
        <v>20</v>
      </c>
      <c r="R213" s="15">
        <f>VLOOKUP(Table2[[#This Row],[Course Title]],'TSD-Data'!$A$1:$F$53,6,FALSE)</f>
        <v>0</v>
      </c>
      <c r="S213" s="104">
        <f>VLOOKUP(Table2[[#This Row],[Course Title]],'TSD-Data'!$A$1:$E$56,5,FALSE)</f>
        <v>5</v>
      </c>
      <c r="T213" s="104">
        <v>351</v>
      </c>
      <c r="U213" s="104"/>
      <c r="V213" s="104"/>
      <c r="W213" s="104"/>
      <c r="X213" s="104"/>
      <c r="Y213" s="100"/>
      <c r="Z213" s="100"/>
      <c r="AA213" s="104"/>
      <c r="AB213" s="99"/>
      <c r="AC213" s="71">
        <f ca="1">Table2[[#This Row],[End Date]]+2-TODAY()</f>
        <v>206</v>
      </c>
      <c r="AD213" s="15">
        <f>IF(ISBLANK(Table2[[#This Row],[Roster Received By]]),1,0)</f>
        <v>1</v>
      </c>
      <c r="AE213" s="15">
        <f ca="1">IF(Table2[[#This Row],[Start Date]]&gt;TODAY(),1,)</f>
        <v>1</v>
      </c>
      <c r="AF213" s="62"/>
    </row>
    <row r="214" spans="1:32" x14ac:dyDescent="0.25">
      <c r="A214" s="100"/>
      <c r="B214" s="99" t="s">
        <v>40</v>
      </c>
      <c r="C214" s="100" t="str">
        <f>VLOOKUP(Table2[[#This Row],[Course Title]],'TSD-Data'!$A$1:$E$56,2,FALSE)</f>
        <v>A-493-2098</v>
      </c>
      <c r="D214" s="100" t="str">
        <f>VLOOKUP(Table2[[#This Row],[Course Title]],'TSD-Data'!$A$1:$E$56,3,FALSE)</f>
        <v>09WW</v>
      </c>
      <c r="E214" s="99" t="s">
        <v>80</v>
      </c>
      <c r="F214" s="102">
        <v>45733</v>
      </c>
      <c r="G214" s="102">
        <v>45737</v>
      </c>
      <c r="H214" s="105"/>
      <c r="I214" s="105">
        <v>0.54166666666666663</v>
      </c>
      <c r="J214" s="101">
        <v>0.41666666666666669</v>
      </c>
      <c r="K214" s="101">
        <v>0.83333333333333337</v>
      </c>
      <c r="L214" s="101">
        <v>0.75</v>
      </c>
      <c r="M214" s="105">
        <v>8.3333333333333329E-2</v>
      </c>
      <c r="N214" s="101">
        <v>8.3333333333333329E-2</v>
      </c>
      <c r="O214" s="15" t="s">
        <v>110</v>
      </c>
      <c r="P214" s="15"/>
      <c r="Q214" s="15">
        <f>VLOOKUP(Table2[[#This Row],[Course Title]],'TSD-Data'!$A$1:$E$56,4,FALSE)</f>
        <v>100</v>
      </c>
      <c r="R214" s="15">
        <f>VLOOKUP(Table2[[#This Row],[Course Title]],'TSD-Data'!$A$1:$F$53,6,FALSE)</f>
        <v>16</v>
      </c>
      <c r="S214" s="15">
        <f>VLOOKUP(Table2[[#This Row],[Course Title]],'TSD-Data'!$A$1:$E$56,5,FALSE)</f>
        <v>2</v>
      </c>
      <c r="T214" s="15">
        <v>1432</v>
      </c>
      <c r="U214" s="15"/>
      <c r="V214" s="15"/>
      <c r="W214" s="104"/>
      <c r="X214" s="104"/>
      <c r="Y214" s="100"/>
      <c r="Z214" s="100"/>
      <c r="AA214" s="104"/>
      <c r="AB214" s="99"/>
      <c r="AC214" s="71">
        <f ca="1">Table2[[#This Row],[End Date]]+2-TODAY()</f>
        <v>207</v>
      </c>
      <c r="AD214" s="15">
        <f>IF(ISBLANK(Table2[[#This Row],[Roster Received By]]),1,0)</f>
        <v>1</v>
      </c>
      <c r="AE214" s="15">
        <f ca="1">IF(Table2[[#This Row],[Start Date]]&gt;TODAY(),1,)</f>
        <v>1</v>
      </c>
      <c r="AF214" s="62"/>
    </row>
    <row r="215" spans="1:32" x14ac:dyDescent="0.25">
      <c r="A215" s="62"/>
      <c r="B215" s="99" t="s">
        <v>53</v>
      </c>
      <c r="C215" s="100" t="str">
        <f>VLOOKUP(Table2[[#This Row],[Course Title]],'TSD-Data'!$A$1:$E$56,2,FALSE)</f>
        <v>A-493-0072</v>
      </c>
      <c r="D215" s="100" t="str">
        <f>VLOOKUP(Table2[[#This Row],[Course Title]],'TSD-Data'!$A$1:$E$56,3,FALSE)</f>
        <v>713U</v>
      </c>
      <c r="E215" s="99" t="s">
        <v>292</v>
      </c>
      <c r="F215" s="102">
        <v>45733</v>
      </c>
      <c r="G215" s="102">
        <v>45737</v>
      </c>
      <c r="H215" s="105">
        <v>0.33333333333333331</v>
      </c>
      <c r="I215" s="108"/>
      <c r="J215" s="230"/>
      <c r="K215" s="230"/>
      <c r="L215" s="230"/>
      <c r="M215" s="230"/>
      <c r="N215" s="230"/>
      <c r="O215" s="15" t="s">
        <v>175</v>
      </c>
      <c r="P215" s="15" t="s">
        <v>116</v>
      </c>
      <c r="Q215" s="15">
        <f>VLOOKUP(Table2[[#This Row],[Course Title]],'TSD-Data'!$A$1:$E$56,4,FALSE)</f>
        <v>30</v>
      </c>
      <c r="R215" s="15">
        <f>VLOOKUP(Table2[[#This Row],[Course Title]],'TSD-Data'!$A$1:$F$53,6,FALSE)</f>
        <v>40</v>
      </c>
      <c r="S215" s="15">
        <f>VLOOKUP(Table2[[#This Row],[Course Title]],'TSD-Data'!$A$1:$E$56,5,FALSE)</f>
        <v>5</v>
      </c>
      <c r="T215" s="15">
        <v>186</v>
      </c>
      <c r="U215" s="15"/>
      <c r="V215" s="15"/>
      <c r="W215" s="15"/>
      <c r="X215" s="103"/>
      <c r="Y215" s="15"/>
      <c r="Z215" s="15"/>
      <c r="AA215" s="15"/>
      <c r="AB215" s="99"/>
      <c r="AC215" s="71">
        <f ca="1">Table2[[#This Row],[End Date]]+2-TODAY()</f>
        <v>207</v>
      </c>
      <c r="AD215" s="15">
        <f>IF(ISBLANK(Table2[[#This Row],[Roster Received By]]),1,0)</f>
        <v>1</v>
      </c>
      <c r="AE215" s="15">
        <f ca="1">IF(Table2[[#This Row],[Start Date]]&gt;TODAY(),1,)</f>
        <v>1</v>
      </c>
      <c r="AF215" s="62"/>
    </row>
    <row r="216" spans="1:32" x14ac:dyDescent="0.25">
      <c r="A216" s="100"/>
      <c r="B216" s="99" t="s">
        <v>57</v>
      </c>
      <c r="C216" s="100" t="str">
        <f>VLOOKUP(Table2[[#This Row],[Course Title]],'TSD-Data'!$A$1:$E$56,2,FALSE)</f>
        <v>A-493-0099</v>
      </c>
      <c r="D216" s="100" t="str">
        <f>VLOOKUP(Table2[[#This Row],[Course Title]],'TSD-Data'!$A$1:$E$56,3,FALSE)</f>
        <v>12JW</v>
      </c>
      <c r="E216" s="99" t="s">
        <v>80</v>
      </c>
      <c r="F216" s="102">
        <v>45734</v>
      </c>
      <c r="G216" s="102">
        <v>45736</v>
      </c>
      <c r="H216" s="105"/>
      <c r="I216" s="101">
        <v>0.79166666666666663</v>
      </c>
      <c r="J216" s="101">
        <v>0.66666666666666663</v>
      </c>
      <c r="K216" s="101">
        <v>8.3333333333333329E-2</v>
      </c>
      <c r="L216" s="101">
        <v>0</v>
      </c>
      <c r="M216" s="101">
        <v>0.54166666666666663</v>
      </c>
      <c r="N216" s="101">
        <v>0.33333333333333331</v>
      </c>
      <c r="O216" s="15" t="s">
        <v>145</v>
      </c>
      <c r="P216" s="15"/>
      <c r="Q216" s="103">
        <f>VLOOKUP(Table2[[#This Row],[Course Title]],'TSD-Data'!$A$1:$E$56,4,FALSE)</f>
        <v>45</v>
      </c>
      <c r="R216" s="15">
        <f>VLOOKUP(Table2[[#This Row],[Course Title]],'TSD-Data'!$A$1:$F$53,6,FALSE)</f>
        <v>24</v>
      </c>
      <c r="S216" s="15">
        <f>VLOOKUP(Table2[[#This Row],[Course Title]],'TSD-Data'!$A$1:$E$56,5,FALSE)</f>
        <v>3</v>
      </c>
      <c r="T216" s="15">
        <v>155</v>
      </c>
      <c r="U216" s="15"/>
      <c r="V216" s="15"/>
      <c r="W216" s="104"/>
      <c r="X216" s="104"/>
      <c r="Y216" s="100"/>
      <c r="Z216" s="100"/>
      <c r="AA216" s="104"/>
      <c r="AB216" s="99"/>
      <c r="AC216" s="71">
        <f ca="1">Table2[[#This Row],[End Date]]+2-TODAY()</f>
        <v>206</v>
      </c>
      <c r="AD216" s="15">
        <f>IF(ISBLANK(Table2[[#This Row],[Roster Received By]]),1,0)</f>
        <v>1</v>
      </c>
      <c r="AE216" s="15">
        <f ca="1">IF(Table2[[#This Row],[Start Date]]&gt;TODAY(),1,)</f>
        <v>1</v>
      </c>
      <c r="AF216" s="62"/>
    </row>
    <row r="217" spans="1:32" x14ac:dyDescent="0.25">
      <c r="A217" s="99"/>
      <c r="B217" s="99" t="s">
        <v>50</v>
      </c>
      <c r="C217" s="100" t="str">
        <f>VLOOKUP(Table2[[#This Row],[Course Title]],'TSD-Data'!$A$1:$E$56,2,FALSE)</f>
        <v>A-493-0331</v>
      </c>
      <c r="D217" s="100" t="str">
        <f>VLOOKUP(Table2[[#This Row],[Course Title]],'TSD-Data'!$A$1:$E$56,3,FALSE)</f>
        <v>10UG</v>
      </c>
      <c r="E217" s="99" t="s">
        <v>80</v>
      </c>
      <c r="F217" s="102">
        <v>45734</v>
      </c>
      <c r="G217" s="102">
        <v>45736</v>
      </c>
      <c r="H217" s="105"/>
      <c r="I217" s="101">
        <v>0.5</v>
      </c>
      <c r="J217" s="101">
        <v>0.375</v>
      </c>
      <c r="K217" s="101">
        <v>0.79166666666666663</v>
      </c>
      <c r="L217" s="101">
        <v>0.75</v>
      </c>
      <c r="M217" s="101">
        <v>0.25</v>
      </c>
      <c r="N217" s="101">
        <v>4.1666666666666664E-2</v>
      </c>
      <c r="O217" s="15" t="s">
        <v>186</v>
      </c>
      <c r="P217" s="15"/>
      <c r="Q217" s="15">
        <f>VLOOKUP(Table2[[#This Row],[Course Title]],'TSD-Data'!$A$1:$E$56,4,FALSE)</f>
        <v>45</v>
      </c>
      <c r="R217" s="15">
        <f>VLOOKUP(Table2[[#This Row],[Course Title]],'TSD-Data'!$A$1:$F$53,6,FALSE)</f>
        <v>24</v>
      </c>
      <c r="S217" s="15">
        <f>VLOOKUP(Table2[[#This Row],[Course Title]],'TSD-Data'!$A$1:$E$56,5,FALSE)</f>
        <v>3</v>
      </c>
      <c r="T217" s="15">
        <v>805</v>
      </c>
      <c r="U217" s="15"/>
      <c r="V217" s="15"/>
      <c r="W217" s="103"/>
      <c r="X217" s="103"/>
      <c r="Y217" s="15"/>
      <c r="Z217" s="15"/>
      <c r="AA217" s="15"/>
      <c r="AB217" s="99"/>
      <c r="AC217" s="71">
        <f ca="1">Table2[[#This Row],[End Date]]+2-TODAY()</f>
        <v>206</v>
      </c>
      <c r="AD217" s="15">
        <f>IF(ISBLANK(Table2[[#This Row],[Roster Received By]]),1,0)</f>
        <v>1</v>
      </c>
      <c r="AE217" s="15">
        <f ca="1">IF(Table2[[#This Row],[Start Date]]&gt;TODAY(),1,)</f>
        <v>1</v>
      </c>
      <c r="AF217" s="62"/>
    </row>
    <row r="218" spans="1:32" x14ac:dyDescent="0.25">
      <c r="A218" s="62"/>
      <c r="B218" s="99" t="s">
        <v>34</v>
      </c>
      <c r="C218" s="100" t="str">
        <f>VLOOKUP(Table2[[#This Row],[Course Title]],'TSD-Data'!$A$1:$E$56,2,FALSE)</f>
        <v>A-493-0216</v>
      </c>
      <c r="D218" s="100" t="str">
        <f>VLOOKUP(Table2[[#This Row],[Course Title]],'TSD-Data'!$A$1:$E$56,3,FALSE)</f>
        <v>12X8</v>
      </c>
      <c r="E218" s="99" t="s">
        <v>309</v>
      </c>
      <c r="F218" s="110">
        <v>45735</v>
      </c>
      <c r="G218" s="110">
        <v>45735</v>
      </c>
      <c r="H218" s="105">
        <v>0.33333333333333331</v>
      </c>
      <c r="I218" s="108"/>
      <c r="J218" s="108"/>
      <c r="K218" s="108"/>
      <c r="L218" s="108"/>
      <c r="M218" s="108"/>
      <c r="N218" s="108"/>
      <c r="O218" s="15" t="s">
        <v>94</v>
      </c>
      <c r="P218" s="15"/>
      <c r="Q218" s="15">
        <f>VLOOKUP(Table2[[#This Row],[Course Title]],'TSD-Data'!$A$1:$E$56,4,FALSE)</f>
        <v>30</v>
      </c>
      <c r="R218" s="15">
        <f>VLOOKUP(Table2[[#This Row],[Course Title]],'TSD-Data'!$A$1:$F$53,6,FALSE)</f>
        <v>8</v>
      </c>
      <c r="S218" s="15">
        <f>VLOOKUP(Table2[[#This Row],[Course Title]],'TSD-Data'!$A$1:$E$56,5,FALSE)</f>
        <v>1</v>
      </c>
      <c r="T218" s="15">
        <v>24</v>
      </c>
      <c r="U218" s="15"/>
      <c r="V218" s="15"/>
      <c r="W218" s="15"/>
      <c r="X218" s="103"/>
      <c r="Y218" s="15"/>
      <c r="Z218" s="15"/>
      <c r="AA218" s="15"/>
      <c r="AB218" s="99"/>
      <c r="AC218" s="71">
        <f ca="1">Table2[[#This Row],[End Date]]+2-TODAY()</f>
        <v>205</v>
      </c>
      <c r="AD218" s="15">
        <f>IF(ISBLANK(Table2[[#This Row],[Roster Received By]]),1,0)</f>
        <v>1</v>
      </c>
      <c r="AE218" s="15">
        <f ca="1">IF(Table2[[#This Row],[Start Date]]&gt;TODAY(),1,)</f>
        <v>1</v>
      </c>
      <c r="AF218" s="62"/>
    </row>
    <row r="219" spans="1:32" x14ac:dyDescent="0.25">
      <c r="A219" s="62"/>
      <c r="B219" s="99" t="s">
        <v>35</v>
      </c>
      <c r="C219" s="100" t="str">
        <f>VLOOKUP(Table2[[#This Row],[Course Title]],'TSD-Data'!$A$1:$E$56,2,FALSE)</f>
        <v>A-493-2501</v>
      </c>
      <c r="D219" s="100" t="str">
        <f>VLOOKUP(Table2[[#This Row],[Course Title]],'TSD-Data'!$A$1:$E$56,3,FALSE)</f>
        <v>05ZE</v>
      </c>
      <c r="E219" s="99" t="s">
        <v>309</v>
      </c>
      <c r="F219" s="102">
        <v>45736</v>
      </c>
      <c r="G219" s="102">
        <v>45736</v>
      </c>
      <c r="H219" s="105">
        <v>0.33333333333333331</v>
      </c>
      <c r="I219" s="108"/>
      <c r="J219" s="108"/>
      <c r="K219" s="108"/>
      <c r="L219" s="108"/>
      <c r="M219" s="108"/>
      <c r="N219" s="108"/>
      <c r="O219" s="15" t="s">
        <v>94</v>
      </c>
      <c r="P219" s="15"/>
      <c r="Q219" s="15">
        <f>VLOOKUP(Table2[[#This Row],[Course Title]],'TSD-Data'!$A$1:$E$56,4,FALSE)</f>
        <v>30</v>
      </c>
      <c r="R219" s="15">
        <f>VLOOKUP(Table2[[#This Row],[Course Title]],'TSD-Data'!$A$1:$F$53,6,FALSE)</f>
        <v>8</v>
      </c>
      <c r="S219" s="15">
        <f>VLOOKUP(Table2[[#This Row],[Course Title]],'TSD-Data'!$A$1:$E$56,5,FALSE)</f>
        <v>1</v>
      </c>
      <c r="T219" s="15">
        <v>28</v>
      </c>
      <c r="U219" s="15"/>
      <c r="V219" s="15"/>
      <c r="W219" s="15"/>
      <c r="X219" s="103"/>
      <c r="Y219" s="15"/>
      <c r="Z219" s="15"/>
      <c r="AA219" s="100"/>
      <c r="AB219" s="99"/>
      <c r="AC219" s="71">
        <f ca="1">Table2[[#This Row],[End Date]]+2-TODAY()</f>
        <v>206</v>
      </c>
      <c r="AD219" s="15">
        <f>IF(ISBLANK(Table2[[#This Row],[Roster Received By]]),1,0)</f>
        <v>1</v>
      </c>
      <c r="AE219" s="15">
        <f ca="1">IF(Table2[[#This Row],[Start Date]]&gt;TODAY(),1,)</f>
        <v>1</v>
      </c>
      <c r="AF219" s="62"/>
    </row>
    <row r="220" spans="1:32" x14ac:dyDescent="0.25">
      <c r="A220" s="62"/>
      <c r="B220" s="99" t="s">
        <v>37</v>
      </c>
      <c r="C220" s="100" t="str">
        <f>VLOOKUP(Table2[[#This Row],[Course Title]],'TSD-Data'!$A$1:$E$56,2,FALSE)</f>
        <v>A-493-0665</v>
      </c>
      <c r="D220" s="100" t="str">
        <f>VLOOKUP(Table2[[#This Row],[Course Title]],'TSD-Data'!$A$1:$E$56,3,FALSE)</f>
        <v>10KW</v>
      </c>
      <c r="E220" s="99" t="s">
        <v>80</v>
      </c>
      <c r="F220" s="102">
        <v>45739</v>
      </c>
      <c r="G220" s="102">
        <v>45743</v>
      </c>
      <c r="H220" s="105"/>
      <c r="I220" s="105">
        <v>0.79166666666666663</v>
      </c>
      <c r="J220" s="101">
        <v>0.66666666666666663</v>
      </c>
      <c r="K220" s="101">
        <v>8.3333333333333329E-2</v>
      </c>
      <c r="L220" s="101">
        <v>0</v>
      </c>
      <c r="M220" s="101">
        <v>0.54166666666666663</v>
      </c>
      <c r="N220" s="101">
        <v>0.33333333333333331</v>
      </c>
      <c r="O220" s="15" t="s">
        <v>120</v>
      </c>
      <c r="P220" s="15"/>
      <c r="Q220" s="15">
        <f>VLOOKUP(Table2[[#This Row],[Course Title]],'TSD-Data'!$A$1:$E$56,4,FALSE)</f>
        <v>45</v>
      </c>
      <c r="R220" s="15">
        <f>VLOOKUP(Table2[[#This Row],[Course Title]],'TSD-Data'!$A$1:$F$53,6,FALSE)</f>
        <v>24</v>
      </c>
      <c r="S220" s="15">
        <f>VLOOKUP(Table2[[#This Row],[Course Title]],'TSD-Data'!$A$1:$E$56,5,FALSE)</f>
        <v>3</v>
      </c>
      <c r="T220" s="15">
        <v>39</v>
      </c>
      <c r="U220" s="15"/>
      <c r="V220" s="15"/>
      <c r="W220" s="15"/>
      <c r="X220" s="103"/>
      <c r="Y220" s="15"/>
      <c r="Z220" s="15"/>
      <c r="AA220" s="15"/>
      <c r="AB220" s="99"/>
      <c r="AC220" s="71">
        <f ca="1">Table2[[#This Row],[End Date]]+2-TODAY()</f>
        <v>213</v>
      </c>
      <c r="AD220" s="15">
        <f>IF(ISBLANK(Table2[[#This Row],[Roster Received By]]),1,0)</f>
        <v>1</v>
      </c>
      <c r="AE220" s="15">
        <f ca="1">IF(Table2[[#This Row],[Start Date]]&gt;TODAY(),1,)</f>
        <v>1</v>
      </c>
      <c r="AF220" s="62"/>
    </row>
    <row r="221" spans="1:32" x14ac:dyDescent="0.25">
      <c r="A221" s="62"/>
      <c r="B221" s="99" t="s">
        <v>55</v>
      </c>
      <c r="C221" s="100" t="str">
        <f>VLOOKUP(Table2[[#This Row],[Course Title]],'TSD-Data'!$A$1:$E$56,2,FALSE)</f>
        <v>A-493-0103</v>
      </c>
      <c r="D221" s="100" t="str">
        <f>VLOOKUP(Table2[[#This Row],[Course Title]],'TSD-Data'!$A$1:$E$56,3,FALSE)</f>
        <v>12JY</v>
      </c>
      <c r="E221" s="99" t="s">
        <v>146</v>
      </c>
      <c r="F221" s="102">
        <v>45740</v>
      </c>
      <c r="G221" s="102">
        <v>45744</v>
      </c>
      <c r="H221" s="105">
        <v>0.33333333333333331</v>
      </c>
      <c r="I221" s="108"/>
      <c r="J221" s="230"/>
      <c r="K221" s="230"/>
      <c r="L221" s="230"/>
      <c r="M221" s="230"/>
      <c r="N221" s="230"/>
      <c r="O221" s="15" t="s">
        <v>160</v>
      </c>
      <c r="P221" s="15"/>
      <c r="Q221" s="15">
        <f>VLOOKUP(Table2[[#This Row],[Course Title]],'TSD-Data'!$A$1:$E$56,4,FALSE)</f>
        <v>25</v>
      </c>
      <c r="R221" s="15">
        <f>VLOOKUP(Table2[[#This Row],[Course Title]],'TSD-Data'!$A$1:$F$53,6,FALSE)</f>
        <v>40</v>
      </c>
      <c r="S221" s="15">
        <f>VLOOKUP(Table2[[#This Row],[Course Title]],'TSD-Data'!$A$1:$E$56,5,FALSE)</f>
        <v>5</v>
      </c>
      <c r="T221" s="15">
        <v>125</v>
      </c>
      <c r="U221" s="15"/>
      <c r="V221" s="15"/>
      <c r="W221" s="15"/>
      <c r="X221" s="103"/>
      <c r="Y221" s="15"/>
      <c r="Z221" s="15"/>
      <c r="AA221" s="15"/>
      <c r="AB221" s="99"/>
      <c r="AC221" s="71">
        <f ca="1">Table2[[#This Row],[End Date]]+2-TODAY()</f>
        <v>214</v>
      </c>
      <c r="AD221" s="15">
        <f>IF(ISBLANK(Table2[[#This Row],[Roster Received By]]),1,0)</f>
        <v>1</v>
      </c>
      <c r="AE221" s="15">
        <f ca="1">IF(Table2[[#This Row],[Start Date]]&gt;TODAY(),1,)</f>
        <v>1</v>
      </c>
      <c r="AF221" s="62"/>
    </row>
    <row r="222" spans="1:32" x14ac:dyDescent="0.25">
      <c r="A222" s="99"/>
      <c r="B222" s="99" t="s">
        <v>55</v>
      </c>
      <c r="C222" s="100" t="str">
        <f>VLOOKUP(Table2[[#This Row],[Course Title]],'TSD-Data'!$A$1:$E$56,2,FALSE)</f>
        <v>A-493-0103</v>
      </c>
      <c r="D222" s="100" t="str">
        <f>VLOOKUP(Table2[[#This Row],[Course Title]],'TSD-Data'!$A$1:$E$56,3,FALSE)</f>
        <v>12JY</v>
      </c>
      <c r="E222" s="65" t="s">
        <v>292</v>
      </c>
      <c r="F222" s="102">
        <v>45740</v>
      </c>
      <c r="G222" s="102">
        <v>45744</v>
      </c>
      <c r="H222" s="105">
        <v>0.33333333333333331</v>
      </c>
      <c r="I222" s="108"/>
      <c r="J222" s="230"/>
      <c r="K222" s="230"/>
      <c r="L222" s="230"/>
      <c r="M222" s="230"/>
      <c r="N222" s="230"/>
      <c r="O222" s="15" t="s">
        <v>160</v>
      </c>
      <c r="P222" s="15"/>
      <c r="Q222" s="15">
        <f>VLOOKUP(Table2[[#This Row],[Course Title]],'TSD-Data'!$A$1:$E$56,4,FALSE)</f>
        <v>25</v>
      </c>
      <c r="R222" s="15">
        <f>VLOOKUP(Table2[[#This Row],[Course Title]],'TSD-Data'!$A$1:$F$53,6,FALSE)</f>
        <v>40</v>
      </c>
      <c r="S222" s="15">
        <f>VLOOKUP(Table2[[#This Row],[Course Title]],'TSD-Data'!$A$1:$E$56,5,FALSE)</f>
        <v>5</v>
      </c>
      <c r="T222" s="15">
        <v>248</v>
      </c>
      <c r="U222" s="15"/>
      <c r="V222" s="15"/>
      <c r="W222" s="15"/>
      <c r="X222" s="103"/>
      <c r="Y222" s="15"/>
      <c r="Z222" s="15"/>
      <c r="AA222" s="100"/>
      <c r="AB222" s="99"/>
      <c r="AC222" s="71">
        <f ca="1">Table2[[#This Row],[End Date]]+2-TODAY()</f>
        <v>214</v>
      </c>
      <c r="AD222" s="15">
        <f>IF(ISBLANK(Table2[[#This Row],[Roster Received By]]),1,0)</f>
        <v>1</v>
      </c>
      <c r="AE222" s="15">
        <f ca="1">IF(Table2[[#This Row],[Start Date]]&gt;TODAY(),1,)</f>
        <v>1</v>
      </c>
      <c r="AF222" s="62"/>
    </row>
    <row r="223" spans="1:32" x14ac:dyDescent="0.25">
      <c r="A223" s="62" t="s">
        <v>396</v>
      </c>
      <c r="B223" s="99" t="s">
        <v>17</v>
      </c>
      <c r="C223" s="100" t="str">
        <f>VLOOKUP(Table2[[#This Row],[Course Title]],'TSD-Data'!$A$1:$E$56,2,FALSE)</f>
        <v>A-493-0012</v>
      </c>
      <c r="D223" s="100">
        <f>VLOOKUP(Table2[[#This Row],[Course Title]],'TSD-Data'!$A$1:$E$56,3,FALSE)</f>
        <v>3682</v>
      </c>
      <c r="E223" s="65" t="s">
        <v>128</v>
      </c>
      <c r="F223" s="102">
        <v>45740</v>
      </c>
      <c r="G223" s="102">
        <v>45744</v>
      </c>
      <c r="H223" s="105">
        <v>0.33333333333333331</v>
      </c>
      <c r="I223" s="105"/>
      <c r="J223" s="108"/>
      <c r="K223" s="108"/>
      <c r="L223" s="108"/>
      <c r="M223" s="108"/>
      <c r="N223" s="108"/>
      <c r="O223" s="15" t="s">
        <v>94</v>
      </c>
      <c r="P223" s="15"/>
      <c r="Q223" s="15">
        <f>VLOOKUP(Table2[[#This Row],[Course Title]],'TSD-Data'!$A$1:$E$56,4,FALSE)</f>
        <v>40</v>
      </c>
      <c r="R223" s="15">
        <f>VLOOKUP(Table2[[#This Row],[Course Title]],'TSD-Data'!$A$1:$F$53,6,FALSE)</f>
        <v>40</v>
      </c>
      <c r="S223" s="15">
        <f>VLOOKUP(Table2[[#This Row],[Course Title]],'TSD-Data'!$A$1:$E$56,5,FALSE)</f>
        <v>5</v>
      </c>
      <c r="T223" s="15">
        <v>0</v>
      </c>
      <c r="U223" s="15"/>
      <c r="V223" s="15"/>
      <c r="W223" s="15"/>
      <c r="X223" s="103"/>
      <c r="Y223" s="15"/>
      <c r="Z223" s="15"/>
      <c r="AA223" s="100"/>
      <c r="AB223" s="99"/>
      <c r="AC223" s="71">
        <f ca="1">Table2[[#This Row],[End Date]]+2-TODAY()</f>
        <v>214</v>
      </c>
      <c r="AD223" s="15">
        <f>IF(ISBLANK(Table2[[#This Row],[Roster Received By]]),1,0)</f>
        <v>1</v>
      </c>
      <c r="AE223" s="15">
        <f ca="1">IF(Table2[[#This Row],[Start Date]]&gt;TODAY(),1,)</f>
        <v>1</v>
      </c>
      <c r="AF223" s="62"/>
    </row>
    <row r="224" spans="1:32" x14ac:dyDescent="0.25">
      <c r="A224" s="62" t="s">
        <v>397</v>
      </c>
      <c r="B224" s="99" t="s">
        <v>17</v>
      </c>
      <c r="C224" s="100" t="str">
        <f>VLOOKUP(Table2[[#This Row],[Course Title]],'TSD-Data'!$A$1:$E$56,2,FALSE)</f>
        <v>A-493-0012</v>
      </c>
      <c r="D224" s="100">
        <f>VLOOKUP(Table2[[#This Row],[Course Title]],'TSD-Data'!$A$1:$E$56,3,FALSE)</f>
        <v>3682</v>
      </c>
      <c r="E224" s="99" t="s">
        <v>111</v>
      </c>
      <c r="F224" s="102">
        <v>45740</v>
      </c>
      <c r="G224" s="102">
        <v>45744</v>
      </c>
      <c r="H224" s="105">
        <v>0.33333333333333331</v>
      </c>
      <c r="I224" s="105"/>
      <c r="J224" s="102"/>
      <c r="K224" s="102"/>
      <c r="L224" s="102"/>
      <c r="M224" s="102"/>
      <c r="N224" s="102"/>
      <c r="O224" s="15"/>
      <c r="P224" s="15"/>
      <c r="Q224" s="103">
        <f>VLOOKUP(Table2[[#This Row],[Course Title]],'TSD-Data'!$A$1:$E$56,4,FALSE)</f>
        <v>40</v>
      </c>
      <c r="R224" s="15">
        <f>VLOOKUP(Table2[[#This Row],[Course Title]],'TSD-Data'!$A$1:$F$53,6,FALSE)</f>
        <v>40</v>
      </c>
      <c r="S224" s="104">
        <f>VLOOKUP(Table2[[#This Row],[Course Title]],'TSD-Data'!$A$1:$E$56,5,FALSE)</f>
        <v>5</v>
      </c>
      <c r="T224" s="104">
        <v>0</v>
      </c>
      <c r="U224" s="104"/>
      <c r="V224" s="104"/>
      <c r="W224" s="103"/>
      <c r="X224" s="103"/>
      <c r="Y224" s="15"/>
      <c r="Z224" s="15"/>
      <c r="AA224" s="15"/>
      <c r="AB224" s="99"/>
      <c r="AC224" s="71">
        <f ca="1">Table2[[#This Row],[End Date]]+2-TODAY()</f>
        <v>214</v>
      </c>
      <c r="AD224" s="15">
        <f>IF(ISBLANK(Table2[[#This Row],[Roster Received By]]),1,0)</f>
        <v>1</v>
      </c>
      <c r="AE224" s="15">
        <f ca="1">IF(Table2[[#This Row],[Start Date]]&gt;TODAY(),1,)</f>
        <v>1</v>
      </c>
      <c r="AF224" s="62"/>
    </row>
    <row r="225" spans="1:32" x14ac:dyDescent="0.25">
      <c r="A225" s="62"/>
      <c r="B225" s="99" t="s">
        <v>29</v>
      </c>
      <c r="C225" s="100" t="str">
        <f>VLOOKUP(Table2[[#This Row],[Course Title]],'TSD-Data'!$A$1:$E$56,2,FALSE)</f>
        <v>A-493-0077</v>
      </c>
      <c r="D225" s="100" t="str">
        <f>VLOOKUP(Table2[[#This Row],[Course Title]],'TSD-Data'!$A$1:$E$56,3,FALSE)</f>
        <v>0381</v>
      </c>
      <c r="E225" s="65" t="s">
        <v>172</v>
      </c>
      <c r="F225" s="102">
        <v>45740</v>
      </c>
      <c r="G225" s="102">
        <v>45742</v>
      </c>
      <c r="H225" s="105">
        <v>0.33333333333333331</v>
      </c>
      <c r="I225" s="101"/>
      <c r="J225" s="108"/>
      <c r="K225" s="108"/>
      <c r="L225" s="108"/>
      <c r="M225" s="108"/>
      <c r="N225" s="108"/>
      <c r="O225" s="15" t="s">
        <v>94</v>
      </c>
      <c r="P225" s="15"/>
      <c r="Q225" s="15">
        <f>VLOOKUP(Table2[[#This Row],[Course Title]],'TSD-Data'!$A$1:$E$56,4,FALSE)</f>
        <v>25</v>
      </c>
      <c r="R225" s="15">
        <f>VLOOKUP(Table2[[#This Row],[Course Title]],'TSD-Data'!$A$1:$F$53,6,FALSE)</f>
        <v>24</v>
      </c>
      <c r="S225" s="15">
        <f>VLOOKUP(Table2[[#This Row],[Course Title]],'TSD-Data'!$A$1:$E$56,5,FALSE)</f>
        <v>3</v>
      </c>
      <c r="T225" s="15">
        <v>45</v>
      </c>
      <c r="U225" s="15"/>
      <c r="V225" s="15"/>
      <c r="W225" s="15"/>
      <c r="X225" s="103"/>
      <c r="Y225" s="15"/>
      <c r="Z225" s="15"/>
      <c r="AA225" s="15"/>
      <c r="AB225" s="99"/>
      <c r="AC225" s="71">
        <f ca="1">Table2[[#This Row],[End Date]]+2-TODAY()</f>
        <v>212</v>
      </c>
      <c r="AD225" s="15">
        <f>IF(ISBLANK(Table2[[#This Row],[Roster Received By]]),1,0)</f>
        <v>1</v>
      </c>
      <c r="AE225" s="15">
        <f ca="1">IF(Table2[[#This Row],[Start Date]]&gt;TODAY(),1,)</f>
        <v>1</v>
      </c>
      <c r="AF225" s="62"/>
    </row>
    <row r="226" spans="1:32" x14ac:dyDescent="0.25">
      <c r="A226" s="62"/>
      <c r="B226" s="99" t="s">
        <v>51</v>
      </c>
      <c r="C226" s="100" t="str">
        <f>VLOOKUP(Table2[[#This Row],[Course Title]],'TSD-Data'!$A$1:$E$56,2,FALSE)</f>
        <v>A-493-0335</v>
      </c>
      <c r="D226" s="100" t="str">
        <f>VLOOKUP(Table2[[#This Row],[Course Title]],'TSD-Data'!$A$1:$E$56,3,FALSE)</f>
        <v>09ND</v>
      </c>
      <c r="E226" s="99" t="s">
        <v>80</v>
      </c>
      <c r="F226" s="102">
        <v>45740</v>
      </c>
      <c r="G226" s="102">
        <v>45743</v>
      </c>
      <c r="H226" s="105"/>
      <c r="I226" s="101">
        <v>0.5</v>
      </c>
      <c r="J226" s="101">
        <v>0.375</v>
      </c>
      <c r="K226" s="101">
        <v>0.79166666666666663</v>
      </c>
      <c r="L226" s="101">
        <v>0.75</v>
      </c>
      <c r="M226" s="101">
        <v>0.25</v>
      </c>
      <c r="N226" s="101">
        <v>4.1666666666666664E-2</v>
      </c>
      <c r="O226" s="15" t="s">
        <v>179</v>
      </c>
      <c r="P226" s="15"/>
      <c r="Q226" s="15">
        <f>VLOOKUP(Table2[[#This Row],[Course Title]],'TSD-Data'!$A$1:$E$56,4,FALSE)</f>
        <v>45</v>
      </c>
      <c r="R226" s="15">
        <f>VLOOKUP(Table2[[#This Row],[Course Title]],'TSD-Data'!$A$1:$F$53,6,FALSE)</f>
        <v>32</v>
      </c>
      <c r="S226" s="15">
        <f>VLOOKUP(Table2[[#This Row],[Course Title]],'TSD-Data'!$A$1:$E$56,5,FALSE)</f>
        <v>4</v>
      </c>
      <c r="T226" s="15">
        <v>400</v>
      </c>
      <c r="U226" s="15"/>
      <c r="V226" s="15"/>
      <c r="W226" s="15"/>
      <c r="X226" s="103"/>
      <c r="Y226" s="15"/>
      <c r="Z226" s="15"/>
      <c r="AA226" s="15"/>
      <c r="AB226" s="99"/>
      <c r="AC226" s="71">
        <f ca="1">Table2[[#This Row],[End Date]]+2-TODAY()</f>
        <v>213</v>
      </c>
      <c r="AD226" s="15">
        <f>IF(ISBLANK(Table2[[#This Row],[Roster Received By]]),1,0)</f>
        <v>1</v>
      </c>
      <c r="AE226" s="15">
        <f ca="1">IF(Table2[[#This Row],[Start Date]]&gt;TODAY(),1,)</f>
        <v>1</v>
      </c>
      <c r="AF226" s="62"/>
    </row>
    <row r="227" spans="1:32" x14ac:dyDescent="0.25">
      <c r="A227" s="62"/>
      <c r="B227" s="99" t="s">
        <v>61</v>
      </c>
      <c r="C227" s="100" t="str">
        <f>VLOOKUP(Table2[[#This Row],[Course Title]],'TSD-Data'!$A$1:$E$56,2,FALSE)</f>
        <v>A-493-0078</v>
      </c>
      <c r="D227" s="100">
        <f>VLOOKUP(Table2[[#This Row],[Course Title]],'TSD-Data'!$A$1:$E$56,3,FALSE)</f>
        <v>1228</v>
      </c>
      <c r="E227" s="99" t="s">
        <v>80</v>
      </c>
      <c r="F227" s="102">
        <v>45740</v>
      </c>
      <c r="G227" s="102">
        <v>45743</v>
      </c>
      <c r="H227" s="105"/>
      <c r="I227" s="105">
        <v>0.33333333333333331</v>
      </c>
      <c r="J227" s="105">
        <v>0.20833333333333334</v>
      </c>
      <c r="K227" s="105">
        <v>0.625</v>
      </c>
      <c r="L227" s="105">
        <v>0.54166666666666663</v>
      </c>
      <c r="M227" s="105">
        <v>8.3333333333333329E-2</v>
      </c>
      <c r="N227" s="105">
        <v>0.875</v>
      </c>
      <c r="O227" s="15" t="s">
        <v>141</v>
      </c>
      <c r="P227" s="15"/>
      <c r="Q227" s="15">
        <f>VLOOKUP(Table2[[#This Row],[Course Title]],'TSD-Data'!$A$1:$E$56,4,FALSE)</f>
        <v>45</v>
      </c>
      <c r="R227" s="15">
        <f>VLOOKUP(Table2[[#This Row],[Course Title]],'TSD-Data'!$A$1:$F$53,6,FALSE)</f>
        <v>32</v>
      </c>
      <c r="S227" s="15">
        <f>VLOOKUP(Table2[[#This Row],[Course Title]],'TSD-Data'!$A$1:$E$56,5,FALSE)</f>
        <v>4</v>
      </c>
      <c r="T227" s="15">
        <v>508</v>
      </c>
      <c r="U227" s="15"/>
      <c r="V227" s="15"/>
      <c r="W227" s="15"/>
      <c r="X227" s="103"/>
      <c r="Y227" s="15"/>
      <c r="Z227" s="15"/>
      <c r="AA227" s="15"/>
      <c r="AB227" s="99"/>
      <c r="AC227" s="71">
        <f ca="1">Table2[[#This Row],[End Date]]+2-TODAY()</f>
        <v>213</v>
      </c>
      <c r="AD227" s="15">
        <f>IF(ISBLANK(Table2[[#This Row],[Roster Received By]]),1,0)</f>
        <v>1</v>
      </c>
      <c r="AE227" s="15">
        <f ca="1">IF(Table2[[#This Row],[Start Date]]&gt;TODAY(),1,)</f>
        <v>1</v>
      </c>
      <c r="AF227" s="62"/>
    </row>
    <row r="228" spans="1:32" x14ac:dyDescent="0.25">
      <c r="A228" s="62"/>
      <c r="B228" s="99" t="s">
        <v>58</v>
      </c>
      <c r="C228" s="100" t="str">
        <f>VLOOKUP(Table2[[#This Row],[Course Title]],'TSD-Data'!$A$1:$E$56,2,FALSE)</f>
        <v xml:space="preserve">A-493-0075 </v>
      </c>
      <c r="D228" s="100" t="str">
        <f>VLOOKUP(Table2[[#This Row],[Course Title]],'TSD-Data'!$A$1:$E$56,3,FALSE)</f>
        <v>714U</v>
      </c>
      <c r="E228" s="99" t="s">
        <v>193</v>
      </c>
      <c r="F228" s="102">
        <v>45741</v>
      </c>
      <c r="G228" s="102">
        <v>45744</v>
      </c>
      <c r="H228" s="105">
        <v>0.33333333333333331</v>
      </c>
      <c r="I228" s="105"/>
      <c r="J228" s="108"/>
      <c r="K228" s="108"/>
      <c r="L228" s="108"/>
      <c r="M228" s="108"/>
      <c r="N228" s="108"/>
      <c r="O228" s="15" t="s">
        <v>160</v>
      </c>
      <c r="P228" s="15"/>
      <c r="Q228" s="15">
        <f>VLOOKUP(Table2[[#This Row],[Course Title]],'TSD-Data'!$A$1:$E$56,4,FALSE)</f>
        <v>30</v>
      </c>
      <c r="R228" s="15">
        <f>VLOOKUP(Table2[[#This Row],[Course Title]],'TSD-Data'!$A$1:$F$53,6,FALSE)</f>
        <v>32</v>
      </c>
      <c r="S228" s="15">
        <f>VLOOKUP(Table2[[#This Row],[Course Title]],'TSD-Data'!$A$1:$E$56,5,FALSE)</f>
        <v>4</v>
      </c>
      <c r="T228" s="15">
        <v>8</v>
      </c>
      <c r="U228" s="15"/>
      <c r="V228" s="15"/>
      <c r="W228" s="15"/>
      <c r="X228" s="103"/>
      <c r="Y228" s="15"/>
      <c r="Z228" s="15"/>
      <c r="AA228" s="15"/>
      <c r="AB228" s="99"/>
      <c r="AC228" s="71">
        <f ca="1">Table2[[#This Row],[End Date]]+2-TODAY()</f>
        <v>214</v>
      </c>
      <c r="AD228" s="15">
        <f>IF(ISBLANK(Table2[[#This Row],[Roster Received By]]),1,0)</f>
        <v>1</v>
      </c>
      <c r="AE228" s="15">
        <f ca="1">IF(Table2[[#This Row],[Start Date]]&gt;TODAY(),1,)</f>
        <v>1</v>
      </c>
      <c r="AF228" s="62"/>
    </row>
    <row r="229" spans="1:32" x14ac:dyDescent="0.25">
      <c r="A229" s="62"/>
      <c r="B229" s="99" t="s">
        <v>31</v>
      </c>
      <c r="C229" s="100" t="str">
        <f>VLOOKUP(Table2[[#This Row],[Course Title]],'TSD-Data'!$A$1:$E$56,2,FALSE)</f>
        <v>A-493-0083</v>
      </c>
      <c r="D229" s="100" t="str">
        <f>VLOOKUP(Table2[[#This Row],[Course Title]],'TSD-Data'!$A$1:$E$56,3,FALSE)</f>
        <v>339E</v>
      </c>
      <c r="E229" s="65" t="s">
        <v>172</v>
      </c>
      <c r="F229" s="102">
        <v>45743</v>
      </c>
      <c r="G229" s="102">
        <v>45743</v>
      </c>
      <c r="H229" s="105">
        <v>0.33333333333333331</v>
      </c>
      <c r="I229" s="105"/>
      <c r="J229" s="108"/>
      <c r="K229" s="108"/>
      <c r="L229" s="108"/>
      <c r="M229" s="108"/>
      <c r="N229" s="108"/>
      <c r="O229" s="15" t="s">
        <v>94</v>
      </c>
      <c r="P229" s="15"/>
      <c r="Q229" s="15">
        <f>VLOOKUP(Table2[[#This Row],[Course Title]],'TSD-Data'!$A$1:$E$56,4,FALSE)</f>
        <v>30</v>
      </c>
      <c r="R229" s="15">
        <f>VLOOKUP(Table2[[#This Row],[Course Title]],'TSD-Data'!$A$1:$F$53,6,FALSE)</f>
        <v>8</v>
      </c>
      <c r="S229" s="15">
        <f>VLOOKUP(Table2[[#This Row],[Course Title]],'TSD-Data'!$A$1:$E$56,5,FALSE)</f>
        <v>1</v>
      </c>
      <c r="T229" s="15">
        <v>61</v>
      </c>
      <c r="U229" s="15"/>
      <c r="V229" s="15"/>
      <c r="W229" s="15"/>
      <c r="X229" s="103"/>
      <c r="Y229" s="15"/>
      <c r="Z229" s="15"/>
      <c r="AA229" s="15"/>
      <c r="AB229" s="99"/>
      <c r="AC229" s="71">
        <f ca="1">Table2[[#This Row],[End Date]]+2-TODAY()</f>
        <v>213</v>
      </c>
      <c r="AD229" s="15">
        <f>IF(ISBLANK(Table2[[#This Row],[Roster Received By]]),1,0)</f>
        <v>1</v>
      </c>
      <c r="AE229" s="15">
        <f ca="1">IF(Table2[[#This Row],[Start Date]]&gt;TODAY(),1,)</f>
        <v>1</v>
      </c>
      <c r="AF229" s="62"/>
    </row>
    <row r="230" spans="1:32" x14ac:dyDescent="0.25">
      <c r="A230" s="62"/>
      <c r="B230" s="99" t="s">
        <v>40</v>
      </c>
      <c r="C230" s="100" t="str">
        <f>VLOOKUP(Table2[[#This Row],[Course Title]],'TSD-Data'!$A$1:$E$56,2,FALSE)</f>
        <v>A-493-2098</v>
      </c>
      <c r="D230" s="100" t="str">
        <f>VLOOKUP(Table2[[#This Row],[Course Title]],'TSD-Data'!$A$1:$E$56,3,FALSE)</f>
        <v>09WW</v>
      </c>
      <c r="E230" s="99" t="s">
        <v>80</v>
      </c>
      <c r="F230" s="102">
        <v>45746</v>
      </c>
      <c r="G230" s="102">
        <v>45750</v>
      </c>
      <c r="H230" s="105"/>
      <c r="I230" s="105">
        <v>0.79166666666666663</v>
      </c>
      <c r="J230" s="101">
        <v>0.66666666666666663</v>
      </c>
      <c r="K230" s="101">
        <v>8.3333333333333329E-2</v>
      </c>
      <c r="L230" s="101">
        <v>0</v>
      </c>
      <c r="M230" s="101">
        <v>0.54166666666666663</v>
      </c>
      <c r="N230" s="101">
        <v>0.33333333333333331</v>
      </c>
      <c r="O230" s="15" t="s">
        <v>110</v>
      </c>
      <c r="P230" s="15"/>
      <c r="Q230" s="103">
        <f>VLOOKUP(Table2[[#This Row],[Course Title]],'TSD-Data'!$A$1:$E$56,4,FALSE)</f>
        <v>100</v>
      </c>
      <c r="R230" s="15">
        <f>VLOOKUP(Table2[[#This Row],[Course Title]],'TSD-Data'!$A$1:$F$53,6,FALSE)</f>
        <v>16</v>
      </c>
      <c r="S230" s="15">
        <f>VLOOKUP(Table2[[#This Row],[Course Title]],'TSD-Data'!$A$1:$E$56,5,FALSE)</f>
        <v>2</v>
      </c>
      <c r="T230" s="15">
        <v>161</v>
      </c>
      <c r="U230" s="15"/>
      <c r="V230" s="15"/>
      <c r="W230" s="103"/>
      <c r="X230" s="103"/>
      <c r="Y230" s="15"/>
      <c r="Z230" s="15"/>
      <c r="AA230" s="15"/>
      <c r="AB230" s="99"/>
      <c r="AC230" s="71">
        <f ca="1">Table2[[#This Row],[End Date]]+2-TODAY()</f>
        <v>220</v>
      </c>
      <c r="AD230" s="15">
        <f>IF(ISBLANK(Table2[[#This Row],[Roster Received By]]),1,0)</f>
        <v>1</v>
      </c>
      <c r="AE230" s="15">
        <f ca="1">IF(Table2[[#This Row],[Start Date]]&gt;TODAY(),1,)</f>
        <v>1</v>
      </c>
      <c r="AF230" s="62"/>
    </row>
    <row r="231" spans="1:32" x14ac:dyDescent="0.25">
      <c r="A231" s="62"/>
      <c r="B231" s="99" t="s">
        <v>17</v>
      </c>
      <c r="C231" s="100" t="str">
        <f>VLOOKUP(Table2[[#This Row],[Course Title]],'TSD-Data'!$A$1:$E$56,2,FALSE)</f>
        <v>A-493-0012</v>
      </c>
      <c r="D231" s="100">
        <f>VLOOKUP(Table2[[#This Row],[Course Title]],'TSD-Data'!$A$1:$E$56,3,FALSE)</f>
        <v>3682</v>
      </c>
      <c r="E231" s="99" t="s">
        <v>274</v>
      </c>
      <c r="F231" s="102">
        <v>45747</v>
      </c>
      <c r="G231" s="102">
        <v>45751</v>
      </c>
      <c r="H231" s="105">
        <v>0.33333333333333331</v>
      </c>
      <c r="I231" s="105"/>
      <c r="J231" s="108"/>
      <c r="K231" s="108"/>
      <c r="L231" s="108"/>
      <c r="M231" s="108"/>
      <c r="N231" s="108"/>
      <c r="O231" s="15" t="s">
        <v>94</v>
      </c>
      <c r="P231" s="15"/>
      <c r="Q231" s="15">
        <f>VLOOKUP(Table2[[#This Row],[Course Title]],'TSD-Data'!$A$1:$E$56,4,FALSE)</f>
        <v>40</v>
      </c>
      <c r="R231" s="15">
        <f>VLOOKUP(Table2[[#This Row],[Course Title]],'TSD-Data'!$A$1:$F$53,6,FALSE)</f>
        <v>40</v>
      </c>
      <c r="S231" s="15">
        <f>VLOOKUP(Table2[[#This Row],[Course Title]],'TSD-Data'!$A$1:$E$56,5,FALSE)</f>
        <v>5</v>
      </c>
      <c r="T231" s="15">
        <v>21</v>
      </c>
      <c r="U231" s="15"/>
      <c r="V231" s="15"/>
      <c r="W231" s="15"/>
      <c r="X231" s="103"/>
      <c r="Y231" s="15"/>
      <c r="Z231" s="15"/>
      <c r="AA231" s="100"/>
      <c r="AB231" s="99"/>
      <c r="AC231" s="71">
        <f ca="1">Table2[[#This Row],[End Date]]+2-TODAY()</f>
        <v>221</v>
      </c>
      <c r="AD231" s="15">
        <f>IF(ISBLANK(Table2[[#This Row],[Roster Received By]]),1,0)</f>
        <v>1</v>
      </c>
      <c r="AE231" s="15">
        <f ca="1">IF(Table2[[#This Row],[Start Date]]&gt;TODAY(),1,)</f>
        <v>1</v>
      </c>
      <c r="AF231" s="62"/>
    </row>
    <row r="232" spans="1:32" x14ac:dyDescent="0.25">
      <c r="A232" s="62"/>
      <c r="B232" s="99" t="s">
        <v>165</v>
      </c>
      <c r="C232" s="100" t="str">
        <f>VLOOKUP(Table2[[#This Row],[Course Title]],'TSD-Data'!$A$1:$E$56,2,FALSE)</f>
        <v>A-322-2604</v>
      </c>
      <c r="D232" s="100" t="str">
        <f>VLOOKUP(Table2[[#This Row],[Course Title]],'TSD-Data'!$A$1:$E$56,3,FALSE)</f>
        <v>10ZZ</v>
      </c>
      <c r="E232" s="99" t="s">
        <v>80</v>
      </c>
      <c r="F232" s="102">
        <v>45747</v>
      </c>
      <c r="G232" s="102">
        <v>45751</v>
      </c>
      <c r="H232" s="105"/>
      <c r="I232" s="101">
        <v>0.54166666666666663</v>
      </c>
      <c r="J232" s="101">
        <v>0.41666666666666669</v>
      </c>
      <c r="K232" s="101">
        <v>0.83333333333333337</v>
      </c>
      <c r="L232" s="101">
        <v>0.75</v>
      </c>
      <c r="M232" s="101">
        <v>0.29166666666666669</v>
      </c>
      <c r="N232" s="101">
        <v>8.3333333333333329E-2</v>
      </c>
      <c r="O232" s="15" t="s">
        <v>124</v>
      </c>
      <c r="P232" s="15"/>
      <c r="Q232" s="103">
        <f>VLOOKUP(Table2[[#This Row],[Course Title]],'TSD-Data'!$A$1:$E$56,4,FALSE)</f>
        <v>45</v>
      </c>
      <c r="R232" s="15">
        <f>VLOOKUP(Table2[[#This Row],[Course Title]],'TSD-Data'!$A$1:$F$53,6,FALSE)</f>
        <v>24</v>
      </c>
      <c r="S232" s="15">
        <f>VLOOKUP(Table2[[#This Row],[Course Title]],'TSD-Data'!$A$1:$E$56,5,FALSE)</f>
        <v>3</v>
      </c>
      <c r="T232" s="15">
        <v>634</v>
      </c>
      <c r="U232" s="15"/>
      <c r="V232" s="15"/>
      <c r="W232" s="103"/>
      <c r="X232" s="103"/>
      <c r="Y232" s="15"/>
      <c r="Z232" s="15"/>
      <c r="AA232" s="100"/>
      <c r="AB232" s="99"/>
      <c r="AC232" s="71">
        <f ca="1">Table2[[#This Row],[End Date]]+2-TODAY()</f>
        <v>221</v>
      </c>
      <c r="AD232" s="15">
        <f>IF(ISBLANK(Table2[[#This Row],[Roster Received By]]),1,0)</f>
        <v>1</v>
      </c>
      <c r="AE232" s="15">
        <f ca="1">IF(Table2[[#This Row],[Start Date]]&gt;TODAY(),1,)</f>
        <v>1</v>
      </c>
      <c r="AF232" s="62"/>
    </row>
    <row r="233" spans="1:32" x14ac:dyDescent="0.25">
      <c r="A233" s="62"/>
      <c r="B233" s="99" t="s">
        <v>59</v>
      </c>
      <c r="C233" s="100" t="str">
        <f>VLOOKUP(Table2[[#This Row],[Course Title]],'TSD-Data'!$A$1:$E$56,2,FALSE)</f>
        <v>A-493-0550</v>
      </c>
      <c r="D233" s="100" t="str">
        <f>VLOOKUP(Table2[[#This Row],[Course Title]],'TSD-Data'!$A$1:$E$56,3,FALSE)</f>
        <v>09K5</v>
      </c>
      <c r="E233" s="99" t="s">
        <v>80</v>
      </c>
      <c r="F233" s="102">
        <v>45747</v>
      </c>
      <c r="G233" s="102">
        <v>45750</v>
      </c>
      <c r="H233" s="105"/>
      <c r="I233" s="105">
        <v>0.41666666666666669</v>
      </c>
      <c r="J233" s="101">
        <v>0.29166666666666669</v>
      </c>
      <c r="K233" s="101">
        <v>0.70833333333333337</v>
      </c>
      <c r="L233" s="101">
        <v>0.66666666666666663</v>
      </c>
      <c r="M233" s="101">
        <v>0.16666666666666666</v>
      </c>
      <c r="N233" s="101">
        <v>0.95833333333333337</v>
      </c>
      <c r="O233" s="15" t="s">
        <v>145</v>
      </c>
      <c r="P233" s="15"/>
      <c r="Q233" s="103">
        <f>VLOOKUP(Table2[[#This Row],[Course Title]],'TSD-Data'!$A$1:$E$56,4,FALSE)</f>
        <v>45</v>
      </c>
      <c r="R233" s="15">
        <f>VLOOKUP(Table2[[#This Row],[Course Title]],'TSD-Data'!$A$1:$F$53,6,FALSE)</f>
        <v>32</v>
      </c>
      <c r="S233" s="15">
        <f>VLOOKUP(Table2[[#This Row],[Course Title]],'TSD-Data'!$A$1:$E$56,5,FALSE)</f>
        <v>4</v>
      </c>
      <c r="T233" s="15">
        <v>465</v>
      </c>
      <c r="U233" s="15"/>
      <c r="V233" s="15"/>
      <c r="W233" s="103"/>
      <c r="X233" s="103"/>
      <c r="Y233" s="15"/>
      <c r="Z233" s="15"/>
      <c r="AA233" s="100"/>
      <c r="AB233" s="99"/>
      <c r="AC233" s="71">
        <f ca="1">Table2[[#This Row],[End Date]]+2-TODAY()</f>
        <v>220</v>
      </c>
      <c r="AD233" s="15">
        <f>IF(ISBLANK(Table2[[#This Row],[Roster Received By]]),1,0)</f>
        <v>1</v>
      </c>
      <c r="AE233" s="15">
        <f ca="1">IF(Table2[[#This Row],[Start Date]]&gt;TODAY(),1,)</f>
        <v>1</v>
      </c>
      <c r="AF233" s="62"/>
    </row>
    <row r="234" spans="1:32" x14ac:dyDescent="0.25">
      <c r="A234" s="62"/>
      <c r="B234" s="99" t="s">
        <v>52</v>
      </c>
      <c r="C234" s="100" t="str">
        <f>VLOOKUP(Table2[[#This Row],[Course Title]],'TSD-Data'!$A$1:$E$56,2,FALSE)</f>
        <v>A-493-0085</v>
      </c>
      <c r="D234" s="100">
        <f>VLOOKUP(Table2[[#This Row],[Course Title]],'TSD-Data'!$A$1:$E$56,3,FALSE)</f>
        <v>3555</v>
      </c>
      <c r="E234" s="99" t="s">
        <v>80</v>
      </c>
      <c r="F234" s="102">
        <v>45747</v>
      </c>
      <c r="G234" s="102">
        <v>45750</v>
      </c>
      <c r="H234" s="105"/>
      <c r="I234" s="101">
        <v>0.5</v>
      </c>
      <c r="J234" s="101">
        <v>0.375</v>
      </c>
      <c r="K234" s="101">
        <v>0.79166666666666663</v>
      </c>
      <c r="L234" s="101">
        <v>0.75</v>
      </c>
      <c r="M234" s="101">
        <v>0.25</v>
      </c>
      <c r="N234" s="101">
        <v>4.1666666666666664E-2</v>
      </c>
      <c r="O234" s="15" t="s">
        <v>175</v>
      </c>
      <c r="P234" s="15"/>
      <c r="Q234" s="15">
        <f>VLOOKUP(Table2[[#This Row],[Course Title]],'TSD-Data'!$A$1:$E$56,4,FALSE)</f>
        <v>45</v>
      </c>
      <c r="R234" s="15">
        <f>VLOOKUP(Table2[[#This Row],[Course Title]],'TSD-Data'!$A$1:$F$53,6,FALSE)</f>
        <v>32</v>
      </c>
      <c r="S234" s="15">
        <f>VLOOKUP(Table2[[#This Row],[Course Title]],'TSD-Data'!$A$1:$E$56,5,FALSE)</f>
        <v>4</v>
      </c>
      <c r="T234" s="15">
        <v>503</v>
      </c>
      <c r="U234" s="15"/>
      <c r="V234" s="15"/>
      <c r="W234" s="15"/>
      <c r="X234" s="103"/>
      <c r="Y234" s="15"/>
      <c r="Z234" s="15"/>
      <c r="AA234" s="15"/>
      <c r="AB234" s="99"/>
      <c r="AC234" s="71">
        <f ca="1">Table2[[#This Row],[End Date]]+2-TODAY()</f>
        <v>220</v>
      </c>
      <c r="AD234" s="15">
        <f>IF(ISBLANK(Table2[[#This Row],[Roster Received By]]),1,0)</f>
        <v>1</v>
      </c>
      <c r="AE234" s="15">
        <f ca="1">IF(Table2[[#This Row],[Start Date]]&gt;TODAY(),1,)</f>
        <v>1</v>
      </c>
      <c r="AF234" s="62"/>
    </row>
    <row r="235" spans="1:32" x14ac:dyDescent="0.25">
      <c r="A235" s="100"/>
      <c r="B235" s="99" t="s">
        <v>39</v>
      </c>
      <c r="C235" s="100" t="str">
        <f>VLOOKUP(Table2[[#This Row],[Course Title]],'TSD-Data'!$A$1:$E$56,2,FALSE)</f>
        <v>A-570-0100</v>
      </c>
      <c r="D235" s="100" t="str">
        <f>VLOOKUP(Table2[[#This Row],[Course Title]],'TSD-Data'!$A$1:$E$56,3,FALSE)</f>
        <v>18B7</v>
      </c>
      <c r="E235" s="99" t="s">
        <v>80</v>
      </c>
      <c r="F235" s="102">
        <v>45747</v>
      </c>
      <c r="G235" s="102">
        <v>45750</v>
      </c>
      <c r="H235" s="105"/>
      <c r="I235" s="105">
        <v>0.54166666666666663</v>
      </c>
      <c r="J235" s="101">
        <v>0.41666666666666669</v>
      </c>
      <c r="K235" s="101">
        <v>0.83333333333333337</v>
      </c>
      <c r="L235" s="101">
        <v>0.75</v>
      </c>
      <c r="M235" s="101">
        <v>0.29166666666666669</v>
      </c>
      <c r="N235" s="101">
        <v>8.3333333333333329E-2</v>
      </c>
      <c r="O235" s="15" t="s">
        <v>79</v>
      </c>
      <c r="P235" s="15"/>
      <c r="Q235" s="15">
        <f>VLOOKUP(Table2[[#This Row],[Course Title]],'TSD-Data'!$A$1:$E$56,4,FALSE)</f>
        <v>45</v>
      </c>
      <c r="R235" s="15">
        <f>VLOOKUP(Table2[[#This Row],[Course Title]],'TSD-Data'!$A$1:$F$53,6,FALSE)</f>
        <v>16</v>
      </c>
      <c r="S235" s="15">
        <f>VLOOKUP(Table2[[#This Row],[Course Title]],'TSD-Data'!$A$1:$E$56,5,FALSE)</f>
        <v>2</v>
      </c>
      <c r="T235" s="15">
        <v>621</v>
      </c>
      <c r="U235" s="15"/>
      <c r="V235" s="15"/>
      <c r="W235" s="104"/>
      <c r="X235" s="104"/>
      <c r="Y235" s="100"/>
      <c r="Z235" s="100"/>
      <c r="AA235" s="104"/>
      <c r="AB235" s="99"/>
      <c r="AC235" s="71">
        <f ca="1">Table2[[#This Row],[End Date]]+2-TODAY()</f>
        <v>220</v>
      </c>
      <c r="AD235" s="15">
        <f>IF(ISBLANK(Table2[[#This Row],[Roster Received By]]),1,0)</f>
        <v>1</v>
      </c>
      <c r="AE235" s="15">
        <f ca="1">IF(Table2[[#This Row],[Start Date]]&gt;TODAY(),1,)</f>
        <v>1</v>
      </c>
      <c r="AF235" s="62"/>
    </row>
    <row r="236" spans="1:32" x14ac:dyDescent="0.25">
      <c r="A236" s="100"/>
      <c r="B236" s="99" t="s">
        <v>57</v>
      </c>
      <c r="C236" s="100" t="str">
        <f>VLOOKUP(Table2[[#This Row],[Course Title]],'TSD-Data'!$A$1:$E$56,2,FALSE)</f>
        <v>A-493-0099</v>
      </c>
      <c r="D236" s="100" t="str">
        <f>VLOOKUP(Table2[[#This Row],[Course Title]],'TSD-Data'!$A$1:$E$56,3,FALSE)</f>
        <v>12JW</v>
      </c>
      <c r="E236" s="99" t="s">
        <v>80</v>
      </c>
      <c r="F236" s="102">
        <v>45748</v>
      </c>
      <c r="G236" s="102">
        <v>45750</v>
      </c>
      <c r="H236" s="105"/>
      <c r="I236" s="105">
        <v>0.29166666666666669</v>
      </c>
      <c r="J236" s="105">
        <v>0.16666666666666666</v>
      </c>
      <c r="K236" s="105">
        <v>0.58333333333333337</v>
      </c>
      <c r="L236" s="105">
        <v>0.5</v>
      </c>
      <c r="M236" s="105">
        <v>4.1666666666666664E-2</v>
      </c>
      <c r="N236" s="105">
        <v>0.83333333333333337</v>
      </c>
      <c r="O236" s="15" t="s">
        <v>394</v>
      </c>
      <c r="P236" s="15"/>
      <c r="Q236" s="103">
        <f>VLOOKUP(Table2[[#This Row],[Course Title]],'TSD-Data'!$A$1:$E$56,4,FALSE)</f>
        <v>45</v>
      </c>
      <c r="R236" s="15">
        <f>VLOOKUP(Table2[[#This Row],[Course Title]],'TSD-Data'!$A$1:$F$53,6,FALSE)</f>
        <v>24</v>
      </c>
      <c r="S236" s="15">
        <f>VLOOKUP(Table2[[#This Row],[Course Title]],'TSD-Data'!$A$1:$E$56,5,FALSE)</f>
        <v>3</v>
      </c>
      <c r="T236" s="15"/>
      <c r="U236" s="15"/>
      <c r="V236" s="15"/>
      <c r="W236" s="104"/>
      <c r="X236" s="104"/>
      <c r="Y236" s="100"/>
      <c r="Z236" s="100"/>
      <c r="AA236" s="104"/>
      <c r="AB236" s="99"/>
      <c r="AC236" s="71">
        <f ca="1">Table2[[#This Row],[End Date]]+2-TODAY()</f>
        <v>220</v>
      </c>
      <c r="AD236" s="15">
        <f>IF(ISBLANK(Table2[[#This Row],[Roster Received By]]),1,0)</f>
        <v>1</v>
      </c>
      <c r="AE236" s="15">
        <f ca="1">IF(Table2[[#This Row],[Start Date]]&gt;TODAY(),1,)</f>
        <v>1</v>
      </c>
      <c r="AF236" s="62"/>
    </row>
    <row r="237" spans="1:32" x14ac:dyDescent="0.25">
      <c r="A237" s="62"/>
      <c r="B237" s="99" t="s">
        <v>55</v>
      </c>
      <c r="C237" s="100" t="str">
        <f>VLOOKUP(Table2[[#This Row],[Course Title]],'TSD-Data'!$A$1:$E$56,2,FALSE)</f>
        <v>A-493-0103</v>
      </c>
      <c r="D237" s="100" t="str">
        <f>VLOOKUP(Table2[[#This Row],[Course Title]],'TSD-Data'!$A$1:$E$56,3,FALSE)</f>
        <v>12JY</v>
      </c>
      <c r="E237" s="99" t="s">
        <v>99</v>
      </c>
      <c r="F237" s="67">
        <v>45754</v>
      </c>
      <c r="G237" s="67">
        <v>45758</v>
      </c>
      <c r="H237" s="105">
        <v>0.33333333333333331</v>
      </c>
      <c r="I237" s="101"/>
      <c r="J237" s="101"/>
      <c r="K237" s="101"/>
      <c r="L237" s="101"/>
      <c r="M237" s="101"/>
      <c r="N237" s="101"/>
      <c r="O237" s="15" t="s">
        <v>160</v>
      </c>
      <c r="P237" s="15"/>
      <c r="Q237" s="15">
        <f>VLOOKUP(Table2[[#This Row],[Course Title]],'TSD-Data'!$A$1:$E$56,4,FALSE)</f>
        <v>25</v>
      </c>
      <c r="R237" s="15">
        <f>VLOOKUP(Table2[[#This Row],[Course Title]],'TSD-Data'!$A$1:$F$53,6,FALSE)</f>
        <v>40</v>
      </c>
      <c r="S237" s="15">
        <f>VLOOKUP(Table2[[#This Row],[Course Title]],'TSD-Data'!$A$1:$E$56,5,FALSE)</f>
        <v>5</v>
      </c>
      <c r="T237" s="15">
        <v>12</v>
      </c>
      <c r="U237" s="15"/>
      <c r="V237" s="15"/>
      <c r="W237" s="15"/>
      <c r="X237" s="103"/>
      <c r="Y237" s="15"/>
      <c r="Z237" s="15"/>
      <c r="AA237" s="15"/>
      <c r="AB237" s="99"/>
      <c r="AC237" s="71">
        <f ca="1">Table2[[#This Row],[End Date]]+2-TODAY()</f>
        <v>228</v>
      </c>
      <c r="AD237" s="15">
        <f>IF(ISBLANK(Table2[[#This Row],[Roster Received By]]),1,0)</f>
        <v>1</v>
      </c>
      <c r="AE237" s="15">
        <f ca="1">IF(Table2[[#This Row],[Start Date]]&gt;TODAY(),1,)</f>
        <v>1</v>
      </c>
      <c r="AF237" s="62"/>
    </row>
    <row r="238" spans="1:32" x14ac:dyDescent="0.25">
      <c r="A238" s="62"/>
      <c r="B238" s="99" t="s">
        <v>55</v>
      </c>
      <c r="C238" s="100" t="str">
        <f>VLOOKUP(Table2[[#This Row],[Course Title]],'TSD-Data'!$A$1:$E$56,2,FALSE)</f>
        <v>A-493-0103</v>
      </c>
      <c r="D238" s="100" t="str">
        <f>VLOOKUP(Table2[[#This Row],[Course Title]],'TSD-Data'!$A$1:$E$56,3,FALSE)</f>
        <v>12JY</v>
      </c>
      <c r="E238" s="99" t="s">
        <v>267</v>
      </c>
      <c r="F238" s="102">
        <v>45754</v>
      </c>
      <c r="G238" s="102">
        <v>45758</v>
      </c>
      <c r="H238" s="105">
        <v>0.33333333333333331</v>
      </c>
      <c r="I238" s="105"/>
      <c r="J238" s="102"/>
      <c r="K238" s="102"/>
      <c r="L238" s="102"/>
      <c r="M238" s="102"/>
      <c r="N238" s="102"/>
      <c r="O238" s="15" t="s">
        <v>160</v>
      </c>
      <c r="P238" s="15"/>
      <c r="Q238" s="15">
        <f>VLOOKUP(Table2[[#This Row],[Course Title]],'TSD-Data'!$A$1:$E$56,4,FALSE)</f>
        <v>25</v>
      </c>
      <c r="R238" s="15">
        <f>VLOOKUP(Table2[[#This Row],[Course Title]],'TSD-Data'!$A$1:$F$53,6,FALSE)</f>
        <v>40</v>
      </c>
      <c r="S238" s="15">
        <f>VLOOKUP(Table2[[#This Row],[Course Title]],'TSD-Data'!$A$1:$E$56,5,FALSE)</f>
        <v>5</v>
      </c>
      <c r="T238" s="15">
        <v>332</v>
      </c>
      <c r="U238" s="15"/>
      <c r="V238" s="15"/>
      <c r="W238" s="103"/>
      <c r="X238" s="103"/>
      <c r="Y238" s="15"/>
      <c r="Z238" s="15"/>
      <c r="AA238" s="15"/>
      <c r="AB238" s="99"/>
      <c r="AC238" s="71">
        <f ca="1">Table2[[#This Row],[End Date]]+2-TODAY()</f>
        <v>228</v>
      </c>
      <c r="AD238" s="15">
        <f>IF(ISBLANK(Table2[[#This Row],[Roster Received By]]),1,0)</f>
        <v>1</v>
      </c>
      <c r="AE238" s="15">
        <f ca="1">IF(Table2[[#This Row],[Start Date]]&gt;TODAY(),1,)</f>
        <v>1</v>
      </c>
      <c r="AF238" s="62"/>
    </row>
    <row r="239" spans="1:32" x14ac:dyDescent="0.25">
      <c r="A239" s="62" t="s">
        <v>398</v>
      </c>
      <c r="B239" s="99" t="s">
        <v>17</v>
      </c>
      <c r="C239" s="100" t="str">
        <f>VLOOKUP(Table2[[#This Row],[Course Title]],'TSD-Data'!$A$1:$E$56,2,FALSE)</f>
        <v>A-493-0012</v>
      </c>
      <c r="D239" s="100">
        <f>VLOOKUP(Table2[[#This Row],[Course Title]],'TSD-Data'!$A$1:$E$56,3,FALSE)</f>
        <v>3682</v>
      </c>
      <c r="E239" s="65" t="s">
        <v>213</v>
      </c>
      <c r="F239" s="67">
        <v>45754</v>
      </c>
      <c r="G239" s="67">
        <v>45758</v>
      </c>
      <c r="H239" s="105">
        <v>0.33333333333333331</v>
      </c>
      <c r="I239" s="101"/>
      <c r="J239" s="102"/>
      <c r="K239" s="102"/>
      <c r="L239" s="102"/>
      <c r="M239" s="102"/>
      <c r="N239" s="102"/>
      <c r="O239" s="15" t="s">
        <v>94</v>
      </c>
      <c r="P239" s="15"/>
      <c r="Q239" s="15">
        <f>VLOOKUP(Table2[[#This Row],[Course Title]],'TSD-Data'!$A$1:$E$56,4,FALSE)</f>
        <v>40</v>
      </c>
      <c r="R239" s="15">
        <f>VLOOKUP(Table2[[#This Row],[Course Title]],'TSD-Data'!$A$1:$F$53,6,FALSE)</f>
        <v>40</v>
      </c>
      <c r="S239" s="15">
        <f>VLOOKUP(Table2[[#This Row],[Course Title]],'TSD-Data'!$A$1:$E$56,5,FALSE)</f>
        <v>5</v>
      </c>
      <c r="T239" s="15">
        <v>20</v>
      </c>
      <c r="U239" s="15"/>
      <c r="V239" s="15"/>
      <c r="W239" s="15"/>
      <c r="X239" s="103"/>
      <c r="Y239" s="15"/>
      <c r="Z239" s="15"/>
      <c r="AA239" s="100"/>
      <c r="AB239" s="99"/>
      <c r="AC239" s="71">
        <f ca="1">Table2[[#This Row],[End Date]]+2-TODAY()</f>
        <v>228</v>
      </c>
      <c r="AD239" s="15">
        <f>IF(ISBLANK(Table2[[#This Row],[Roster Received By]]),1,0)</f>
        <v>1</v>
      </c>
      <c r="AE239" s="15">
        <f ca="1">IF(Table2[[#This Row],[Start Date]]&gt;TODAY(),1,)</f>
        <v>1</v>
      </c>
      <c r="AF239" s="62"/>
    </row>
    <row r="240" spans="1:32" x14ac:dyDescent="0.25">
      <c r="A240" s="62"/>
      <c r="B240" s="99" t="s">
        <v>17</v>
      </c>
      <c r="C240" s="100" t="str">
        <f>VLOOKUP(Table2[[#This Row],[Course Title]],'TSD-Data'!$A$1:$E$56,2,FALSE)</f>
        <v>A-493-0012</v>
      </c>
      <c r="D240" s="100">
        <f>VLOOKUP(Table2[[#This Row],[Course Title]],'TSD-Data'!$A$1:$E$56,3,FALSE)</f>
        <v>3682</v>
      </c>
      <c r="E240" s="65" t="s">
        <v>295</v>
      </c>
      <c r="F240" s="102">
        <v>45754</v>
      </c>
      <c r="G240" s="102">
        <v>45758</v>
      </c>
      <c r="H240" s="105">
        <v>0.33333333333333331</v>
      </c>
      <c r="I240" s="105"/>
      <c r="J240" s="102"/>
      <c r="K240" s="102"/>
      <c r="L240" s="102"/>
      <c r="M240" s="102"/>
      <c r="N240" s="102"/>
      <c r="O240" s="15" t="s">
        <v>94</v>
      </c>
      <c r="P240" s="15"/>
      <c r="Q240" s="15">
        <f>VLOOKUP(Table2[[#This Row],[Course Title]],'TSD-Data'!$A$1:$E$56,4,FALSE)</f>
        <v>40</v>
      </c>
      <c r="R240" s="15">
        <f>VLOOKUP(Table2[[#This Row],[Course Title]],'TSD-Data'!$A$1:$F$53,6,FALSE)</f>
        <v>40</v>
      </c>
      <c r="S240" s="15">
        <f>VLOOKUP(Table2[[#This Row],[Course Title]],'TSD-Data'!$A$1:$E$56,5,FALSE)</f>
        <v>5</v>
      </c>
      <c r="T240" s="15">
        <v>21</v>
      </c>
      <c r="U240" s="15"/>
      <c r="V240" s="15"/>
      <c r="W240" s="15"/>
      <c r="X240" s="103"/>
      <c r="Y240" s="15"/>
      <c r="Z240" s="15"/>
      <c r="AA240" s="100"/>
      <c r="AB240" s="99"/>
      <c r="AC240" s="71">
        <f ca="1">Table2[[#This Row],[End Date]]+2-TODAY()</f>
        <v>228</v>
      </c>
      <c r="AD240" s="15">
        <f>IF(ISBLANK(Table2[[#This Row],[Roster Received By]]),1,0)</f>
        <v>1</v>
      </c>
      <c r="AE240" s="15">
        <f ca="1">IF(Table2[[#This Row],[Start Date]]&gt;TODAY(),1,)</f>
        <v>1</v>
      </c>
      <c r="AF240" s="62"/>
    </row>
    <row r="241" spans="1:32" x14ac:dyDescent="0.25">
      <c r="A241" s="62"/>
      <c r="B241" s="99" t="s">
        <v>165</v>
      </c>
      <c r="C241" s="100" t="str">
        <f>VLOOKUP(Table2[[#This Row],[Course Title]],'TSD-Data'!$A$1:$E$56,2,FALSE)</f>
        <v>A-322-2604</v>
      </c>
      <c r="D241" s="100" t="str">
        <f>VLOOKUP(Table2[[#This Row],[Course Title]],'TSD-Data'!$A$1:$E$56,3,FALSE)</f>
        <v>10ZZ</v>
      </c>
      <c r="E241" s="99" t="s">
        <v>80</v>
      </c>
      <c r="F241" s="102">
        <v>45754</v>
      </c>
      <c r="G241" s="102">
        <v>45758</v>
      </c>
      <c r="H241" s="105"/>
      <c r="I241" s="105">
        <v>0.54166666666666663</v>
      </c>
      <c r="J241" s="101">
        <v>0.41666666666666669</v>
      </c>
      <c r="K241" s="101">
        <v>0.83333333333333337</v>
      </c>
      <c r="L241" s="101">
        <v>0.75</v>
      </c>
      <c r="M241" s="101">
        <v>0.29166666666666669</v>
      </c>
      <c r="N241" s="101">
        <v>8.3333333333333329E-2</v>
      </c>
      <c r="O241" s="15" t="s">
        <v>394</v>
      </c>
      <c r="P241" s="15"/>
      <c r="Q241" s="15">
        <f>VLOOKUP(Table2[[#This Row],[Course Title]],'TSD-Data'!$A$1:$E$56,4,FALSE)</f>
        <v>45</v>
      </c>
      <c r="R241" s="15">
        <f>VLOOKUP(Table2[[#This Row],[Course Title]],'TSD-Data'!$A$1:$F$53,6,FALSE)</f>
        <v>24</v>
      </c>
      <c r="S241" s="15">
        <f>VLOOKUP(Table2[[#This Row],[Course Title]],'TSD-Data'!$A$1:$E$56,5,FALSE)</f>
        <v>3</v>
      </c>
      <c r="T241" s="15"/>
      <c r="U241" s="15"/>
      <c r="V241" s="15"/>
      <c r="W241" s="103"/>
      <c r="X241" s="103"/>
      <c r="Y241" s="15"/>
      <c r="Z241" s="15"/>
      <c r="AA241" s="100"/>
      <c r="AB241" s="99"/>
      <c r="AC241" s="71">
        <f ca="1">Table2[[#This Row],[End Date]]+2-TODAY()</f>
        <v>228</v>
      </c>
      <c r="AD241" s="15">
        <f>IF(ISBLANK(Table2[[#This Row],[Roster Received By]]),1,0)</f>
        <v>1</v>
      </c>
      <c r="AE241" s="15">
        <f ca="1">IF(Table2[[#This Row],[Start Date]]&gt;TODAY(),1,)</f>
        <v>1</v>
      </c>
      <c r="AF241" s="62"/>
    </row>
    <row r="242" spans="1:32" x14ac:dyDescent="0.25">
      <c r="A242" s="62"/>
      <c r="B242" s="99" t="s">
        <v>29</v>
      </c>
      <c r="C242" s="100" t="str">
        <f>VLOOKUP(Table2[[#This Row],[Course Title]],'TSD-Data'!$A$1:$E$56,2,FALSE)</f>
        <v>A-493-0077</v>
      </c>
      <c r="D242" s="100" t="str">
        <f>VLOOKUP(Table2[[#This Row],[Course Title]],'TSD-Data'!$A$1:$E$56,3,FALSE)</f>
        <v>0381</v>
      </c>
      <c r="E242" s="99" t="s">
        <v>272</v>
      </c>
      <c r="F242" s="102">
        <v>45754</v>
      </c>
      <c r="G242" s="102">
        <v>45756</v>
      </c>
      <c r="H242" s="105">
        <v>0.33333333333333331</v>
      </c>
      <c r="I242" s="105"/>
      <c r="J242" s="105"/>
      <c r="K242" s="105"/>
      <c r="L242" s="105"/>
      <c r="M242" s="105"/>
      <c r="N242" s="105"/>
      <c r="O242" s="15" t="s">
        <v>94</v>
      </c>
      <c r="P242" s="15"/>
      <c r="Q242" s="15">
        <f>VLOOKUP(Table2[[#This Row],[Course Title]],'TSD-Data'!$A$1:$E$56,4,FALSE)</f>
        <v>25</v>
      </c>
      <c r="R242" s="15">
        <f>VLOOKUP(Table2[[#This Row],[Course Title]],'TSD-Data'!$A$1:$F$53,6,FALSE)</f>
        <v>24</v>
      </c>
      <c r="S242" s="15">
        <f>VLOOKUP(Table2[[#This Row],[Course Title]],'TSD-Data'!$A$1:$E$56,5,FALSE)</f>
        <v>3</v>
      </c>
      <c r="T242" s="15">
        <v>33</v>
      </c>
      <c r="U242" s="15"/>
      <c r="V242" s="15"/>
      <c r="W242" s="103"/>
      <c r="X242" s="103"/>
      <c r="Y242" s="15"/>
      <c r="Z242" s="15"/>
      <c r="AA242" s="15"/>
      <c r="AB242" s="99"/>
      <c r="AC242" s="71">
        <f ca="1">Table2[[#This Row],[End Date]]+2-TODAY()</f>
        <v>226</v>
      </c>
      <c r="AD242" s="15">
        <f>IF(ISBLANK(Table2[[#This Row],[Roster Received By]]),1,0)</f>
        <v>1</v>
      </c>
      <c r="AE242" s="15">
        <f ca="1">IF(Table2[[#This Row],[Start Date]]&gt;TODAY(),1,)</f>
        <v>1</v>
      </c>
      <c r="AF242" s="62"/>
    </row>
    <row r="243" spans="1:32" x14ac:dyDescent="0.25">
      <c r="A243" s="62" t="s">
        <v>385</v>
      </c>
      <c r="B243" s="99" t="s">
        <v>31</v>
      </c>
      <c r="C243" s="100" t="str">
        <f>VLOOKUP(Table2[[#This Row],[Course Title]],'TSD-Data'!$A$1:$E$56,2,FALSE)</f>
        <v>A-493-0083</v>
      </c>
      <c r="D243" s="100" t="str">
        <f>VLOOKUP(Table2[[#This Row],[Course Title]],'TSD-Data'!$A$1:$E$56,3,FALSE)</f>
        <v>339E</v>
      </c>
      <c r="E243" s="99" t="s">
        <v>80</v>
      </c>
      <c r="F243" s="102">
        <v>45754</v>
      </c>
      <c r="G243" s="102">
        <v>45754</v>
      </c>
      <c r="H243" s="105"/>
      <c r="I243" s="105">
        <v>0.33333333333333331</v>
      </c>
      <c r="J243" s="105">
        <v>0.20833333333333334</v>
      </c>
      <c r="K243" s="105">
        <v>0.625</v>
      </c>
      <c r="L243" s="105">
        <v>0.54166666666666663</v>
      </c>
      <c r="M243" s="105">
        <v>8.3333333333333329E-2</v>
      </c>
      <c r="N243" s="105">
        <v>0.875</v>
      </c>
      <c r="O243" s="15" t="s">
        <v>94</v>
      </c>
      <c r="P243" s="15"/>
      <c r="Q243" s="15">
        <f>VLOOKUP(Table2[[#This Row],[Course Title]],'TSD-Data'!$A$1:$E$56,4,FALSE)</f>
        <v>30</v>
      </c>
      <c r="R243" s="15">
        <f>VLOOKUP(Table2[[#This Row],[Course Title]],'TSD-Data'!$A$1:$F$53,6,FALSE)</f>
        <v>8</v>
      </c>
      <c r="S243" s="15">
        <f>VLOOKUP(Table2[[#This Row],[Course Title]],'TSD-Data'!$A$1:$E$56,5,FALSE)</f>
        <v>1</v>
      </c>
      <c r="T243" s="15">
        <v>0</v>
      </c>
      <c r="U243" s="15"/>
      <c r="V243" s="15"/>
      <c r="W243" s="103"/>
      <c r="X243" s="103"/>
      <c r="Y243" s="15"/>
      <c r="Z243" s="15"/>
      <c r="AA243" s="100"/>
      <c r="AB243" s="99"/>
      <c r="AC243" s="71">
        <f ca="1">Table2[[#This Row],[End Date]]+2-TODAY()</f>
        <v>224</v>
      </c>
      <c r="AD243" s="15">
        <f>IF(ISBLANK(Table2[[#This Row],[Roster Received By]]),1,0)</f>
        <v>1</v>
      </c>
      <c r="AE243" s="15">
        <f ca="1">IF(Table2[[#This Row],[Start Date]]&gt;TODAY(),1,)</f>
        <v>1</v>
      </c>
      <c r="AF243" s="62"/>
    </row>
    <row r="244" spans="1:32" x14ac:dyDescent="0.25">
      <c r="A244" s="62"/>
      <c r="B244" s="99" t="s">
        <v>32</v>
      </c>
      <c r="C244" s="100" t="str">
        <f>VLOOKUP(Table2[[#This Row],[Course Title]],'TSD-Data'!$A$1:$E$56,2,FALSE)</f>
        <v>A-493-2300</v>
      </c>
      <c r="D244" s="100" t="str">
        <f>VLOOKUP(Table2[[#This Row],[Course Title]],'TSD-Data'!$A$1:$E$56,3,FALSE)</f>
        <v>993F</v>
      </c>
      <c r="E244" s="99" t="s">
        <v>295</v>
      </c>
      <c r="F244" s="102">
        <v>45754</v>
      </c>
      <c r="G244" s="102">
        <v>45755</v>
      </c>
      <c r="H244" s="105">
        <v>0.33333333333333331</v>
      </c>
      <c r="I244" s="105"/>
      <c r="J244" s="105"/>
      <c r="K244" s="105"/>
      <c r="L244" s="105"/>
      <c r="M244" s="105"/>
      <c r="N244" s="105"/>
      <c r="O244" s="15" t="s">
        <v>94</v>
      </c>
      <c r="P244" s="15"/>
      <c r="Q244" s="15">
        <f>VLOOKUP(Table2[[#This Row],[Course Title]],'TSD-Data'!$A$1:$E$56,4,FALSE)</f>
        <v>30</v>
      </c>
      <c r="R244" s="15">
        <f>VLOOKUP(Table2[[#This Row],[Course Title]],'TSD-Data'!$A$1:$F$53,6,FALSE)</f>
        <v>16</v>
      </c>
      <c r="S244" s="15">
        <f>VLOOKUP(Table2[[#This Row],[Course Title]],'TSD-Data'!$A$1:$E$56,5,FALSE)</f>
        <v>2</v>
      </c>
      <c r="T244" s="15">
        <v>21</v>
      </c>
      <c r="U244" s="15"/>
      <c r="V244" s="15"/>
      <c r="W244" s="15"/>
      <c r="X244" s="103"/>
      <c r="Y244" s="15"/>
      <c r="Z244" s="15"/>
      <c r="AA244" s="15"/>
      <c r="AB244" s="99"/>
      <c r="AC244" s="71">
        <f ca="1">Table2[[#This Row],[End Date]]+2-TODAY()</f>
        <v>225</v>
      </c>
      <c r="AD244" s="15">
        <f>IF(ISBLANK(Table2[[#This Row],[Roster Received By]]),1,0)</f>
        <v>1</v>
      </c>
      <c r="AE244" s="15">
        <f ca="1">IF(Table2[[#This Row],[Start Date]]&gt;TODAY(),1,)</f>
        <v>1</v>
      </c>
      <c r="AF244" s="62"/>
    </row>
    <row r="245" spans="1:32" x14ac:dyDescent="0.25">
      <c r="A245" s="62"/>
      <c r="B245" s="99" t="s">
        <v>60</v>
      </c>
      <c r="C245" s="100" t="str">
        <f>VLOOKUP(Table2[[#This Row],[Course Title]],'TSD-Data'!$A$1:$E$56,2,FALSE)</f>
        <v>A-493-0073</v>
      </c>
      <c r="D245" s="100" t="str">
        <f>VLOOKUP(Table2[[#This Row],[Course Title]],'TSD-Data'!$A$1:$E$56,3,FALSE)</f>
        <v>714S</v>
      </c>
      <c r="E245" s="99" t="s">
        <v>80</v>
      </c>
      <c r="F245" s="102">
        <v>45754</v>
      </c>
      <c r="G245" s="102">
        <v>45757</v>
      </c>
      <c r="H245" s="102"/>
      <c r="I245" s="101">
        <v>0.79166666666666663</v>
      </c>
      <c r="J245" s="101">
        <v>0.66666666666666663</v>
      </c>
      <c r="K245" s="101">
        <v>8.3333333333333329E-2</v>
      </c>
      <c r="L245" s="101">
        <v>0</v>
      </c>
      <c r="M245" s="101">
        <v>0.54166666666666663</v>
      </c>
      <c r="N245" s="101">
        <v>0.33333333333333331</v>
      </c>
      <c r="O245" s="15" t="s">
        <v>160</v>
      </c>
      <c r="P245" s="15"/>
      <c r="Q245" s="15">
        <f>VLOOKUP(Table2[[#This Row],[Course Title]],'TSD-Data'!$A$1:$E$56,4,FALSE)</f>
        <v>30</v>
      </c>
      <c r="R245" s="15">
        <f>VLOOKUP(Table2[[#This Row],[Course Title]],'TSD-Data'!$A$1:$F$53,6,FALSE)</f>
        <v>32</v>
      </c>
      <c r="S245" s="15">
        <f>VLOOKUP(Table2[[#This Row],[Course Title]],'TSD-Data'!$A$1:$E$56,5,FALSE)</f>
        <v>4</v>
      </c>
      <c r="T245" s="15">
        <v>129</v>
      </c>
      <c r="U245" s="15"/>
      <c r="V245" s="15"/>
      <c r="W245" s="15"/>
      <c r="X245" s="103"/>
      <c r="Y245" s="15"/>
      <c r="Z245" s="15"/>
      <c r="AA245" s="15"/>
      <c r="AB245" s="99"/>
      <c r="AC245" s="71">
        <f ca="1">Table2[[#This Row],[End Date]]+2-TODAY()</f>
        <v>227</v>
      </c>
      <c r="AD245" s="15">
        <f>IF(ISBLANK(Table2[[#This Row],[Roster Received By]]),1,0)</f>
        <v>1</v>
      </c>
      <c r="AE245" s="15">
        <f ca="1">IF(Table2[[#This Row],[Start Date]]&gt;TODAY(),1,)</f>
        <v>1</v>
      </c>
      <c r="AF245" s="62"/>
    </row>
    <row r="246" spans="1:32" x14ac:dyDescent="0.25">
      <c r="A246" s="62"/>
      <c r="B246" s="99" t="s">
        <v>61</v>
      </c>
      <c r="C246" s="100" t="str">
        <f>VLOOKUP(Table2[[#This Row],[Course Title]],'TSD-Data'!$A$1:$E$56,2,FALSE)</f>
        <v>A-493-0078</v>
      </c>
      <c r="D246" s="100">
        <f>VLOOKUP(Table2[[#This Row],[Course Title]],'TSD-Data'!$A$1:$E$56,3,FALSE)</f>
        <v>1228</v>
      </c>
      <c r="E246" s="99" t="s">
        <v>80</v>
      </c>
      <c r="F246" s="102">
        <v>45754</v>
      </c>
      <c r="G246" s="102">
        <v>45757</v>
      </c>
      <c r="H246" s="105"/>
      <c r="I246" s="105">
        <v>0.45833333333333331</v>
      </c>
      <c r="J246" s="105">
        <v>0.33333333333333331</v>
      </c>
      <c r="K246" s="105">
        <v>0.75</v>
      </c>
      <c r="L246" s="105">
        <v>0.66666666666666663</v>
      </c>
      <c r="M246" s="105">
        <v>0.20833333333333334</v>
      </c>
      <c r="N246" s="105">
        <v>0</v>
      </c>
      <c r="O246" s="15" t="s">
        <v>394</v>
      </c>
      <c r="P246" s="15"/>
      <c r="Q246" s="15">
        <f>VLOOKUP(Table2[[#This Row],[Course Title]],'TSD-Data'!$A$1:$E$56,4,FALSE)</f>
        <v>45</v>
      </c>
      <c r="R246" s="15">
        <f>VLOOKUP(Table2[[#This Row],[Course Title]],'TSD-Data'!$A$1:$F$53,6,FALSE)</f>
        <v>32</v>
      </c>
      <c r="S246" s="15">
        <f>VLOOKUP(Table2[[#This Row],[Course Title]],'TSD-Data'!$A$1:$E$56,5,FALSE)</f>
        <v>4</v>
      </c>
      <c r="T246" s="15"/>
      <c r="U246" s="15"/>
      <c r="V246" s="15"/>
      <c r="W246" s="15"/>
      <c r="X246" s="103"/>
      <c r="Y246" s="15"/>
      <c r="Z246" s="15"/>
      <c r="AA246" s="15"/>
      <c r="AB246" s="99"/>
      <c r="AC246" s="71">
        <f ca="1">Table2[[#This Row],[End Date]]+2-TODAY()</f>
        <v>227</v>
      </c>
      <c r="AD246" s="15">
        <f>IF(ISBLANK(Table2[[#This Row],[Roster Received By]]),1,0)</f>
        <v>1</v>
      </c>
      <c r="AE246" s="15">
        <f ca="1">IF(Table2[[#This Row],[Start Date]]&gt;TODAY(),1,)</f>
        <v>1</v>
      </c>
      <c r="AF246" s="113"/>
    </row>
    <row r="247" spans="1:32" x14ac:dyDescent="0.25">
      <c r="A247" s="100"/>
      <c r="B247" s="99" t="s">
        <v>40</v>
      </c>
      <c r="C247" s="100" t="str">
        <f>VLOOKUP(Table2[[#This Row],[Course Title]],'TSD-Data'!$A$1:$E$56,2,FALSE)</f>
        <v>A-493-2098</v>
      </c>
      <c r="D247" s="100" t="str">
        <f>VLOOKUP(Table2[[#This Row],[Course Title]],'TSD-Data'!$A$1:$E$56,3,FALSE)</f>
        <v>09WW</v>
      </c>
      <c r="E247" s="99" t="s">
        <v>80</v>
      </c>
      <c r="F247" s="102">
        <v>45754</v>
      </c>
      <c r="G247" s="102">
        <v>45758</v>
      </c>
      <c r="H247" s="105"/>
      <c r="I247" s="105">
        <v>0.33333333333333331</v>
      </c>
      <c r="J247" s="105">
        <v>0.20833333333333334</v>
      </c>
      <c r="K247" s="105">
        <v>0.625</v>
      </c>
      <c r="L247" s="105">
        <v>0.54166666666666663</v>
      </c>
      <c r="M247" s="105">
        <v>8.3333333333333329E-2</v>
      </c>
      <c r="N247" s="105">
        <v>0.875</v>
      </c>
      <c r="O247" s="15" t="s">
        <v>394</v>
      </c>
      <c r="P247" s="15"/>
      <c r="Q247" s="15">
        <f>VLOOKUP(Table2[[#This Row],[Course Title]],'TSD-Data'!$A$1:$E$56,4,FALSE)</f>
        <v>100</v>
      </c>
      <c r="R247" s="15">
        <f>VLOOKUP(Table2[[#This Row],[Course Title]],'TSD-Data'!$A$1:$F$53,6,FALSE)</f>
        <v>16</v>
      </c>
      <c r="S247" s="15">
        <f>VLOOKUP(Table2[[#This Row],[Course Title]],'TSD-Data'!$A$1:$E$56,5,FALSE)</f>
        <v>2</v>
      </c>
      <c r="T247" s="15"/>
      <c r="U247" s="15"/>
      <c r="V247" s="15"/>
      <c r="W247" s="104"/>
      <c r="X247" s="104"/>
      <c r="Y247" s="100"/>
      <c r="Z247" s="100"/>
      <c r="AA247" s="104"/>
      <c r="AB247" s="99"/>
      <c r="AC247" s="71">
        <f ca="1">Table2[[#This Row],[End Date]]+2-TODAY()</f>
        <v>228</v>
      </c>
      <c r="AD247" s="15">
        <f>IF(ISBLANK(Table2[[#This Row],[Roster Received By]]),1,0)</f>
        <v>1</v>
      </c>
      <c r="AE247" s="15">
        <f ca="1">IF(Table2[[#This Row],[Start Date]]&gt;TODAY(),1,)</f>
        <v>1</v>
      </c>
      <c r="AF247" s="62"/>
    </row>
    <row r="248" spans="1:32" x14ac:dyDescent="0.25">
      <c r="A248" s="62"/>
      <c r="B248" s="99" t="s">
        <v>53</v>
      </c>
      <c r="C248" s="100" t="str">
        <f>VLOOKUP(Table2[[#This Row],[Course Title]],'TSD-Data'!$A$1:$E$56,2,FALSE)</f>
        <v>A-493-0072</v>
      </c>
      <c r="D248" s="100" t="str">
        <f>VLOOKUP(Table2[[#This Row],[Course Title]],'TSD-Data'!$A$1:$E$56,3,FALSE)</f>
        <v>713U</v>
      </c>
      <c r="E248" s="99" t="s">
        <v>268</v>
      </c>
      <c r="F248" s="102">
        <v>45754</v>
      </c>
      <c r="G248" s="102">
        <v>45758</v>
      </c>
      <c r="H248" s="105">
        <v>0.33333333333333331</v>
      </c>
      <c r="I248" s="105"/>
      <c r="J248" s="102"/>
      <c r="K248" s="102"/>
      <c r="L248" s="102"/>
      <c r="M248" s="102"/>
      <c r="N248" s="102"/>
      <c r="O248" s="15" t="s">
        <v>394</v>
      </c>
      <c r="P248" s="15"/>
      <c r="Q248" s="15">
        <f>VLOOKUP(Table2[[#This Row],[Course Title]],'TSD-Data'!$A$1:$E$56,4,FALSE)</f>
        <v>30</v>
      </c>
      <c r="R248" s="15">
        <f>VLOOKUP(Table2[[#This Row],[Course Title]],'TSD-Data'!$A$1:$F$53,6,FALSE)</f>
        <v>40</v>
      </c>
      <c r="S248" s="15">
        <f>VLOOKUP(Table2[[#This Row],[Course Title]],'TSD-Data'!$A$1:$E$56,5,FALSE)</f>
        <v>5</v>
      </c>
      <c r="T248" s="15"/>
      <c r="U248" s="15"/>
      <c r="V248" s="15"/>
      <c r="W248" s="15"/>
      <c r="X248" s="103"/>
      <c r="Y248" s="15"/>
      <c r="Z248" s="15"/>
      <c r="AA248" s="15"/>
      <c r="AB248" s="99"/>
      <c r="AC248" s="71">
        <f ca="1">Table2[[#This Row],[End Date]]+2-TODAY()</f>
        <v>228</v>
      </c>
      <c r="AD248" s="15">
        <f>IF(ISBLANK(Table2[[#This Row],[Roster Received By]]),1,0)</f>
        <v>1</v>
      </c>
      <c r="AE248" s="15">
        <f ca="1">IF(Table2[[#This Row],[Start Date]]&gt;TODAY(),1,)</f>
        <v>1</v>
      </c>
      <c r="AF248" s="62"/>
    </row>
    <row r="249" spans="1:32" x14ac:dyDescent="0.25">
      <c r="A249" s="62"/>
      <c r="B249" s="99" t="s">
        <v>33</v>
      </c>
      <c r="C249" s="100" t="str">
        <f>VLOOKUP(Table2[[#This Row],[Course Title]],'TSD-Data'!$A$1:$E$56,2,FALSE)</f>
        <v>A-493-2301</v>
      </c>
      <c r="D249" s="100" t="str">
        <f>VLOOKUP(Table2[[#This Row],[Course Title]],'TSD-Data'!$A$1:$E$56,3,FALSE)</f>
        <v>05ZD</v>
      </c>
      <c r="E249" s="99" t="s">
        <v>295</v>
      </c>
      <c r="F249" s="102">
        <v>45756</v>
      </c>
      <c r="G249" s="102">
        <v>45756</v>
      </c>
      <c r="H249" s="105">
        <v>0.33333333333333331</v>
      </c>
      <c r="I249" s="105"/>
      <c r="J249" s="105"/>
      <c r="K249" s="105"/>
      <c r="L249" s="105"/>
      <c r="M249" s="105"/>
      <c r="N249" s="105"/>
      <c r="O249" s="15" t="s">
        <v>94</v>
      </c>
      <c r="P249" s="15"/>
      <c r="Q249" s="15">
        <f>VLOOKUP(Table2[[#This Row],[Course Title]],'TSD-Data'!$A$1:$E$56,4,FALSE)</f>
        <v>30</v>
      </c>
      <c r="R249" s="15">
        <f>VLOOKUP(Table2[[#This Row],[Course Title]],'TSD-Data'!$A$1:$F$53,6,FALSE)</f>
        <v>8</v>
      </c>
      <c r="S249" s="15">
        <f>VLOOKUP(Table2[[#This Row],[Course Title]],'TSD-Data'!$A$1:$E$56,5,FALSE)</f>
        <v>1</v>
      </c>
      <c r="T249" s="15">
        <v>20</v>
      </c>
      <c r="U249" s="15"/>
      <c r="V249" s="15"/>
      <c r="W249" s="15"/>
      <c r="X249" s="103"/>
      <c r="Y249" s="15"/>
      <c r="Z249" s="15"/>
      <c r="AA249" s="15"/>
      <c r="AB249" s="99"/>
      <c r="AC249" s="71">
        <f ca="1">Table2[[#This Row],[End Date]]+2-TODAY()</f>
        <v>226</v>
      </c>
      <c r="AD249" s="15">
        <f>IF(ISBLANK(Table2[[#This Row],[Roster Received By]]),1,0)</f>
        <v>1</v>
      </c>
      <c r="AE249" s="15">
        <f ca="1">IF(Table2[[#This Row],[Start Date]]&gt;TODAY(),1,)</f>
        <v>1</v>
      </c>
      <c r="AF249" s="62"/>
    </row>
    <row r="250" spans="1:32" x14ac:dyDescent="0.25">
      <c r="A250" s="62"/>
      <c r="B250" s="99" t="s">
        <v>31</v>
      </c>
      <c r="C250" s="100" t="str">
        <f>VLOOKUP(Table2[[#This Row],[Course Title]],'TSD-Data'!$A$1:$E$56,2,FALSE)</f>
        <v>A-493-0083</v>
      </c>
      <c r="D250" s="100" t="str">
        <f>VLOOKUP(Table2[[#This Row],[Course Title]],'TSD-Data'!$A$1:$E$56,3,FALSE)</f>
        <v>339E</v>
      </c>
      <c r="E250" s="99" t="s">
        <v>272</v>
      </c>
      <c r="F250" s="102">
        <v>45757</v>
      </c>
      <c r="G250" s="102">
        <v>45757</v>
      </c>
      <c r="H250" s="105">
        <v>0.33333333333333331</v>
      </c>
      <c r="I250" s="105"/>
      <c r="J250" s="105"/>
      <c r="K250" s="105"/>
      <c r="L250" s="105"/>
      <c r="M250" s="105"/>
      <c r="N250" s="105"/>
      <c r="O250" s="15" t="s">
        <v>94</v>
      </c>
      <c r="P250" s="15"/>
      <c r="Q250" s="15">
        <f>VLOOKUP(Table2[[#This Row],[Course Title]],'TSD-Data'!$A$1:$E$56,4,FALSE)</f>
        <v>30</v>
      </c>
      <c r="R250" s="15">
        <f>VLOOKUP(Table2[[#This Row],[Course Title]],'TSD-Data'!$A$1:$F$53,6,FALSE)</f>
        <v>8</v>
      </c>
      <c r="S250" s="15">
        <f>VLOOKUP(Table2[[#This Row],[Course Title]],'TSD-Data'!$A$1:$E$56,5,FALSE)</f>
        <v>1</v>
      </c>
      <c r="T250" s="15">
        <v>32</v>
      </c>
      <c r="U250" s="15"/>
      <c r="V250" s="15"/>
      <c r="W250" s="15"/>
      <c r="X250" s="103"/>
      <c r="Y250" s="15"/>
      <c r="Z250" s="15"/>
      <c r="AA250" s="15"/>
      <c r="AB250" s="99"/>
      <c r="AC250" s="71">
        <f ca="1">Table2[[#This Row],[End Date]]+2-TODAY()</f>
        <v>227</v>
      </c>
      <c r="AD250" s="15">
        <f>IF(ISBLANK(Table2[[#This Row],[Roster Received By]]),1,0)</f>
        <v>1</v>
      </c>
      <c r="AE250" s="15">
        <f ca="1">IF(Table2[[#This Row],[Start Date]]&gt;TODAY(),1,)</f>
        <v>1</v>
      </c>
      <c r="AF250" s="62"/>
    </row>
    <row r="251" spans="1:32" x14ac:dyDescent="0.25">
      <c r="A251" s="62"/>
      <c r="B251" s="99" t="s">
        <v>34</v>
      </c>
      <c r="C251" s="100" t="str">
        <f>VLOOKUP(Table2[[#This Row],[Course Title]],'TSD-Data'!$A$1:$E$56,2,FALSE)</f>
        <v>A-493-0216</v>
      </c>
      <c r="D251" s="100" t="str">
        <f>VLOOKUP(Table2[[#This Row],[Course Title]],'TSD-Data'!$A$1:$E$56,3,FALSE)</f>
        <v>12X8</v>
      </c>
      <c r="E251" s="99" t="s">
        <v>295</v>
      </c>
      <c r="F251" s="102">
        <v>45757</v>
      </c>
      <c r="G251" s="102">
        <v>45757</v>
      </c>
      <c r="H251" s="105">
        <v>0.33333333333333331</v>
      </c>
      <c r="I251" s="105"/>
      <c r="J251" s="105"/>
      <c r="K251" s="105"/>
      <c r="L251" s="105"/>
      <c r="M251" s="105"/>
      <c r="N251" s="105"/>
      <c r="O251" s="15" t="s">
        <v>94</v>
      </c>
      <c r="P251" s="15"/>
      <c r="Q251" s="15">
        <f>VLOOKUP(Table2[[#This Row],[Course Title]],'TSD-Data'!$A$1:$E$56,4,FALSE)</f>
        <v>30</v>
      </c>
      <c r="R251" s="15">
        <f>VLOOKUP(Table2[[#This Row],[Course Title]],'TSD-Data'!$A$1:$F$53,6,FALSE)</f>
        <v>8</v>
      </c>
      <c r="S251" s="15">
        <f>VLOOKUP(Table2[[#This Row],[Course Title]],'TSD-Data'!$A$1:$E$56,5,FALSE)</f>
        <v>1</v>
      </c>
      <c r="T251" s="15">
        <v>33</v>
      </c>
      <c r="U251" s="15"/>
      <c r="V251" s="15"/>
      <c r="W251" s="15"/>
      <c r="X251" s="103"/>
      <c r="Y251" s="15"/>
      <c r="Z251" s="15"/>
      <c r="AA251" s="15"/>
      <c r="AB251" s="99"/>
      <c r="AC251" s="71">
        <f ca="1">Table2[[#This Row],[End Date]]+2-TODAY()</f>
        <v>227</v>
      </c>
      <c r="AD251" s="15">
        <f>IF(ISBLANK(Table2[[#This Row],[Roster Received By]]),1,0)</f>
        <v>1</v>
      </c>
      <c r="AE251" s="15">
        <f ca="1">IF(Table2[[#This Row],[Start Date]]&gt;TODAY(),1,)</f>
        <v>1</v>
      </c>
      <c r="AF251" s="62"/>
    </row>
    <row r="252" spans="1:32" x14ac:dyDescent="0.25">
      <c r="A252" s="62" t="s">
        <v>399</v>
      </c>
      <c r="B252" s="99" t="s">
        <v>264</v>
      </c>
      <c r="C252" s="100" t="str">
        <f>VLOOKUP(Table2[[#This Row],[Course Title]],'TSD-Data'!$A$1:$E$56,2,FALSE)</f>
        <v>Function</v>
      </c>
      <c r="D252" s="100" t="str">
        <f>VLOOKUP(Table2[[#This Row],[Course Title]],'TSD-Data'!$A$1:$E$56,3,FALSE)</f>
        <v>Function</v>
      </c>
      <c r="E252" s="99" t="s">
        <v>266</v>
      </c>
      <c r="F252" s="102">
        <v>45758</v>
      </c>
      <c r="G252" s="102">
        <v>45758</v>
      </c>
      <c r="H252" s="102"/>
      <c r="I252" s="101"/>
      <c r="J252" s="105"/>
      <c r="K252" s="105"/>
      <c r="L252" s="105"/>
      <c r="M252" s="105"/>
      <c r="N252" s="105"/>
      <c r="O252" s="15"/>
      <c r="P252" s="15"/>
      <c r="Q252" s="15">
        <f>VLOOKUP(Table2[[#This Row],[Course Title]],'TSD-Data'!$A$1:$E$56,4,FALSE)</f>
        <v>0</v>
      </c>
      <c r="R252" s="15">
        <f>VLOOKUP(Table2[[#This Row],[Course Title]],'TSD-Data'!$A$1:$F$53,6,FALSE)</f>
        <v>0</v>
      </c>
      <c r="S252" s="15">
        <f>VLOOKUP(Table2[[#This Row],[Course Title]],'TSD-Data'!$A$1:$E$56,5,FALSE)</f>
        <v>0</v>
      </c>
      <c r="T252" s="15">
        <v>0</v>
      </c>
      <c r="U252" s="15"/>
      <c r="V252" s="15"/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99" t="s">
        <v>100</v>
      </c>
      <c r="AC252" s="71">
        <f ca="1">Table2[[#This Row],[End Date]]+2-TODAY()</f>
        <v>228</v>
      </c>
      <c r="AD252" s="15">
        <f>IF(ISBLANK(Table2[[#This Row],[Roster Received By]]),1,0)</f>
        <v>0</v>
      </c>
      <c r="AE252" s="15">
        <f ca="1">IF(Table2[[#This Row],[Start Date]]&gt;TODAY(),1,)</f>
        <v>1</v>
      </c>
      <c r="AF252" s="62"/>
    </row>
    <row r="253" spans="1:32" x14ac:dyDescent="0.25">
      <c r="A253" s="142"/>
      <c r="B253" s="99" t="s">
        <v>35</v>
      </c>
      <c r="C253" s="100" t="str">
        <f>VLOOKUP(Table2[[#This Row],[Course Title]],'TSD-Data'!$A$1:$E$56,2,FALSE)</f>
        <v>A-493-2501</v>
      </c>
      <c r="D253" s="100" t="str">
        <f>VLOOKUP(Table2[[#This Row],[Course Title]],'TSD-Data'!$A$1:$E$56,3,FALSE)</f>
        <v>05ZE</v>
      </c>
      <c r="E253" s="99" t="s">
        <v>295</v>
      </c>
      <c r="F253" s="102">
        <v>45758</v>
      </c>
      <c r="G253" s="102">
        <v>45758</v>
      </c>
      <c r="H253" s="105">
        <v>0.33333333333333331</v>
      </c>
      <c r="I253" s="105"/>
      <c r="J253" s="105"/>
      <c r="K253" s="105"/>
      <c r="L253" s="105"/>
      <c r="M253" s="105"/>
      <c r="N253" s="105"/>
      <c r="O253" s="15" t="s">
        <v>94</v>
      </c>
      <c r="P253" s="15"/>
      <c r="Q253" s="15">
        <f>VLOOKUP(Table2[[#This Row],[Course Title]],'TSD-Data'!$A$1:$E$56,4,FALSE)</f>
        <v>30</v>
      </c>
      <c r="R253" s="15">
        <f>VLOOKUP(Table2[[#This Row],[Course Title]],'TSD-Data'!$A$1:$F$53,6,FALSE)</f>
        <v>8</v>
      </c>
      <c r="S253" s="15">
        <f>VLOOKUP(Table2[[#This Row],[Course Title]],'TSD-Data'!$A$1:$E$56,5,FALSE)</f>
        <v>1</v>
      </c>
      <c r="T253" s="15">
        <v>21</v>
      </c>
      <c r="U253" s="15"/>
      <c r="V253" s="15"/>
      <c r="W253" s="103"/>
      <c r="X253" s="103"/>
      <c r="Y253" s="15"/>
      <c r="Z253" s="15"/>
      <c r="AA253" s="15"/>
      <c r="AB253" s="99"/>
      <c r="AC253" s="71">
        <f ca="1">Table2[[#This Row],[End Date]]+2-TODAY()</f>
        <v>228</v>
      </c>
      <c r="AD253" s="15">
        <f>IF(ISBLANK(Table2[[#This Row],[Roster Received By]]),1,0)</f>
        <v>1</v>
      </c>
      <c r="AE253" s="15">
        <f ca="1">IF(Table2[[#This Row],[Start Date]]&gt;TODAY(),1,)</f>
        <v>1</v>
      </c>
      <c r="AF253" s="62"/>
    </row>
    <row r="254" spans="1:32" x14ac:dyDescent="0.25">
      <c r="A254" s="62"/>
      <c r="B254" s="99" t="s">
        <v>55</v>
      </c>
      <c r="C254" s="100" t="str">
        <f>VLOOKUP(Table2[[#This Row],[Course Title]],'TSD-Data'!$A$1:$E$56,2,FALSE)</f>
        <v>A-493-0103</v>
      </c>
      <c r="D254" s="100" t="str">
        <f>VLOOKUP(Table2[[#This Row],[Course Title]],'TSD-Data'!$A$1:$E$56,3,FALSE)</f>
        <v>12JY</v>
      </c>
      <c r="E254" s="99" t="s">
        <v>99</v>
      </c>
      <c r="F254" s="102">
        <v>45761</v>
      </c>
      <c r="G254" s="102">
        <v>45765</v>
      </c>
      <c r="H254" s="105">
        <v>0.33333333333333331</v>
      </c>
      <c r="I254" s="105"/>
      <c r="J254" s="105"/>
      <c r="K254" s="105"/>
      <c r="L254" s="105"/>
      <c r="M254" s="105"/>
      <c r="N254" s="105"/>
      <c r="O254" s="15" t="s">
        <v>160</v>
      </c>
      <c r="P254" s="15"/>
      <c r="Q254" s="15">
        <f>VLOOKUP(Table2[[#This Row],[Course Title]],'TSD-Data'!$A$1:$E$56,4,FALSE)</f>
        <v>25</v>
      </c>
      <c r="R254" s="15">
        <f>VLOOKUP(Table2[[#This Row],[Course Title]],'TSD-Data'!$A$1:$F$53,6,FALSE)</f>
        <v>40</v>
      </c>
      <c r="S254" s="15">
        <f>VLOOKUP(Table2[[#This Row],[Course Title]],'TSD-Data'!$A$1:$E$56,5,FALSE)</f>
        <v>5</v>
      </c>
      <c r="T254" s="15">
        <v>12</v>
      </c>
      <c r="U254" s="15"/>
      <c r="V254" s="15"/>
      <c r="W254" s="15"/>
      <c r="X254" s="103"/>
      <c r="Y254" s="15"/>
      <c r="Z254" s="15"/>
      <c r="AA254" s="15"/>
      <c r="AB254" s="99"/>
      <c r="AC254" s="71">
        <f ca="1">Table2[[#This Row],[End Date]]+2-TODAY()</f>
        <v>235</v>
      </c>
      <c r="AD254" s="15">
        <f>IF(ISBLANK(Table2[[#This Row],[Roster Received By]]),1,0)</f>
        <v>1</v>
      </c>
      <c r="AE254" s="15">
        <f ca="1">IF(Table2[[#This Row],[Start Date]]&gt;TODAY(),1,)</f>
        <v>1</v>
      </c>
      <c r="AF254" s="62"/>
    </row>
    <row r="255" spans="1:32" x14ac:dyDescent="0.25">
      <c r="A255" s="62"/>
      <c r="B255" s="99" t="s">
        <v>55</v>
      </c>
      <c r="C255" s="100" t="str">
        <f>VLOOKUP(Table2[[#This Row],[Course Title]],'TSD-Data'!$A$1:$E$56,2,FALSE)</f>
        <v>A-493-0103</v>
      </c>
      <c r="D255" s="100" t="str">
        <f>VLOOKUP(Table2[[#This Row],[Course Title]],'TSD-Data'!$A$1:$E$56,3,FALSE)</f>
        <v>12JY</v>
      </c>
      <c r="E255" s="99" t="s">
        <v>267</v>
      </c>
      <c r="F255" s="102">
        <v>45761</v>
      </c>
      <c r="G255" s="102">
        <v>45765</v>
      </c>
      <c r="H255" s="105">
        <v>0.33333333333333331</v>
      </c>
      <c r="I255" s="105"/>
      <c r="J255" s="105"/>
      <c r="K255" s="105"/>
      <c r="L255" s="105"/>
      <c r="M255" s="105"/>
      <c r="N255" s="102"/>
      <c r="O255" s="15" t="s">
        <v>160</v>
      </c>
      <c r="P255" s="15"/>
      <c r="Q255" s="15">
        <f>VLOOKUP(Table2[[#This Row],[Course Title]],'TSD-Data'!$A$1:$E$56,4,FALSE)</f>
        <v>25</v>
      </c>
      <c r="R255" s="15">
        <f>VLOOKUP(Table2[[#This Row],[Course Title]],'TSD-Data'!$A$1:$F$53,6,FALSE)</f>
        <v>40</v>
      </c>
      <c r="S255" s="15">
        <f>VLOOKUP(Table2[[#This Row],[Course Title]],'TSD-Data'!$A$1:$E$56,5,FALSE)</f>
        <v>5</v>
      </c>
      <c r="T255" s="15">
        <v>332</v>
      </c>
      <c r="U255" s="15"/>
      <c r="V255" s="15"/>
      <c r="W255" s="15"/>
      <c r="X255" s="103"/>
      <c r="Y255" s="15"/>
      <c r="Z255" s="15"/>
      <c r="AA255" s="15"/>
      <c r="AB255" s="99"/>
      <c r="AC255" s="71">
        <f ca="1">Table2[[#This Row],[End Date]]+2-TODAY()</f>
        <v>235</v>
      </c>
      <c r="AD255" s="15">
        <f>IF(ISBLANK(Table2[[#This Row],[Roster Received By]]),1,0)</f>
        <v>1</v>
      </c>
      <c r="AE255" s="15">
        <f ca="1">IF(Table2[[#This Row],[Start Date]]&gt;TODAY(),1,)</f>
        <v>1</v>
      </c>
      <c r="AF255" s="62"/>
    </row>
    <row r="256" spans="1:32" x14ac:dyDescent="0.25">
      <c r="A256" s="99"/>
      <c r="B256" s="99" t="s">
        <v>17</v>
      </c>
      <c r="C256" s="100" t="str">
        <f>VLOOKUP(Table2[[#This Row],[Course Title]],'TSD-Data'!$A$1:$E$56,2,FALSE)</f>
        <v>A-493-0012</v>
      </c>
      <c r="D256" s="100">
        <f>VLOOKUP(Table2[[#This Row],[Course Title]],'TSD-Data'!$A$1:$E$56,3,FALSE)</f>
        <v>3682</v>
      </c>
      <c r="E256" s="99" t="s">
        <v>215</v>
      </c>
      <c r="F256" s="102">
        <v>45761</v>
      </c>
      <c r="G256" s="102">
        <v>45765</v>
      </c>
      <c r="H256" s="105">
        <v>0.33333333333333331</v>
      </c>
      <c r="I256" s="101"/>
      <c r="J256" s="101"/>
      <c r="K256" s="101"/>
      <c r="L256" s="101"/>
      <c r="M256" s="101"/>
      <c r="N256" s="101"/>
      <c r="O256" s="15" t="s">
        <v>94</v>
      </c>
      <c r="P256" s="15"/>
      <c r="Q256" s="15">
        <f>VLOOKUP(Table2[[#This Row],[Course Title]],'TSD-Data'!$A$1:$E$56,4,FALSE)</f>
        <v>40</v>
      </c>
      <c r="R256" s="15">
        <f>VLOOKUP(Table2[[#This Row],[Course Title]],'TSD-Data'!$A$1:$F$53,6,FALSE)</f>
        <v>40</v>
      </c>
      <c r="S256" s="15">
        <f>VLOOKUP(Table2[[#This Row],[Course Title]],'TSD-Data'!$A$1:$E$56,5,FALSE)</f>
        <v>5</v>
      </c>
      <c r="T256" s="15">
        <v>40</v>
      </c>
      <c r="U256" s="15"/>
      <c r="V256" s="15"/>
      <c r="W256" s="15"/>
      <c r="X256" s="103"/>
      <c r="Y256" s="15"/>
      <c r="Z256" s="15"/>
      <c r="AA256" s="100"/>
      <c r="AB256" s="99"/>
      <c r="AC256" s="71">
        <f ca="1">Table2[[#This Row],[End Date]]+2-TODAY()</f>
        <v>235</v>
      </c>
      <c r="AD256" s="15">
        <f>IF(ISBLANK(Table2[[#This Row],[Roster Received By]]),1,0)</f>
        <v>1</v>
      </c>
      <c r="AE256" s="15">
        <f ca="1">IF(Table2[[#This Row],[Start Date]]&gt;TODAY(),1,)</f>
        <v>1</v>
      </c>
      <c r="AF256" s="62"/>
    </row>
    <row r="257" spans="1:32" x14ac:dyDescent="0.25">
      <c r="A257" s="62" t="s">
        <v>400</v>
      </c>
      <c r="B257" s="99" t="s">
        <v>28</v>
      </c>
      <c r="C257" s="100" t="str">
        <f>VLOOKUP(Table2[[#This Row],[Course Title]],'TSD-Data'!$A$1:$E$56,2,FALSE)</f>
        <v>A-493-0013</v>
      </c>
      <c r="D257" s="100">
        <f>VLOOKUP(Table2[[#This Row],[Course Title]],'TSD-Data'!$A$1:$E$56,3,FALSE)</f>
        <v>3683</v>
      </c>
      <c r="E257" s="99" t="s">
        <v>295</v>
      </c>
      <c r="F257" s="102">
        <v>45761</v>
      </c>
      <c r="G257" s="102">
        <v>45763</v>
      </c>
      <c r="H257" s="105">
        <v>0.33333333333333331</v>
      </c>
      <c r="I257" s="101"/>
      <c r="J257" s="101"/>
      <c r="K257" s="101"/>
      <c r="L257" s="101"/>
      <c r="M257" s="101"/>
      <c r="N257" s="101"/>
      <c r="O257" s="15" t="s">
        <v>94</v>
      </c>
      <c r="P257" s="15"/>
      <c r="Q257" s="15">
        <f>VLOOKUP(Table2[[#This Row],[Course Title]],'TSD-Data'!$A$1:$E$56,4,FALSE)</f>
        <v>40</v>
      </c>
      <c r="R257" s="15">
        <f>VLOOKUP(Table2[[#This Row],[Course Title]],'TSD-Data'!$A$1:$F$53,6,FALSE)</f>
        <v>24</v>
      </c>
      <c r="S257" s="15">
        <f>VLOOKUP(Table2[[#This Row],[Course Title]],'TSD-Data'!$A$1:$E$56,5,FALSE)</f>
        <v>3</v>
      </c>
      <c r="T257" s="15">
        <v>20</v>
      </c>
      <c r="U257" s="15"/>
      <c r="V257" s="15"/>
      <c r="W257" s="15"/>
      <c r="X257" s="103"/>
      <c r="Y257" s="15"/>
      <c r="Z257" s="15"/>
      <c r="AA257" s="100"/>
      <c r="AB257" s="99"/>
      <c r="AC257" s="71">
        <f ca="1">Table2[[#This Row],[End Date]]+2-TODAY()</f>
        <v>233</v>
      </c>
      <c r="AD257" s="15">
        <f>IF(ISBLANK(Table2[[#This Row],[Roster Received By]]),1,0)</f>
        <v>1</v>
      </c>
      <c r="AE257" s="15">
        <f ca="1">IF(Table2[[#This Row],[Start Date]]&gt;TODAY(),1,)</f>
        <v>1</v>
      </c>
      <c r="AF257" s="62"/>
    </row>
    <row r="258" spans="1:32" x14ac:dyDescent="0.25">
      <c r="A258" s="99"/>
      <c r="B258" s="99" t="s">
        <v>32</v>
      </c>
      <c r="C258" s="100" t="str">
        <f>VLOOKUP(Table2[[#This Row],[Course Title]],'TSD-Data'!$A$1:$E$56,2,FALSE)</f>
        <v>A-493-2300</v>
      </c>
      <c r="D258" s="100" t="str">
        <f>VLOOKUP(Table2[[#This Row],[Course Title]],'TSD-Data'!$A$1:$E$56,3,FALSE)</f>
        <v>993F</v>
      </c>
      <c r="E258" s="99" t="s">
        <v>102</v>
      </c>
      <c r="F258" s="67">
        <v>45761</v>
      </c>
      <c r="G258" s="67">
        <v>45762</v>
      </c>
      <c r="H258" s="105">
        <v>0.33333333333333331</v>
      </c>
      <c r="I258" s="105"/>
      <c r="J258" s="105"/>
      <c r="K258" s="105"/>
      <c r="L258" s="105"/>
      <c r="M258" s="105"/>
      <c r="N258" s="105"/>
      <c r="O258" s="15" t="s">
        <v>94</v>
      </c>
      <c r="P258" s="15"/>
      <c r="Q258" s="15">
        <f>VLOOKUP(Table2[[#This Row],[Course Title]],'TSD-Data'!$A$1:$E$56,4,FALSE)</f>
        <v>30</v>
      </c>
      <c r="R258" s="15">
        <f>VLOOKUP(Table2[[#This Row],[Course Title]],'TSD-Data'!$A$1:$F$53,6,FALSE)</f>
        <v>16</v>
      </c>
      <c r="S258" s="15">
        <f>VLOOKUP(Table2[[#This Row],[Course Title]],'TSD-Data'!$A$1:$E$56,5,FALSE)</f>
        <v>2</v>
      </c>
      <c r="T258" s="15">
        <v>20</v>
      </c>
      <c r="U258" s="15"/>
      <c r="V258" s="15"/>
      <c r="W258" s="15"/>
      <c r="X258" s="103"/>
      <c r="Y258" s="15"/>
      <c r="Z258" s="15"/>
      <c r="AA258" s="15"/>
      <c r="AB258" s="99"/>
      <c r="AC258" s="71">
        <f ca="1">Table2[[#This Row],[End Date]]+2-TODAY()</f>
        <v>232</v>
      </c>
      <c r="AD258" s="15">
        <f>IF(ISBLANK(Table2[[#This Row],[Roster Received By]]),1,0)</f>
        <v>1</v>
      </c>
      <c r="AE258" s="15">
        <f ca="1">IF(Table2[[#This Row],[Start Date]]&gt;TODAY(),1,)</f>
        <v>1</v>
      </c>
      <c r="AF258" s="62"/>
    </row>
    <row r="259" spans="1:32" x14ac:dyDescent="0.25">
      <c r="A259" s="62" t="s">
        <v>401</v>
      </c>
      <c r="B259" s="99" t="s">
        <v>255</v>
      </c>
      <c r="C259" s="100" t="str">
        <f>VLOOKUP(Table2[[#This Row],[Course Title]],'TSD-Data'!$A$1:$E$56,2,FALSE)</f>
        <v>PDS</v>
      </c>
      <c r="D259" s="100" t="str">
        <f>VLOOKUP(Table2[[#This Row],[Course Title]],'TSD-Data'!$A$1:$E$56,3,FALSE)</f>
        <v>PDS</v>
      </c>
      <c r="E259" s="99"/>
      <c r="F259" s="102">
        <v>45761</v>
      </c>
      <c r="G259" s="102">
        <v>45765</v>
      </c>
      <c r="H259" s="102"/>
      <c r="I259" s="101"/>
      <c r="J259" s="105"/>
      <c r="K259" s="105"/>
      <c r="L259" s="105"/>
      <c r="M259" s="105"/>
      <c r="N259" s="105"/>
      <c r="O259" s="15" t="s">
        <v>394</v>
      </c>
      <c r="P259" s="15"/>
      <c r="Q259" s="15">
        <f>VLOOKUP(Table2[[#This Row],[Course Title]],'TSD-Data'!$A$1:$E$56,4,FALSE)</f>
        <v>0</v>
      </c>
      <c r="R259" s="15">
        <f>VLOOKUP(Table2[[#This Row],[Course Title]],'TSD-Data'!$A$1:$F$53,6,FALSE)</f>
        <v>0</v>
      </c>
      <c r="S259" s="15">
        <f>VLOOKUP(Table2[[#This Row],[Course Title]],'TSD-Data'!$A$1:$E$56,5,FALSE)</f>
        <v>0</v>
      </c>
      <c r="T259" s="15"/>
      <c r="U259" s="15"/>
      <c r="V259" s="15"/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99" t="s">
        <v>100</v>
      </c>
      <c r="AC259" s="71">
        <f ca="1">Table2[[#This Row],[End Date]]+2-TODAY()</f>
        <v>235</v>
      </c>
      <c r="AD259" s="15">
        <f>IF(ISBLANK(Table2[[#This Row],[Roster Received By]]),1,0)</f>
        <v>0</v>
      </c>
      <c r="AE259" s="15">
        <f ca="1">IF(Table2[[#This Row],[Start Date]]&gt;TODAY(),1,)</f>
        <v>1</v>
      </c>
      <c r="AF259" s="62"/>
    </row>
    <row r="260" spans="1:32" x14ac:dyDescent="0.25">
      <c r="A260" s="62" t="s">
        <v>402</v>
      </c>
      <c r="B260" s="99" t="s">
        <v>59</v>
      </c>
      <c r="C260" s="100" t="str">
        <f>VLOOKUP(Table2[[#This Row],[Course Title]],'TSD-Data'!$A$1:$E$56,2,FALSE)</f>
        <v>A-493-0550</v>
      </c>
      <c r="D260" s="100" t="str">
        <f>VLOOKUP(Table2[[#This Row],[Course Title]],'TSD-Data'!$A$1:$E$56,3,FALSE)</f>
        <v>09K5</v>
      </c>
      <c r="E260" s="99" t="s">
        <v>80</v>
      </c>
      <c r="F260" s="102">
        <v>45762</v>
      </c>
      <c r="G260" s="102">
        <v>45765</v>
      </c>
      <c r="H260" s="108"/>
      <c r="I260" s="105">
        <v>0.54166666666666663</v>
      </c>
      <c r="J260" s="101">
        <v>0.41666666666666669</v>
      </c>
      <c r="K260" s="101">
        <v>0.83333333333333337</v>
      </c>
      <c r="L260" s="101">
        <v>0.75</v>
      </c>
      <c r="M260" s="101">
        <v>0.29166666666666669</v>
      </c>
      <c r="N260" s="101">
        <v>8.3333333333333329E-2</v>
      </c>
      <c r="O260" s="15" t="s">
        <v>394</v>
      </c>
      <c r="P260" s="15"/>
      <c r="Q260" s="15">
        <f>VLOOKUP(Table2[[#This Row],[Course Title]],'TSD-Data'!$A$1:$E$56,4,FALSE)</f>
        <v>45</v>
      </c>
      <c r="R260" s="15">
        <f>VLOOKUP(Table2[[#This Row],[Course Title]],'TSD-Data'!$A$1:$F$53,6,FALSE)</f>
        <v>32</v>
      </c>
      <c r="S260" s="15">
        <f>VLOOKUP(Table2[[#This Row],[Course Title]],'TSD-Data'!$A$1:$E$56,5,FALSE)</f>
        <v>4</v>
      </c>
      <c r="T260" s="15"/>
      <c r="U260" s="15"/>
      <c r="V260" s="15"/>
      <c r="W260" s="15"/>
      <c r="X260" s="103"/>
      <c r="Y260" s="15"/>
      <c r="Z260" s="15"/>
      <c r="AA260" s="100"/>
      <c r="AB260" s="99"/>
      <c r="AC260" s="71">
        <f ca="1">Table2[[#This Row],[End Date]]+2-TODAY()</f>
        <v>235</v>
      </c>
      <c r="AD260" s="15">
        <f>IF(ISBLANK(Table2[[#This Row],[Roster Received By]]),1,0)</f>
        <v>1</v>
      </c>
      <c r="AE260" s="15">
        <f ca="1">IF(Table2[[#This Row],[Start Date]]&gt;TODAY(),1,)</f>
        <v>1</v>
      </c>
      <c r="AF260" s="62"/>
    </row>
    <row r="261" spans="1:32" x14ac:dyDescent="0.25">
      <c r="A261" s="62"/>
      <c r="B261" s="116" t="s">
        <v>33</v>
      </c>
      <c r="C261" s="100" t="str">
        <f>VLOOKUP(Table2[[#This Row],[Course Title]],'TSD-Data'!$A$1:$E$56,2,FALSE)</f>
        <v>A-493-2301</v>
      </c>
      <c r="D261" s="100" t="str">
        <f>VLOOKUP(Table2[[#This Row],[Course Title]],'TSD-Data'!$A$1:$E$56,3,FALSE)</f>
        <v>05ZD</v>
      </c>
      <c r="E261" s="99" t="s">
        <v>102</v>
      </c>
      <c r="F261" s="102">
        <v>45763</v>
      </c>
      <c r="G261" s="102">
        <v>45763</v>
      </c>
      <c r="H261" s="105">
        <v>0.33333333333333331</v>
      </c>
      <c r="I261" s="105"/>
      <c r="J261" s="105"/>
      <c r="K261" s="105"/>
      <c r="L261" s="105"/>
      <c r="M261" s="105"/>
      <c r="N261" s="105"/>
      <c r="O261" s="15" t="s">
        <v>94</v>
      </c>
      <c r="P261" s="15"/>
      <c r="Q261" s="15">
        <f>VLOOKUP(Table2[[#This Row],[Course Title]],'TSD-Data'!$A$1:$E$56,4,FALSE)</f>
        <v>30</v>
      </c>
      <c r="R261" s="15">
        <f>VLOOKUP(Table2[[#This Row],[Course Title]],'TSD-Data'!$A$1:$F$53,6,FALSE)</f>
        <v>8</v>
      </c>
      <c r="S261" s="15">
        <f>VLOOKUP(Table2[[#This Row],[Course Title]],'TSD-Data'!$A$1:$E$56,5,FALSE)</f>
        <v>1</v>
      </c>
      <c r="T261" s="15">
        <v>35</v>
      </c>
      <c r="U261" s="15"/>
      <c r="V261" s="15"/>
      <c r="W261" s="15"/>
      <c r="X261" s="103"/>
      <c r="Y261" s="15"/>
      <c r="Z261" s="15"/>
      <c r="AA261" s="15"/>
      <c r="AB261" s="99"/>
      <c r="AC261" s="71">
        <f ca="1">Table2[[#This Row],[End Date]]+2-TODAY()</f>
        <v>233</v>
      </c>
      <c r="AD261" s="15">
        <f>IF(ISBLANK(Table2[[#This Row],[Roster Received By]]),1,0)</f>
        <v>1</v>
      </c>
      <c r="AE261" s="15">
        <f ca="1">IF(Table2[[#This Row],[Start Date]]&gt;TODAY(),1,)</f>
        <v>1</v>
      </c>
      <c r="AF261" s="62"/>
    </row>
    <row r="262" spans="1:32" x14ac:dyDescent="0.25">
      <c r="A262" s="62"/>
      <c r="B262" s="116" t="s">
        <v>34</v>
      </c>
      <c r="C262" s="100" t="str">
        <f>VLOOKUP(Table2[[#This Row],[Course Title]],'TSD-Data'!$A$1:$E$56,2,FALSE)</f>
        <v>A-493-0216</v>
      </c>
      <c r="D262" s="100" t="str">
        <f>VLOOKUP(Table2[[#This Row],[Course Title]],'TSD-Data'!$A$1:$E$56,3,FALSE)</f>
        <v>12X8</v>
      </c>
      <c r="E262" s="99" t="s">
        <v>102</v>
      </c>
      <c r="F262" s="102">
        <v>45764</v>
      </c>
      <c r="G262" s="102">
        <v>45764</v>
      </c>
      <c r="H262" s="105">
        <v>0.33333333333333331</v>
      </c>
      <c r="I262" s="105"/>
      <c r="J262" s="105"/>
      <c r="K262" s="105"/>
      <c r="L262" s="105"/>
      <c r="M262" s="105"/>
      <c r="N262" s="105"/>
      <c r="O262" s="15" t="s">
        <v>94</v>
      </c>
      <c r="P262" s="15"/>
      <c r="Q262" s="15">
        <f>VLOOKUP(Table2[[#This Row],[Course Title]],'TSD-Data'!$A$1:$E$56,4,FALSE)</f>
        <v>30</v>
      </c>
      <c r="R262" s="15">
        <f>VLOOKUP(Table2[[#This Row],[Course Title]],'TSD-Data'!$A$1:$F$53,6,FALSE)</f>
        <v>8</v>
      </c>
      <c r="S262" s="15">
        <f>VLOOKUP(Table2[[#This Row],[Course Title]],'TSD-Data'!$A$1:$E$56,5,FALSE)</f>
        <v>1</v>
      </c>
      <c r="T262" s="15">
        <v>18</v>
      </c>
      <c r="U262" s="15"/>
      <c r="V262" s="15"/>
      <c r="W262" s="15"/>
      <c r="X262" s="103"/>
      <c r="Y262" s="15"/>
      <c r="Z262" s="15"/>
      <c r="AA262" s="15"/>
      <c r="AB262" s="99"/>
      <c r="AC262" s="71">
        <f ca="1">Table2[[#This Row],[End Date]]+2-TODAY()</f>
        <v>234</v>
      </c>
      <c r="AD262" s="15">
        <f>IF(ISBLANK(Table2[[#This Row],[Roster Received By]]),1,0)</f>
        <v>1</v>
      </c>
      <c r="AE262" s="15">
        <f ca="1">IF(Table2[[#This Row],[Start Date]]&gt;TODAY(),1,)</f>
        <v>1</v>
      </c>
      <c r="AF262" s="62"/>
    </row>
    <row r="263" spans="1:32" x14ac:dyDescent="0.25">
      <c r="A263" s="62"/>
      <c r="B263" s="116" t="s">
        <v>35</v>
      </c>
      <c r="C263" s="100" t="str">
        <f>VLOOKUP(Table2[[#This Row],[Course Title]],'TSD-Data'!$A$1:$E$56,2,FALSE)</f>
        <v>A-493-2501</v>
      </c>
      <c r="D263" s="100" t="str">
        <f>VLOOKUP(Table2[[#This Row],[Course Title]],'TSD-Data'!$A$1:$E$56,3,FALSE)</f>
        <v>05ZE</v>
      </c>
      <c r="E263" s="65" t="s">
        <v>102</v>
      </c>
      <c r="F263" s="102">
        <v>45765</v>
      </c>
      <c r="G263" s="102">
        <v>45765</v>
      </c>
      <c r="H263" s="105">
        <v>0.33333333333333331</v>
      </c>
      <c r="I263" s="105"/>
      <c r="J263" s="105"/>
      <c r="K263" s="105"/>
      <c r="L263" s="105"/>
      <c r="M263" s="105"/>
      <c r="N263" s="105"/>
      <c r="O263" s="15" t="s">
        <v>94</v>
      </c>
      <c r="P263" s="15"/>
      <c r="Q263" s="15">
        <f>VLOOKUP(Table2[[#This Row],[Course Title]],'TSD-Data'!$A$1:$E$56,4,FALSE)</f>
        <v>30</v>
      </c>
      <c r="R263" s="15">
        <f>VLOOKUP(Table2[[#This Row],[Course Title]],'TSD-Data'!$A$1:$F$53,6,FALSE)</f>
        <v>8</v>
      </c>
      <c r="S263" s="15">
        <f>VLOOKUP(Table2[[#This Row],[Course Title]],'TSD-Data'!$A$1:$E$56,5,FALSE)</f>
        <v>1</v>
      </c>
      <c r="T263" s="15">
        <v>42</v>
      </c>
      <c r="U263" s="15"/>
      <c r="V263" s="15"/>
      <c r="W263" s="15"/>
      <c r="X263" s="103"/>
      <c r="Y263" s="15"/>
      <c r="Z263" s="15"/>
      <c r="AA263" s="15"/>
      <c r="AB263" s="99"/>
      <c r="AC263" s="71">
        <f ca="1">Table2[[#This Row],[End Date]]+2-TODAY()</f>
        <v>235</v>
      </c>
      <c r="AD263" s="15">
        <f>IF(ISBLANK(Table2[[#This Row],[Roster Received By]]),1,0)</f>
        <v>1</v>
      </c>
      <c r="AE263" s="15">
        <f ca="1">IF(Table2[[#This Row],[Start Date]]&gt;TODAY(),1,)</f>
        <v>1</v>
      </c>
      <c r="AF263" s="62"/>
    </row>
    <row r="264" spans="1:32" x14ac:dyDescent="0.25">
      <c r="A264" s="62" t="s">
        <v>403</v>
      </c>
      <c r="B264" s="116" t="s">
        <v>17</v>
      </c>
      <c r="C264" s="100" t="str">
        <f>VLOOKUP(Table2[[#This Row],[Course Title]],'TSD-Data'!$A$1:$E$56,2,FALSE)</f>
        <v>A-493-0012</v>
      </c>
      <c r="D264" s="100">
        <f>VLOOKUP(Table2[[#This Row],[Course Title]],'TSD-Data'!$A$1:$E$56,3,FALSE)</f>
        <v>3682</v>
      </c>
      <c r="E264" s="99" t="s">
        <v>309</v>
      </c>
      <c r="F264" s="102">
        <v>45768</v>
      </c>
      <c r="G264" s="102">
        <v>45772</v>
      </c>
      <c r="H264" s="105">
        <v>0.33333333333333331</v>
      </c>
      <c r="I264" s="101"/>
      <c r="J264" s="101"/>
      <c r="K264" s="101"/>
      <c r="L264" s="101"/>
      <c r="M264" s="101"/>
      <c r="N264" s="101"/>
      <c r="O264" s="15" t="s">
        <v>94</v>
      </c>
      <c r="P264" s="15"/>
      <c r="Q264" s="15">
        <f>VLOOKUP(Table2[[#This Row],[Course Title]],'TSD-Data'!$A$1:$E$56,4,FALSE)</f>
        <v>40</v>
      </c>
      <c r="R264" s="15">
        <f>VLOOKUP(Table2[[#This Row],[Course Title]],'TSD-Data'!$A$1:$F$53,6,FALSE)</f>
        <v>40</v>
      </c>
      <c r="S264" s="15">
        <f>VLOOKUP(Table2[[#This Row],[Course Title]],'TSD-Data'!$A$1:$E$56,5,FALSE)</f>
        <v>5</v>
      </c>
      <c r="T264" s="15">
        <v>20</v>
      </c>
      <c r="U264" s="15"/>
      <c r="V264" s="15"/>
      <c r="W264" s="15"/>
      <c r="X264" s="103"/>
      <c r="Y264" s="15"/>
      <c r="Z264" s="15"/>
      <c r="AA264" s="100"/>
      <c r="AB264" s="99"/>
      <c r="AC264" s="71">
        <f ca="1">Table2[[#This Row],[End Date]]+2-TODAY()</f>
        <v>242</v>
      </c>
      <c r="AD264" s="15">
        <f>IF(ISBLANK(Table2[[#This Row],[Roster Received By]]),1,0)</f>
        <v>1</v>
      </c>
      <c r="AE264" s="15">
        <f ca="1">IF(Table2[[#This Row],[Start Date]]&gt;TODAY(),1,)</f>
        <v>1</v>
      </c>
      <c r="AF264" s="62"/>
    </row>
    <row r="265" spans="1:32" x14ac:dyDescent="0.25">
      <c r="A265" s="62" t="s">
        <v>404</v>
      </c>
      <c r="B265" s="116" t="s">
        <v>255</v>
      </c>
      <c r="C265" s="100" t="str">
        <f>VLOOKUP(Table2[[#This Row],[Course Title]],'TSD-Data'!$A$1:$E$56,2,FALSE)</f>
        <v>PDS</v>
      </c>
      <c r="D265" s="100" t="str">
        <f>VLOOKUP(Table2[[#This Row],[Course Title]],'TSD-Data'!$A$1:$E$56,3,FALSE)</f>
        <v>PDS</v>
      </c>
      <c r="E265" s="99"/>
      <c r="F265" s="102">
        <v>45768</v>
      </c>
      <c r="G265" s="102">
        <v>45773</v>
      </c>
      <c r="H265" s="102"/>
      <c r="I265" s="101"/>
      <c r="J265" s="105"/>
      <c r="K265" s="105"/>
      <c r="L265" s="105"/>
      <c r="M265" s="105"/>
      <c r="N265" s="105"/>
      <c r="O265" s="15" t="s">
        <v>394</v>
      </c>
      <c r="P265" s="15"/>
      <c r="Q265" s="15">
        <f>VLOOKUP(Table2[[#This Row],[Course Title]],'TSD-Data'!$A$1:$E$56,4,FALSE)</f>
        <v>0</v>
      </c>
      <c r="R265" s="15">
        <f>VLOOKUP(Table2[[#This Row],[Course Title]],'TSD-Data'!$A$1:$F$53,6,FALSE)</f>
        <v>0</v>
      </c>
      <c r="S265" s="15">
        <f>VLOOKUP(Table2[[#This Row],[Course Title]],'TSD-Data'!$A$1:$E$56,5,FALSE)</f>
        <v>0</v>
      </c>
      <c r="T265" s="15"/>
      <c r="U265" s="15"/>
      <c r="V265" s="15"/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99" t="s">
        <v>100</v>
      </c>
      <c r="AC265" s="71">
        <f ca="1">Table2[[#This Row],[End Date]]+2-TODAY()</f>
        <v>243</v>
      </c>
      <c r="AD265" s="15">
        <f>IF(ISBLANK(Table2[[#This Row],[Roster Received By]]),1,0)</f>
        <v>0</v>
      </c>
      <c r="AE265" s="15">
        <f ca="1">IF(Table2[[#This Row],[Start Date]]&gt;TODAY(),1,)</f>
        <v>1</v>
      </c>
      <c r="AF265" s="62"/>
    </row>
    <row r="266" spans="1:32" x14ac:dyDescent="0.25">
      <c r="A266" s="62"/>
      <c r="B266" s="116" t="s">
        <v>28</v>
      </c>
      <c r="C266" s="100" t="str">
        <f>VLOOKUP(Table2[[#This Row],[Course Title]],'TSD-Data'!$A$1:$E$56,2,FALSE)</f>
        <v>A-493-0013</v>
      </c>
      <c r="D266" s="100">
        <f>VLOOKUP(Table2[[#This Row],[Course Title]],'TSD-Data'!$A$1:$E$56,3,FALSE)</f>
        <v>3683</v>
      </c>
      <c r="E266" s="65" t="s">
        <v>277</v>
      </c>
      <c r="F266" s="102">
        <v>45769</v>
      </c>
      <c r="G266" s="102">
        <v>45771</v>
      </c>
      <c r="H266" s="105">
        <v>0.33333333333333331</v>
      </c>
      <c r="I266" s="108"/>
      <c r="J266" s="102"/>
      <c r="K266" s="102"/>
      <c r="L266" s="102"/>
      <c r="M266" s="102"/>
      <c r="N266" s="102"/>
      <c r="O266" s="15" t="s">
        <v>94</v>
      </c>
      <c r="P266" s="15"/>
      <c r="Q266" s="15">
        <f>VLOOKUP(Table2[[#This Row],[Course Title]],'TSD-Data'!$A$1:$E$56,4,FALSE)</f>
        <v>40</v>
      </c>
      <c r="R266" s="15">
        <f>VLOOKUP(Table2[[#This Row],[Course Title]],'TSD-Data'!$A$1:$F$53,6,FALSE)</f>
        <v>24</v>
      </c>
      <c r="S266" s="15">
        <f>VLOOKUP(Table2[[#This Row],[Course Title]],'TSD-Data'!$A$1:$E$56,5,FALSE)</f>
        <v>3</v>
      </c>
      <c r="T266" s="15">
        <v>21</v>
      </c>
      <c r="U266" s="15"/>
      <c r="V266" s="15"/>
      <c r="W266" s="15"/>
      <c r="X266" s="103"/>
      <c r="Y266" s="15"/>
      <c r="Z266" s="15"/>
      <c r="AA266" s="100"/>
      <c r="AB266" s="99"/>
      <c r="AC266" s="71">
        <f ca="1">Table2[[#This Row],[End Date]]+2-TODAY()</f>
        <v>241</v>
      </c>
      <c r="AD266" s="15">
        <f>IF(ISBLANK(Table2[[#This Row],[Roster Received By]]),1,0)</f>
        <v>1</v>
      </c>
      <c r="AE266" s="15">
        <f ca="1">IF(Table2[[#This Row],[Start Date]]&gt;TODAY(),1,)</f>
        <v>1</v>
      </c>
      <c r="AF266" s="62"/>
    </row>
    <row r="267" spans="1:32" x14ac:dyDescent="0.25">
      <c r="A267" s="62"/>
      <c r="B267" s="116" t="s">
        <v>58</v>
      </c>
      <c r="C267" s="100" t="str">
        <f>VLOOKUP(Table2[[#This Row],[Course Title]],'TSD-Data'!$A$1:$E$56,2,FALSE)</f>
        <v xml:space="preserve">A-493-0075 </v>
      </c>
      <c r="D267" s="100" t="str">
        <f>VLOOKUP(Table2[[#This Row],[Course Title]],'TSD-Data'!$A$1:$E$56,3,FALSE)</f>
        <v>714U</v>
      </c>
      <c r="E267" s="99" t="s">
        <v>267</v>
      </c>
      <c r="F267" s="102">
        <v>45769</v>
      </c>
      <c r="G267" s="102">
        <v>45772</v>
      </c>
      <c r="H267" s="105">
        <v>0.33333333333333331</v>
      </c>
      <c r="I267" s="101"/>
      <c r="J267" s="101"/>
      <c r="K267" s="101"/>
      <c r="L267" s="101"/>
      <c r="M267" s="101"/>
      <c r="N267" s="101"/>
      <c r="O267" s="15" t="s">
        <v>160</v>
      </c>
      <c r="P267" s="15"/>
      <c r="Q267" s="15">
        <f>VLOOKUP(Table2[[#This Row],[Course Title]],'TSD-Data'!$A$1:$E$56,4,FALSE)</f>
        <v>30</v>
      </c>
      <c r="R267" s="15">
        <f>VLOOKUP(Table2[[#This Row],[Course Title]],'TSD-Data'!$A$1:$F$53,6,FALSE)</f>
        <v>32</v>
      </c>
      <c r="S267" s="15">
        <f>VLOOKUP(Table2[[#This Row],[Course Title]],'TSD-Data'!$A$1:$E$56,5,FALSE)</f>
        <v>4</v>
      </c>
      <c r="T267" s="15">
        <v>61</v>
      </c>
      <c r="U267" s="15"/>
      <c r="V267" s="15"/>
      <c r="W267" s="15"/>
      <c r="X267" s="103"/>
      <c r="Y267" s="15"/>
      <c r="Z267" s="15"/>
      <c r="AA267" s="100"/>
      <c r="AB267" s="99"/>
      <c r="AC267" s="71">
        <f ca="1">Table2[[#This Row],[End Date]]+2-TODAY()</f>
        <v>242</v>
      </c>
      <c r="AD267" s="15">
        <f>IF(ISBLANK(Table2[[#This Row],[Roster Received By]]),1,0)</f>
        <v>1</v>
      </c>
      <c r="AE267" s="15">
        <f ca="1">IF(Table2[[#This Row],[Start Date]]&gt;TODAY(),1,)</f>
        <v>1</v>
      </c>
      <c r="AF267" s="62"/>
    </row>
    <row r="268" spans="1:32" x14ac:dyDescent="0.25">
      <c r="A268" s="62"/>
      <c r="B268" s="116" t="s">
        <v>37</v>
      </c>
      <c r="C268" s="100" t="str">
        <f>VLOOKUP(Table2[[#This Row],[Course Title]],'TSD-Data'!$A$1:$E$56,2,FALSE)</f>
        <v>A-493-0665</v>
      </c>
      <c r="D268" s="100" t="str">
        <f>VLOOKUP(Table2[[#This Row],[Course Title]],'TSD-Data'!$A$1:$E$56,3,FALSE)</f>
        <v>10KW</v>
      </c>
      <c r="E268" s="116" t="s">
        <v>80</v>
      </c>
      <c r="F268" s="110">
        <v>45775</v>
      </c>
      <c r="G268" s="110">
        <v>45779</v>
      </c>
      <c r="H268" s="105"/>
      <c r="I268" s="105">
        <v>0.54166666666666663</v>
      </c>
      <c r="J268" s="101">
        <v>0.41666666666666669</v>
      </c>
      <c r="K268" s="101">
        <v>0.83333333333333337</v>
      </c>
      <c r="L268" s="101">
        <v>0.75</v>
      </c>
      <c r="M268" s="101">
        <v>0.29166666666666669</v>
      </c>
      <c r="N268" s="101">
        <v>8.3333333333333329E-2</v>
      </c>
      <c r="O268" s="15" t="s">
        <v>394</v>
      </c>
      <c r="P268" s="15"/>
      <c r="Q268" s="15">
        <f>VLOOKUP(Table2[[#This Row],[Course Title]],'TSD-Data'!$A$1:$E$56,4,FALSE)</f>
        <v>45</v>
      </c>
      <c r="R268" s="15">
        <f>VLOOKUP(Table2[[#This Row],[Course Title]],'TSD-Data'!$A$1:$F$53,6,FALSE)</f>
        <v>24</v>
      </c>
      <c r="S268" s="15">
        <f>VLOOKUP(Table2[[#This Row],[Course Title]],'TSD-Data'!$A$1:$E$56,5,FALSE)</f>
        <v>3</v>
      </c>
      <c r="T268" s="15"/>
      <c r="U268" s="15"/>
      <c r="V268" s="15"/>
      <c r="W268" s="15"/>
      <c r="X268" s="103"/>
      <c r="Y268" s="15"/>
      <c r="Z268" s="15"/>
      <c r="AA268" s="15"/>
      <c r="AB268" s="99"/>
      <c r="AC268" s="71">
        <f ca="1">Table2[[#This Row],[End Date]]+2-TODAY()</f>
        <v>249</v>
      </c>
      <c r="AD268" s="15">
        <f>IF(ISBLANK(Table2[[#This Row],[Roster Received By]]),1,0)</f>
        <v>1</v>
      </c>
      <c r="AE268" s="15">
        <f ca="1">IF(Table2[[#This Row],[Start Date]]&gt;TODAY(),1,)</f>
        <v>1</v>
      </c>
      <c r="AF268" s="62"/>
    </row>
    <row r="269" spans="1:32" x14ac:dyDescent="0.25">
      <c r="A269" s="62"/>
      <c r="B269" s="116" t="s">
        <v>55</v>
      </c>
      <c r="C269" s="100" t="str">
        <f>VLOOKUP(Table2[[#This Row],[Course Title]],'TSD-Data'!$A$1:$E$56,2,FALSE)</f>
        <v>A-493-0103</v>
      </c>
      <c r="D269" s="100" t="str">
        <f>VLOOKUP(Table2[[#This Row],[Course Title]],'TSD-Data'!$A$1:$E$56,3,FALSE)</f>
        <v>12JY</v>
      </c>
      <c r="E269" s="99" t="s">
        <v>292</v>
      </c>
      <c r="F269" s="102">
        <v>45775</v>
      </c>
      <c r="G269" s="102">
        <v>45779</v>
      </c>
      <c r="H269" s="105">
        <v>0.33333333333333331</v>
      </c>
      <c r="I269" s="105"/>
      <c r="J269" s="102"/>
      <c r="K269" s="102"/>
      <c r="L269" s="102"/>
      <c r="M269" s="102"/>
      <c r="N269" s="102"/>
      <c r="O269" s="15" t="s">
        <v>160</v>
      </c>
      <c r="P269" s="15"/>
      <c r="Q269" s="15">
        <f>VLOOKUP(Table2[[#This Row],[Course Title]],'TSD-Data'!$A$1:$E$56,4,FALSE)</f>
        <v>25</v>
      </c>
      <c r="R269" s="15">
        <f>VLOOKUP(Table2[[#This Row],[Course Title]],'TSD-Data'!$A$1:$F$53,6,FALSE)</f>
        <v>40</v>
      </c>
      <c r="S269" s="15">
        <f>VLOOKUP(Table2[[#This Row],[Course Title]],'TSD-Data'!$A$1:$E$56,5,FALSE)</f>
        <v>5</v>
      </c>
      <c r="T269" s="15">
        <v>248</v>
      </c>
      <c r="U269" s="15"/>
      <c r="V269" s="15"/>
      <c r="W269" s="15"/>
      <c r="X269" s="103"/>
      <c r="Y269" s="15"/>
      <c r="Z269" s="15"/>
      <c r="AA269" s="100"/>
      <c r="AB269" s="99"/>
      <c r="AC269" s="71">
        <f ca="1">Table2[[#This Row],[End Date]]+2-TODAY()</f>
        <v>249</v>
      </c>
      <c r="AD269" s="15">
        <f>IF(ISBLANK(Table2[[#This Row],[Roster Received By]]),1,0)</f>
        <v>1</v>
      </c>
      <c r="AE269" s="15">
        <f ca="1">IF(Table2[[#This Row],[Start Date]]&gt;TODAY(),1,)</f>
        <v>1</v>
      </c>
      <c r="AF269" s="62"/>
    </row>
    <row r="270" spans="1:32" x14ac:dyDescent="0.25">
      <c r="A270" s="62"/>
      <c r="B270" s="116" t="s">
        <v>55</v>
      </c>
      <c r="C270" s="100" t="str">
        <f>VLOOKUP(Table2[[#This Row],[Course Title]],'TSD-Data'!$A$1:$E$56,2,FALSE)</f>
        <v>A-493-0103</v>
      </c>
      <c r="D270" s="100" t="str">
        <f>VLOOKUP(Table2[[#This Row],[Course Title]],'TSD-Data'!$A$1:$E$56,3,FALSE)</f>
        <v>12JY</v>
      </c>
      <c r="E270" s="116" t="s">
        <v>306</v>
      </c>
      <c r="F270" s="110">
        <v>45775</v>
      </c>
      <c r="G270" s="110">
        <v>45779</v>
      </c>
      <c r="H270" s="105">
        <v>0.33333333333333331</v>
      </c>
      <c r="I270" s="105"/>
      <c r="J270" s="102"/>
      <c r="K270" s="102"/>
      <c r="L270" s="102"/>
      <c r="M270" s="102"/>
      <c r="N270" s="102"/>
      <c r="O270" s="15" t="s">
        <v>160</v>
      </c>
      <c r="P270" s="15"/>
      <c r="Q270" s="15">
        <f>VLOOKUP(Table2[[#This Row],[Course Title]],'TSD-Data'!$A$1:$E$56,4,FALSE)</f>
        <v>25</v>
      </c>
      <c r="R270" s="15">
        <f>VLOOKUP(Table2[[#This Row],[Course Title]],'TSD-Data'!$A$1:$F$53,6,FALSE)</f>
        <v>40</v>
      </c>
      <c r="S270" s="15">
        <f>VLOOKUP(Table2[[#This Row],[Course Title]],'TSD-Data'!$A$1:$E$56,5,FALSE)</f>
        <v>5</v>
      </c>
      <c r="T270" s="15">
        <v>48</v>
      </c>
      <c r="U270" s="15"/>
      <c r="V270" s="15"/>
      <c r="W270" s="15"/>
      <c r="X270" s="103"/>
      <c r="Y270" s="15"/>
      <c r="Z270" s="15"/>
      <c r="AA270" s="15"/>
      <c r="AB270" s="99"/>
      <c r="AC270" s="71">
        <f ca="1">Table2[[#This Row],[End Date]]+2-TODAY()</f>
        <v>249</v>
      </c>
      <c r="AD270" s="15">
        <f>IF(ISBLANK(Table2[[#This Row],[Roster Received By]]),1,0)</f>
        <v>1</v>
      </c>
      <c r="AE270" s="15">
        <f ca="1">IF(Table2[[#This Row],[Start Date]]&gt;TODAY(),1,)</f>
        <v>1</v>
      </c>
      <c r="AF270" s="62"/>
    </row>
    <row r="271" spans="1:32" x14ac:dyDescent="0.25">
      <c r="A271" s="62" t="s">
        <v>397</v>
      </c>
      <c r="B271" s="116" t="s">
        <v>17</v>
      </c>
      <c r="C271" s="100" t="str">
        <f>VLOOKUP(Table2[[#This Row],[Course Title]],'TSD-Data'!$A$1:$E$56,2,FALSE)</f>
        <v>A-493-0012</v>
      </c>
      <c r="D271" s="100">
        <f>VLOOKUP(Table2[[#This Row],[Course Title]],'TSD-Data'!$A$1:$E$56,3,FALSE)</f>
        <v>3682</v>
      </c>
      <c r="E271" s="116" t="s">
        <v>136</v>
      </c>
      <c r="F271" s="110">
        <v>45775</v>
      </c>
      <c r="G271" s="110">
        <v>45779</v>
      </c>
      <c r="H271" s="105">
        <v>0.33333333333333331</v>
      </c>
      <c r="I271" s="105"/>
      <c r="J271" s="102"/>
      <c r="K271" s="102"/>
      <c r="L271" s="102"/>
      <c r="M271" s="102"/>
      <c r="N271" s="102"/>
      <c r="O271" s="15"/>
      <c r="P271" s="15"/>
      <c r="Q271" s="103">
        <f>VLOOKUP(Table2[[#This Row],[Course Title]],'TSD-Data'!$A$1:$E$56,4,FALSE)</f>
        <v>40</v>
      </c>
      <c r="R271" s="15">
        <f>VLOOKUP(Table2[[#This Row],[Course Title]],'TSD-Data'!$A$1:$F$53,6,FALSE)</f>
        <v>40</v>
      </c>
      <c r="S271" s="104">
        <f>VLOOKUP(Table2[[#This Row],[Course Title]],'TSD-Data'!$A$1:$E$56,5,FALSE)</f>
        <v>5</v>
      </c>
      <c r="T271" s="104">
        <v>0</v>
      </c>
      <c r="U271" s="104"/>
      <c r="V271" s="104"/>
      <c r="W271" s="103"/>
      <c r="X271" s="103"/>
      <c r="Y271" s="15"/>
      <c r="Z271" s="15"/>
      <c r="AA271" s="100"/>
      <c r="AB271" s="99"/>
      <c r="AC271" s="71">
        <f ca="1">Table2[[#This Row],[End Date]]+2-TODAY()</f>
        <v>249</v>
      </c>
      <c r="AD271" s="15">
        <f>IF(ISBLANK(Table2[[#This Row],[Roster Received By]]),1,0)</f>
        <v>1</v>
      </c>
      <c r="AE271" s="15">
        <f ca="1">IF(Table2[[#This Row],[Start Date]]&gt;TODAY(),1,)</f>
        <v>1</v>
      </c>
      <c r="AF271" s="62"/>
    </row>
    <row r="272" spans="1:32" x14ac:dyDescent="0.25">
      <c r="A272" s="62" t="s">
        <v>405</v>
      </c>
      <c r="B272" s="116" t="s">
        <v>28</v>
      </c>
      <c r="C272" s="100" t="str">
        <f>VLOOKUP(Table2[[#This Row],[Course Title]],'TSD-Data'!$A$1:$E$56,2,FALSE)</f>
        <v>A-493-0013</v>
      </c>
      <c r="D272" s="100">
        <f>VLOOKUP(Table2[[#This Row],[Course Title]],'TSD-Data'!$A$1:$E$56,3,FALSE)</f>
        <v>3683</v>
      </c>
      <c r="E272" s="116" t="s">
        <v>189</v>
      </c>
      <c r="F272" s="110">
        <v>45775</v>
      </c>
      <c r="G272" s="110">
        <v>45777</v>
      </c>
      <c r="H272" s="105">
        <v>0.33333333333333331</v>
      </c>
      <c r="I272" s="101"/>
      <c r="J272" s="101"/>
      <c r="K272" s="101"/>
      <c r="L272" s="101"/>
      <c r="M272" s="101"/>
      <c r="N272" s="101"/>
      <c r="O272" s="15" t="s">
        <v>94</v>
      </c>
      <c r="P272" s="15"/>
      <c r="Q272" s="15">
        <f>VLOOKUP(Table2[[#This Row],[Course Title]],'TSD-Data'!$A$1:$E$56,4,FALSE)</f>
        <v>40</v>
      </c>
      <c r="R272" s="15">
        <f>VLOOKUP(Table2[[#This Row],[Course Title]],'TSD-Data'!$A$1:$F$53,6,FALSE)</f>
        <v>24</v>
      </c>
      <c r="S272" s="15">
        <f>VLOOKUP(Table2[[#This Row],[Course Title]],'TSD-Data'!$A$1:$E$56,5,FALSE)</f>
        <v>3</v>
      </c>
      <c r="T272" s="15">
        <v>30</v>
      </c>
      <c r="U272" s="15"/>
      <c r="V272" s="15"/>
      <c r="W272" s="15"/>
      <c r="X272" s="103"/>
      <c r="Y272" s="15"/>
      <c r="Z272" s="15"/>
      <c r="AA272" s="100"/>
      <c r="AB272" s="99"/>
      <c r="AC272" s="71">
        <f ca="1">Table2[[#This Row],[End Date]]+2-TODAY()</f>
        <v>247</v>
      </c>
      <c r="AD272" s="15">
        <f>IF(ISBLANK(Table2[[#This Row],[Roster Received By]]),1,0)</f>
        <v>1</v>
      </c>
      <c r="AE272" s="15">
        <f ca="1">IF(Table2[[#This Row],[Start Date]]&gt;TODAY(),1,)</f>
        <v>1</v>
      </c>
      <c r="AF272" s="62"/>
    </row>
    <row r="273" spans="1:32" x14ac:dyDescent="0.25">
      <c r="A273" s="62"/>
      <c r="B273" s="116" t="s">
        <v>51</v>
      </c>
      <c r="C273" s="100" t="str">
        <f>VLOOKUP(Table2[[#This Row],[Course Title]],'TSD-Data'!$A$1:$E$56,2,FALSE)</f>
        <v>A-493-0335</v>
      </c>
      <c r="D273" s="100" t="str">
        <f>VLOOKUP(Table2[[#This Row],[Course Title]],'TSD-Data'!$A$1:$E$56,3,FALSE)</f>
        <v>09ND</v>
      </c>
      <c r="E273" s="116" t="s">
        <v>80</v>
      </c>
      <c r="F273" s="98">
        <v>45775</v>
      </c>
      <c r="G273" s="110">
        <v>45778</v>
      </c>
      <c r="H273" s="105"/>
      <c r="I273" s="101">
        <v>0.5</v>
      </c>
      <c r="J273" s="101">
        <v>0.375</v>
      </c>
      <c r="K273" s="101">
        <v>0.79166666666666663</v>
      </c>
      <c r="L273" s="101">
        <v>0.75</v>
      </c>
      <c r="M273" s="101">
        <v>0.25</v>
      </c>
      <c r="N273" s="101">
        <v>4.1666666666666664E-2</v>
      </c>
      <c r="O273" s="15" t="s">
        <v>394</v>
      </c>
      <c r="P273" s="15"/>
      <c r="Q273" s="15">
        <f>VLOOKUP(Table2[[#This Row],[Course Title]],'TSD-Data'!$A$1:$E$56,4,FALSE)</f>
        <v>45</v>
      </c>
      <c r="R273" s="15">
        <f>VLOOKUP(Table2[[#This Row],[Course Title]],'TSD-Data'!$A$1:$F$53,6,FALSE)</f>
        <v>32</v>
      </c>
      <c r="S273" s="15">
        <f>VLOOKUP(Table2[[#This Row],[Course Title]],'TSD-Data'!$A$1:$E$56,5,FALSE)</f>
        <v>4</v>
      </c>
      <c r="T273" s="15"/>
      <c r="U273" s="15"/>
      <c r="V273" s="15"/>
      <c r="W273" s="15"/>
      <c r="X273" s="103"/>
      <c r="Y273" s="15"/>
      <c r="Z273" s="15"/>
      <c r="AA273" s="15"/>
      <c r="AB273" s="99"/>
      <c r="AC273" s="71">
        <f ca="1">Table2[[#This Row],[End Date]]+2-TODAY()</f>
        <v>248</v>
      </c>
      <c r="AD273" s="15">
        <f>IF(ISBLANK(Table2[[#This Row],[Roster Received By]]),1,0)</f>
        <v>1</v>
      </c>
      <c r="AE273" s="15">
        <f ca="1">IF(Table2[[#This Row],[Start Date]]&gt;TODAY(),1,)</f>
        <v>1</v>
      </c>
      <c r="AF273" s="62"/>
    </row>
    <row r="274" spans="1:32" x14ac:dyDescent="0.25">
      <c r="A274" s="62"/>
      <c r="B274" s="116" t="s">
        <v>59</v>
      </c>
      <c r="C274" s="100" t="str">
        <f>VLOOKUP(Table2[[#This Row],[Course Title]],'TSD-Data'!$A$1:$E$56,2,FALSE)</f>
        <v>A-493-0550</v>
      </c>
      <c r="D274" s="100" t="str">
        <f>VLOOKUP(Table2[[#This Row],[Course Title]],'TSD-Data'!$A$1:$E$56,3,FALSE)</f>
        <v>09K5</v>
      </c>
      <c r="E274" s="116" t="s">
        <v>80</v>
      </c>
      <c r="F274" s="110">
        <v>45775</v>
      </c>
      <c r="G274" s="110">
        <v>45778</v>
      </c>
      <c r="H274" s="102"/>
      <c r="I274" s="105">
        <v>0.45833333333333331</v>
      </c>
      <c r="J274" s="105">
        <v>0.33333333333333331</v>
      </c>
      <c r="K274" s="105">
        <v>0.75</v>
      </c>
      <c r="L274" s="105">
        <v>0.66666666666666663</v>
      </c>
      <c r="M274" s="105">
        <v>0.20833333333333334</v>
      </c>
      <c r="N274" s="105">
        <v>0</v>
      </c>
      <c r="O274" s="15" t="s">
        <v>394</v>
      </c>
      <c r="P274" s="15"/>
      <c r="Q274" s="15">
        <f>VLOOKUP(Table2[[#This Row],[Course Title]],'TSD-Data'!$A$1:$E$56,4,FALSE)</f>
        <v>45</v>
      </c>
      <c r="R274" s="15">
        <f>VLOOKUP(Table2[[#This Row],[Course Title]],'TSD-Data'!$A$1:$F$53,6,FALSE)</f>
        <v>32</v>
      </c>
      <c r="S274" s="15">
        <f>VLOOKUP(Table2[[#This Row],[Course Title]],'TSD-Data'!$A$1:$E$56,5,FALSE)</f>
        <v>4</v>
      </c>
      <c r="T274" s="15"/>
      <c r="U274" s="15"/>
      <c r="V274" s="15"/>
      <c r="W274" s="15"/>
      <c r="X274" s="103"/>
      <c r="Y274" s="15"/>
      <c r="Z274" s="15"/>
      <c r="AA274" s="15"/>
      <c r="AB274" s="99"/>
      <c r="AC274" s="71">
        <f ca="1">Table2[[#This Row],[End Date]]+2-TODAY()</f>
        <v>248</v>
      </c>
      <c r="AD274" s="15">
        <f>IF(ISBLANK(Table2[[#This Row],[Roster Received By]]),1,0)</f>
        <v>1</v>
      </c>
      <c r="AE274" s="15">
        <f ca="1">IF(Table2[[#This Row],[Start Date]]&gt;TODAY(),1,)</f>
        <v>1</v>
      </c>
      <c r="AF274" s="62"/>
    </row>
    <row r="275" spans="1:32" x14ac:dyDescent="0.25">
      <c r="A275" s="62"/>
      <c r="B275" s="116" t="s">
        <v>61</v>
      </c>
      <c r="C275" s="100" t="str">
        <f>VLOOKUP(Table2[[#This Row],[Course Title]],'TSD-Data'!$A$1:$E$56,2,FALSE)</f>
        <v>A-493-0078</v>
      </c>
      <c r="D275" s="100">
        <f>VLOOKUP(Table2[[#This Row],[Course Title]],'TSD-Data'!$A$1:$E$56,3,FALSE)</f>
        <v>1228</v>
      </c>
      <c r="E275" s="116" t="s">
        <v>80</v>
      </c>
      <c r="F275" s="110">
        <v>45775</v>
      </c>
      <c r="G275" s="110">
        <v>45778</v>
      </c>
      <c r="H275" s="105"/>
      <c r="I275" s="105">
        <v>0.33333333333333331</v>
      </c>
      <c r="J275" s="105">
        <v>0.20833333333333334</v>
      </c>
      <c r="K275" s="105">
        <v>0.625</v>
      </c>
      <c r="L275" s="105">
        <v>0.54166666666666663</v>
      </c>
      <c r="M275" s="105">
        <v>8.3333333333333329E-2</v>
      </c>
      <c r="N275" s="105">
        <v>0.875</v>
      </c>
      <c r="O275" s="15" t="s">
        <v>394</v>
      </c>
      <c r="P275" s="15"/>
      <c r="Q275" s="103">
        <f>VLOOKUP(Table2[[#This Row],[Course Title]],'TSD-Data'!$A$1:$E$56,4,FALSE)</f>
        <v>45</v>
      </c>
      <c r="R275" s="15">
        <f>VLOOKUP(Table2[[#This Row],[Course Title]],'TSD-Data'!$A$1:$F$53,6,FALSE)</f>
        <v>32</v>
      </c>
      <c r="S275" s="15">
        <f>VLOOKUP(Table2[[#This Row],[Course Title]],'TSD-Data'!$A$1:$E$56,5,FALSE)</f>
        <v>4</v>
      </c>
      <c r="T275" s="15"/>
      <c r="U275" s="15"/>
      <c r="V275" s="15"/>
      <c r="W275" s="103"/>
      <c r="X275" s="103"/>
      <c r="Y275" s="15"/>
      <c r="Z275" s="15"/>
      <c r="AA275" s="100"/>
      <c r="AB275" s="99"/>
      <c r="AC275" s="71">
        <f ca="1">Table2[[#This Row],[End Date]]+2-TODAY()</f>
        <v>248</v>
      </c>
      <c r="AD275" s="15">
        <f>IF(ISBLANK(Table2[[#This Row],[Roster Received By]]),1,0)</f>
        <v>1</v>
      </c>
      <c r="AE275" s="15">
        <f ca="1">IF(Table2[[#This Row],[Start Date]]&gt;TODAY(),1,)</f>
        <v>1</v>
      </c>
      <c r="AF275" s="62"/>
    </row>
    <row r="276" spans="1:32" x14ac:dyDescent="0.25">
      <c r="A276" s="62"/>
      <c r="B276" s="116" t="s">
        <v>57</v>
      </c>
      <c r="C276" s="100" t="str">
        <f>VLOOKUP(Table2[[#This Row],[Course Title]],'TSD-Data'!$A$1:$E$56,2,FALSE)</f>
        <v>A-493-0099</v>
      </c>
      <c r="D276" s="100" t="str">
        <f>VLOOKUP(Table2[[#This Row],[Course Title]],'TSD-Data'!$A$1:$E$56,3,FALSE)</f>
        <v>12JW</v>
      </c>
      <c r="E276" s="116" t="s">
        <v>80</v>
      </c>
      <c r="F276" s="110">
        <v>45776</v>
      </c>
      <c r="G276" s="110">
        <v>45778</v>
      </c>
      <c r="H276" s="105"/>
      <c r="I276" s="105">
        <v>0.33333333333333331</v>
      </c>
      <c r="J276" s="105">
        <v>0.20833333333333334</v>
      </c>
      <c r="K276" s="105">
        <v>0.625</v>
      </c>
      <c r="L276" s="105">
        <v>0.54166666666666663</v>
      </c>
      <c r="M276" s="105">
        <v>8.3333333333333329E-2</v>
      </c>
      <c r="N276" s="105">
        <v>0.875</v>
      </c>
      <c r="O276" s="15" t="s">
        <v>394</v>
      </c>
      <c r="P276" s="15"/>
      <c r="Q276" s="103">
        <f>VLOOKUP(Table2[[#This Row],[Course Title]],'TSD-Data'!$A$1:$E$56,4,FALSE)</f>
        <v>45</v>
      </c>
      <c r="R276" s="15">
        <f>VLOOKUP(Table2[[#This Row],[Course Title]],'TSD-Data'!$A$1:$F$53,6,FALSE)</f>
        <v>24</v>
      </c>
      <c r="S276" s="15">
        <f>VLOOKUP(Table2[[#This Row],[Course Title]],'TSD-Data'!$A$1:$E$56,5,FALSE)</f>
        <v>3</v>
      </c>
      <c r="T276" s="15"/>
      <c r="U276" s="15"/>
      <c r="V276" s="15"/>
      <c r="W276" s="103"/>
      <c r="X276" s="103"/>
      <c r="Y276" s="15"/>
      <c r="Z276" s="15"/>
      <c r="AA276" s="15"/>
      <c r="AB276" s="99"/>
      <c r="AC276" s="71">
        <f ca="1">Table2[[#This Row],[End Date]]+2-TODAY()</f>
        <v>248</v>
      </c>
      <c r="AD276" s="15">
        <f>IF(ISBLANK(Table2[[#This Row],[Roster Received By]]),1,0)</f>
        <v>1</v>
      </c>
      <c r="AE276" s="15">
        <f ca="1">IF(Table2[[#This Row],[Start Date]]&gt;TODAY(),1,)</f>
        <v>1</v>
      </c>
      <c r="AF276" s="62"/>
    </row>
    <row r="277" spans="1:32" x14ac:dyDescent="0.25">
      <c r="A277" s="62"/>
      <c r="B277" s="116" t="s">
        <v>50</v>
      </c>
      <c r="C277" s="100" t="str">
        <f>VLOOKUP(Table2[[#This Row],[Course Title]],'TSD-Data'!$A$1:$E$56,2,FALSE)</f>
        <v>A-493-0331</v>
      </c>
      <c r="D277" s="100" t="str">
        <f>VLOOKUP(Table2[[#This Row],[Course Title]],'TSD-Data'!$A$1:$E$56,3,FALSE)</f>
        <v>10UG</v>
      </c>
      <c r="E277" s="116" t="s">
        <v>80</v>
      </c>
      <c r="F277" s="110">
        <v>45776</v>
      </c>
      <c r="G277" s="110">
        <v>45778</v>
      </c>
      <c r="H277" s="102"/>
      <c r="I277" s="101">
        <v>0.5</v>
      </c>
      <c r="J277" s="101">
        <v>0.375</v>
      </c>
      <c r="K277" s="101">
        <v>0.79166666666666663</v>
      </c>
      <c r="L277" s="101">
        <v>0.75</v>
      </c>
      <c r="M277" s="101">
        <v>0.25</v>
      </c>
      <c r="N277" s="101">
        <v>4.1666666666666664E-2</v>
      </c>
      <c r="O277" s="15" t="s">
        <v>394</v>
      </c>
      <c r="P277" s="15"/>
      <c r="Q277" s="15">
        <f>VLOOKUP(Table2[[#This Row],[Course Title]],'TSD-Data'!$A$1:$E$56,4,FALSE)</f>
        <v>45</v>
      </c>
      <c r="R277" s="15">
        <f>VLOOKUP(Table2[[#This Row],[Course Title]],'TSD-Data'!$A$1:$F$53,6,FALSE)</f>
        <v>24</v>
      </c>
      <c r="S277" s="15">
        <f>VLOOKUP(Table2[[#This Row],[Course Title]],'TSD-Data'!$A$1:$E$56,5,FALSE)</f>
        <v>3</v>
      </c>
      <c r="T277" s="15"/>
      <c r="U277" s="15"/>
      <c r="V277" s="15"/>
      <c r="W277" s="15"/>
      <c r="X277" s="103"/>
      <c r="Y277" s="15"/>
      <c r="Z277" s="15"/>
      <c r="AA277" s="15"/>
      <c r="AB277" s="99"/>
      <c r="AC277" s="71">
        <f ca="1">Table2[[#This Row],[End Date]]+2-TODAY()</f>
        <v>248</v>
      </c>
      <c r="AD277" s="15">
        <f>IF(ISBLANK(Table2[[#This Row],[Roster Received By]]),1,0)</f>
        <v>1</v>
      </c>
      <c r="AE277" s="15">
        <f ca="1">IF(Table2[[#This Row],[Start Date]]&gt;TODAY(),1,)</f>
        <v>1</v>
      </c>
      <c r="AF277" s="62"/>
    </row>
    <row r="278" spans="1:32" x14ac:dyDescent="0.25">
      <c r="A278" s="99" t="s">
        <v>406</v>
      </c>
      <c r="B278" s="116" t="s">
        <v>28</v>
      </c>
      <c r="C278" s="100" t="str">
        <f>VLOOKUP(Table2[[#This Row],[Course Title]],'TSD-Data'!$A$1:$E$56,2,FALSE)</f>
        <v>A-493-0013</v>
      </c>
      <c r="D278" s="100">
        <f>VLOOKUP(Table2[[#This Row],[Course Title]],'TSD-Data'!$A$1:$E$56,3,FALSE)</f>
        <v>3683</v>
      </c>
      <c r="E278" s="116" t="s">
        <v>301</v>
      </c>
      <c r="F278" s="110">
        <v>45778</v>
      </c>
      <c r="G278" s="110">
        <v>45782</v>
      </c>
      <c r="H278" s="105">
        <v>0.33333333333333331</v>
      </c>
      <c r="I278" s="101"/>
      <c r="J278" s="101"/>
      <c r="K278" s="101"/>
      <c r="L278" s="101"/>
      <c r="M278" s="101"/>
      <c r="N278" s="101"/>
      <c r="O278" s="15" t="s">
        <v>94</v>
      </c>
      <c r="P278" s="15"/>
      <c r="Q278" s="15">
        <f>VLOOKUP(Table2[[#This Row],[Course Title]],'TSD-Data'!$A$1:$E$56,4,FALSE)</f>
        <v>40</v>
      </c>
      <c r="R278" s="15">
        <f>VLOOKUP(Table2[[#This Row],[Course Title]],'TSD-Data'!$A$1:$F$53,6,FALSE)</f>
        <v>24</v>
      </c>
      <c r="S278" s="15">
        <f>VLOOKUP(Table2[[#This Row],[Course Title]],'TSD-Data'!$A$1:$E$56,5,FALSE)</f>
        <v>3</v>
      </c>
      <c r="T278" s="15">
        <v>30</v>
      </c>
      <c r="U278" s="15"/>
      <c r="V278" s="15"/>
      <c r="W278" s="15"/>
      <c r="X278" s="103"/>
      <c r="Y278" s="15"/>
      <c r="Z278" s="15"/>
      <c r="AA278" s="100"/>
      <c r="AB278" s="99"/>
      <c r="AC278" s="71">
        <f ca="1">Table2[[#This Row],[End Date]]+2-TODAY()</f>
        <v>252</v>
      </c>
      <c r="AD278" s="15">
        <f>IF(ISBLANK(Table2[[#This Row],[Roster Received By]]),1,0)</f>
        <v>1</v>
      </c>
      <c r="AE278" s="15">
        <f ca="1">IF(Table2[[#This Row],[Start Date]]&gt;TODAY(),1,)</f>
        <v>1</v>
      </c>
      <c r="AF278" s="62"/>
    </row>
    <row r="279" spans="1:32" x14ac:dyDescent="0.25">
      <c r="A279" s="99"/>
      <c r="B279" s="116" t="s">
        <v>47</v>
      </c>
      <c r="C279" s="100" t="str">
        <f>VLOOKUP(Table2[[#This Row],[Course Title]],'TSD-Data'!$A$1:$E$56,2,FALSE)</f>
        <v>A-493-0030</v>
      </c>
      <c r="D279" s="100" t="str">
        <f>VLOOKUP(Table2[[#This Row],[Course Title]],'TSD-Data'!$A$1:$E$56,3,FALSE)</f>
        <v>286X</v>
      </c>
      <c r="E279" s="116" t="s">
        <v>80</v>
      </c>
      <c r="F279" s="110">
        <v>45779</v>
      </c>
      <c r="G279" s="110">
        <v>45783</v>
      </c>
      <c r="H279" s="105"/>
      <c r="I279" s="105">
        <v>0.33333333333333331</v>
      </c>
      <c r="J279" s="105">
        <v>0.20833333333333334</v>
      </c>
      <c r="K279" s="105">
        <v>0.625</v>
      </c>
      <c r="L279" s="105">
        <v>0.54166666666666663</v>
      </c>
      <c r="M279" s="105">
        <v>8.3333333333333329E-2</v>
      </c>
      <c r="N279" s="105">
        <v>0.875</v>
      </c>
      <c r="O279" s="15" t="s">
        <v>196</v>
      </c>
      <c r="P279" s="15"/>
      <c r="Q279" s="103">
        <f>VLOOKUP(Table2[[#This Row],[Course Title]],'TSD-Data'!$A$1:$E$56,4,FALSE)</f>
        <v>25</v>
      </c>
      <c r="R279" s="15">
        <f>VLOOKUP(Table2[[#This Row],[Course Title]],'TSD-Data'!$A$1:$F$53,6,FALSE)</f>
        <v>40</v>
      </c>
      <c r="S279" s="15">
        <f>VLOOKUP(Table2[[#This Row],[Course Title]],'TSD-Data'!$A$1:$E$56,5,FALSE)</f>
        <v>5</v>
      </c>
      <c r="T279" s="15">
        <v>0</v>
      </c>
      <c r="U279" s="15"/>
      <c r="V279" s="15"/>
      <c r="W279" s="103"/>
      <c r="X279" s="103"/>
      <c r="Y279" s="15"/>
      <c r="Z279" s="15"/>
      <c r="AA279" s="100"/>
      <c r="AB279" s="99"/>
      <c r="AC279" s="71">
        <f ca="1">Table2[[#This Row],[End Date]]+2-TODAY()</f>
        <v>253</v>
      </c>
      <c r="AD279" s="15">
        <f>IF(ISBLANK(Table2[[#This Row],[Roster Received By]]),1,0)</f>
        <v>1</v>
      </c>
      <c r="AE279" s="15">
        <f ca="1">IF(Table2[[#This Row],[Start Date]]&gt;TODAY(),1,)</f>
        <v>1</v>
      </c>
      <c r="AF279" s="62"/>
    </row>
    <row r="280" spans="1:32" x14ac:dyDescent="0.25">
      <c r="A280" s="100"/>
      <c r="B280" s="116" t="s">
        <v>39</v>
      </c>
      <c r="C280" s="100" t="str">
        <f>VLOOKUP(Table2[[#This Row],[Course Title]],'TSD-Data'!$A$1:$E$56,2,FALSE)</f>
        <v>A-570-0100</v>
      </c>
      <c r="D280" s="100" t="str">
        <f>VLOOKUP(Table2[[#This Row],[Course Title]],'TSD-Data'!$A$1:$E$56,3,FALSE)</f>
        <v>18B7</v>
      </c>
      <c r="E280" s="116" t="s">
        <v>80</v>
      </c>
      <c r="F280" s="110">
        <v>45781</v>
      </c>
      <c r="G280" s="110">
        <v>45784</v>
      </c>
      <c r="H280" s="105"/>
      <c r="I280" s="105">
        <v>0.79166666666666663</v>
      </c>
      <c r="J280" s="101">
        <v>0.66666666666666663</v>
      </c>
      <c r="K280" s="101">
        <v>8.3333333333333329E-2</v>
      </c>
      <c r="L280" s="101">
        <v>0</v>
      </c>
      <c r="M280" s="101">
        <v>0.54166666666666663</v>
      </c>
      <c r="N280" s="101">
        <v>0.33333333333333331</v>
      </c>
      <c r="O280" s="15" t="s">
        <v>394</v>
      </c>
      <c r="P280" s="15"/>
      <c r="Q280" s="15">
        <f>VLOOKUP(Table2[[#This Row],[Course Title]],'TSD-Data'!$A$1:$E$56,4,FALSE)</f>
        <v>45</v>
      </c>
      <c r="R280" s="15">
        <f>VLOOKUP(Table2[[#This Row],[Course Title]],'TSD-Data'!$A$1:$F$53,6,FALSE)</f>
        <v>16</v>
      </c>
      <c r="S280" s="15">
        <f>VLOOKUP(Table2[[#This Row],[Course Title]],'TSD-Data'!$A$1:$E$56,5,FALSE)</f>
        <v>2</v>
      </c>
      <c r="T280" s="15"/>
      <c r="U280" s="15"/>
      <c r="V280" s="15"/>
      <c r="W280" s="104"/>
      <c r="X280" s="104"/>
      <c r="Y280" s="100"/>
      <c r="Z280" s="100"/>
      <c r="AA280" s="104"/>
      <c r="AB280" s="99"/>
      <c r="AC280" s="71">
        <f ca="1">Table2[[#This Row],[End Date]]+2-TODAY()</f>
        <v>254</v>
      </c>
      <c r="AD280" s="15">
        <f>IF(ISBLANK(Table2[[#This Row],[Roster Received By]]),1,0)</f>
        <v>1</v>
      </c>
      <c r="AE280" s="15">
        <f ca="1">IF(Table2[[#This Row],[Start Date]]&gt;TODAY(),1,)</f>
        <v>1</v>
      </c>
      <c r="AF280" s="62"/>
    </row>
    <row r="281" spans="1:32" x14ac:dyDescent="0.25">
      <c r="A281" s="62"/>
      <c r="B281" s="116" t="s">
        <v>55</v>
      </c>
      <c r="C281" s="100" t="str">
        <f>VLOOKUP(Table2[[#This Row],[Course Title]],'TSD-Data'!$A$1:$E$56,2,FALSE)</f>
        <v>A-493-0103</v>
      </c>
      <c r="D281" s="100" t="str">
        <f>VLOOKUP(Table2[[#This Row],[Course Title]],'TSD-Data'!$A$1:$E$56,3,FALSE)</f>
        <v>12JY</v>
      </c>
      <c r="E281" s="116" t="s">
        <v>292</v>
      </c>
      <c r="F281" s="110">
        <v>45782</v>
      </c>
      <c r="G281" s="110">
        <v>45786</v>
      </c>
      <c r="H281" s="105">
        <v>0.33333333333333331</v>
      </c>
      <c r="I281" s="101"/>
      <c r="J281" s="101"/>
      <c r="K281" s="101"/>
      <c r="L281" s="101"/>
      <c r="M281" s="101"/>
      <c r="N281" s="101"/>
      <c r="O281" s="15" t="s">
        <v>160</v>
      </c>
      <c r="P281" s="15"/>
      <c r="Q281" s="15">
        <f>VLOOKUP(Table2[[#This Row],[Course Title]],'TSD-Data'!$A$1:$E$56,4,FALSE)</f>
        <v>25</v>
      </c>
      <c r="R281" s="15">
        <f>VLOOKUP(Table2[[#This Row],[Course Title]],'TSD-Data'!$A$1:$F$53,6,FALSE)</f>
        <v>40</v>
      </c>
      <c r="S281" s="15">
        <f>VLOOKUP(Table2[[#This Row],[Course Title]],'TSD-Data'!$A$1:$E$56,5,FALSE)</f>
        <v>5</v>
      </c>
      <c r="T281" s="15">
        <v>248</v>
      </c>
      <c r="U281" s="15"/>
      <c r="V281" s="15"/>
      <c r="W281" s="15"/>
      <c r="X281" s="103"/>
      <c r="Y281" s="15"/>
      <c r="Z281" s="15"/>
      <c r="AA281" s="15"/>
      <c r="AB281" s="99"/>
      <c r="AC281" s="71">
        <f ca="1">Table2[[#This Row],[End Date]]+2-TODAY()</f>
        <v>256</v>
      </c>
      <c r="AD281" s="15">
        <f>IF(ISBLANK(Table2[[#This Row],[Roster Received By]]),1,0)</f>
        <v>1</v>
      </c>
      <c r="AE281" s="15">
        <f ca="1">IF(Table2[[#This Row],[Start Date]]&gt;TODAY(),1,)</f>
        <v>1</v>
      </c>
      <c r="AF281" s="62"/>
    </row>
    <row r="282" spans="1:32" x14ac:dyDescent="0.25">
      <c r="A282" s="62"/>
      <c r="B282" s="116" t="s">
        <v>55</v>
      </c>
      <c r="C282" s="100" t="str">
        <f>VLOOKUP(Table2[[#This Row],[Course Title]],'TSD-Data'!$A$1:$E$56,2,FALSE)</f>
        <v>A-493-0103</v>
      </c>
      <c r="D282" s="100" t="str">
        <f>VLOOKUP(Table2[[#This Row],[Course Title]],'TSD-Data'!$A$1:$E$56,3,FALSE)</f>
        <v>12JY</v>
      </c>
      <c r="E282" s="66" t="s">
        <v>306</v>
      </c>
      <c r="F282" s="98">
        <v>45782</v>
      </c>
      <c r="G282" s="110">
        <v>45786</v>
      </c>
      <c r="H282" s="105">
        <v>0.33333333333333331</v>
      </c>
      <c r="I282" s="105"/>
      <c r="J282" s="102"/>
      <c r="K282" s="102"/>
      <c r="L282" s="102"/>
      <c r="M282" s="102"/>
      <c r="N282" s="102"/>
      <c r="O282" s="15" t="s">
        <v>160</v>
      </c>
      <c r="P282" s="15"/>
      <c r="Q282" s="15">
        <f>VLOOKUP(Table2[[#This Row],[Course Title]],'TSD-Data'!$A$1:$E$56,4,FALSE)</f>
        <v>25</v>
      </c>
      <c r="R282" s="15">
        <f>VLOOKUP(Table2[[#This Row],[Course Title]],'TSD-Data'!$A$1:$F$53,6,FALSE)</f>
        <v>40</v>
      </c>
      <c r="S282" s="15">
        <f>VLOOKUP(Table2[[#This Row],[Course Title]],'TSD-Data'!$A$1:$E$56,5,FALSE)</f>
        <v>5</v>
      </c>
      <c r="T282" s="15">
        <v>48</v>
      </c>
      <c r="U282" s="15"/>
      <c r="V282" s="15"/>
      <c r="W282" s="15"/>
      <c r="X282" s="103"/>
      <c r="Y282" s="15"/>
      <c r="Z282" s="15"/>
      <c r="AA282" s="15"/>
      <c r="AB282" s="99"/>
      <c r="AC282" s="71">
        <f ca="1">Table2[[#This Row],[End Date]]+2-TODAY()</f>
        <v>256</v>
      </c>
      <c r="AD282" s="15">
        <f>IF(ISBLANK(Table2[[#This Row],[Roster Received By]]),1,0)</f>
        <v>1</v>
      </c>
      <c r="AE282" s="15">
        <f ca="1">IF(Table2[[#This Row],[Start Date]]&gt;TODAY(),1,)</f>
        <v>1</v>
      </c>
      <c r="AF282" s="62"/>
    </row>
    <row r="283" spans="1:32" x14ac:dyDescent="0.25">
      <c r="A283" s="62"/>
      <c r="B283" s="116" t="s">
        <v>38</v>
      </c>
      <c r="C283" s="100" t="str">
        <f>VLOOKUP(Table2[[#This Row],[Course Title]],'TSD-Data'!$A$1:$E$56,2,FALSE)</f>
        <v>A-493-0061</v>
      </c>
      <c r="D283" s="100" t="str">
        <f>VLOOKUP(Table2[[#This Row],[Course Title]],'TSD-Data'!$A$1:$E$56,3,FALSE)</f>
        <v>288E</v>
      </c>
      <c r="E283" s="99" t="s">
        <v>80</v>
      </c>
      <c r="F283" s="102">
        <v>45782</v>
      </c>
      <c r="G283" s="102">
        <v>45785</v>
      </c>
      <c r="H283" s="105"/>
      <c r="I283" s="105">
        <v>0.41666666666666669</v>
      </c>
      <c r="J283" s="101">
        <v>0.29166666666666669</v>
      </c>
      <c r="K283" s="101">
        <v>0.70833333333333337</v>
      </c>
      <c r="L283" s="101">
        <v>0.66666666666666663</v>
      </c>
      <c r="M283" s="101">
        <v>0.16666666666666666</v>
      </c>
      <c r="N283" s="101">
        <v>0.95833333333333337</v>
      </c>
      <c r="O283" s="15" t="s">
        <v>394</v>
      </c>
      <c r="P283" s="15"/>
      <c r="Q283" s="15">
        <f>VLOOKUP(Table2[[#This Row],[Course Title]],'TSD-Data'!$A$1:$E$56,4,FALSE)</f>
        <v>45</v>
      </c>
      <c r="R283" s="15">
        <f>VLOOKUP(Table2[[#This Row],[Course Title]],'TSD-Data'!$A$1:$F$53,6,FALSE)</f>
        <v>30</v>
      </c>
      <c r="S283" s="15">
        <f>VLOOKUP(Table2[[#This Row],[Course Title]],'TSD-Data'!$A$1:$E$56,5,FALSE)</f>
        <v>4</v>
      </c>
      <c r="T283" s="15"/>
      <c r="U283" s="15"/>
      <c r="V283" s="15"/>
      <c r="W283" s="15"/>
      <c r="X283" s="103"/>
      <c r="Y283" s="15"/>
      <c r="Z283" s="15"/>
      <c r="AA283" s="15"/>
      <c r="AB283" s="99"/>
      <c r="AC283" s="71">
        <f ca="1">Table2[[#This Row],[End Date]]+2-TODAY()</f>
        <v>255</v>
      </c>
      <c r="AD283" s="15">
        <f>IF(ISBLANK(Table2[[#This Row],[Roster Received By]]),1,0)</f>
        <v>1</v>
      </c>
      <c r="AE283" s="15">
        <f ca="1">IF(Table2[[#This Row],[Start Date]]&gt;TODAY(),1,)</f>
        <v>1</v>
      </c>
      <c r="AF283" s="62"/>
    </row>
    <row r="284" spans="1:32" x14ac:dyDescent="0.25">
      <c r="A284" s="62"/>
      <c r="B284" s="116" t="s">
        <v>165</v>
      </c>
      <c r="C284" s="100" t="str">
        <f>VLOOKUP(Table2[[#This Row],[Course Title]],'TSD-Data'!$A$1:$E$56,2,FALSE)</f>
        <v>A-322-2604</v>
      </c>
      <c r="D284" s="100" t="str">
        <f>VLOOKUP(Table2[[#This Row],[Course Title]],'TSD-Data'!$A$1:$E$56,3,FALSE)</f>
        <v>10ZZ</v>
      </c>
      <c r="E284" s="99" t="s">
        <v>80</v>
      </c>
      <c r="F284" s="102">
        <v>45782</v>
      </c>
      <c r="G284" s="102">
        <v>45786</v>
      </c>
      <c r="H284" s="105"/>
      <c r="I284" s="105">
        <v>0.33333333333333331</v>
      </c>
      <c r="J284" s="105">
        <v>0.20833333333333334</v>
      </c>
      <c r="K284" s="105">
        <v>0.625</v>
      </c>
      <c r="L284" s="105">
        <v>0.54166666666666663</v>
      </c>
      <c r="M284" s="105">
        <v>8.3333333333333329E-2</v>
      </c>
      <c r="N284" s="105">
        <v>0.875</v>
      </c>
      <c r="O284" s="15" t="s">
        <v>394</v>
      </c>
      <c r="P284" s="15"/>
      <c r="Q284" s="15">
        <f>VLOOKUP(Table2[[#This Row],[Course Title]],'TSD-Data'!$A$1:$E$56,4,FALSE)</f>
        <v>45</v>
      </c>
      <c r="R284" s="15">
        <f>VLOOKUP(Table2[[#This Row],[Course Title]],'TSD-Data'!$A$1:$F$53,6,FALSE)</f>
        <v>24</v>
      </c>
      <c r="S284" s="15">
        <f>VLOOKUP(Table2[[#This Row],[Course Title]],'TSD-Data'!$A$1:$E$56,5,FALSE)</f>
        <v>3</v>
      </c>
      <c r="T284" s="15"/>
      <c r="U284" s="15"/>
      <c r="V284" s="15"/>
      <c r="W284" s="15"/>
      <c r="X284" s="103"/>
      <c r="Y284" s="15"/>
      <c r="Z284" s="15"/>
      <c r="AA284" s="100"/>
      <c r="AB284" s="99"/>
      <c r="AC284" s="71">
        <f ca="1">Table2[[#This Row],[End Date]]+2-TODAY()</f>
        <v>256</v>
      </c>
      <c r="AD284" s="15">
        <f>IF(ISBLANK(Table2[[#This Row],[Roster Received By]]),1,0)</f>
        <v>1</v>
      </c>
      <c r="AE284" s="15">
        <f ca="1">IF(Table2[[#This Row],[Start Date]]&gt;TODAY(),1,)</f>
        <v>1</v>
      </c>
      <c r="AF284" s="62"/>
    </row>
    <row r="285" spans="1:32" x14ac:dyDescent="0.25">
      <c r="A285" s="62"/>
      <c r="B285" s="116" t="s">
        <v>29</v>
      </c>
      <c r="C285" s="100" t="str">
        <f>VLOOKUP(Table2[[#This Row],[Course Title]],'TSD-Data'!$A$1:$E$56,2,FALSE)</f>
        <v>A-493-0077</v>
      </c>
      <c r="D285" s="100" t="str">
        <f>VLOOKUP(Table2[[#This Row],[Course Title]],'TSD-Data'!$A$1:$E$56,3,FALSE)</f>
        <v>0381</v>
      </c>
      <c r="E285" s="99" t="s">
        <v>161</v>
      </c>
      <c r="F285" s="102">
        <v>45782</v>
      </c>
      <c r="G285" s="102">
        <v>45784</v>
      </c>
      <c r="H285" s="105">
        <v>0.33333333333333331</v>
      </c>
      <c r="I285" s="105"/>
      <c r="J285" s="105"/>
      <c r="K285" s="105"/>
      <c r="L285" s="105"/>
      <c r="M285" s="105"/>
      <c r="N285" s="105"/>
      <c r="O285" s="15" t="s">
        <v>94</v>
      </c>
      <c r="P285" s="15"/>
      <c r="Q285" s="15">
        <f>VLOOKUP(Table2[[#This Row],[Course Title]],'TSD-Data'!$A$1:$E$56,4,FALSE)</f>
        <v>25</v>
      </c>
      <c r="R285" s="15">
        <f>VLOOKUP(Table2[[#This Row],[Course Title]],'TSD-Data'!$A$1:$F$53,6,FALSE)</f>
        <v>24</v>
      </c>
      <c r="S285" s="15">
        <f>VLOOKUP(Table2[[#This Row],[Course Title]],'TSD-Data'!$A$1:$E$56,5,FALSE)</f>
        <v>3</v>
      </c>
      <c r="T285" s="15">
        <v>14</v>
      </c>
      <c r="U285" s="15"/>
      <c r="V285" s="15"/>
      <c r="W285" s="15"/>
      <c r="X285" s="103"/>
      <c r="Y285" s="15"/>
      <c r="Z285" s="15"/>
      <c r="AA285" s="15"/>
      <c r="AB285" s="99"/>
      <c r="AC285" s="71">
        <f ca="1">Table2[[#This Row],[End Date]]+2-TODAY()</f>
        <v>254</v>
      </c>
      <c r="AD285" s="15">
        <f>IF(ISBLANK(Table2[[#This Row],[Roster Received By]]),1,0)</f>
        <v>1</v>
      </c>
      <c r="AE285" s="15">
        <f ca="1">IF(Table2[[#This Row],[Start Date]]&gt;TODAY(),1,)</f>
        <v>1</v>
      </c>
      <c r="AF285" s="62"/>
    </row>
    <row r="286" spans="1:32" x14ac:dyDescent="0.25">
      <c r="A286" s="62"/>
      <c r="B286" s="116" t="s">
        <v>32</v>
      </c>
      <c r="C286" s="100" t="str">
        <f>VLOOKUP(Table2[[#This Row],[Course Title]],'TSD-Data'!$A$1:$E$56,2,FALSE)</f>
        <v>A-493-2300</v>
      </c>
      <c r="D286" s="100" t="str">
        <f>VLOOKUP(Table2[[#This Row],[Course Title]],'TSD-Data'!$A$1:$E$56,3,FALSE)</f>
        <v>993F</v>
      </c>
      <c r="E286" s="99" t="s">
        <v>272</v>
      </c>
      <c r="F286" s="102">
        <v>45782</v>
      </c>
      <c r="G286" s="102">
        <v>45783</v>
      </c>
      <c r="H286" s="105">
        <v>0.33333333333333331</v>
      </c>
      <c r="I286" s="105"/>
      <c r="J286" s="105"/>
      <c r="K286" s="105"/>
      <c r="L286" s="105"/>
      <c r="M286" s="105"/>
      <c r="N286" s="105"/>
      <c r="O286" s="15" t="s">
        <v>94</v>
      </c>
      <c r="P286" s="15"/>
      <c r="Q286" s="15">
        <f>VLOOKUP(Table2[[#This Row],[Course Title]],'TSD-Data'!$A$1:$E$56,4,FALSE)</f>
        <v>30</v>
      </c>
      <c r="R286" s="15">
        <f>VLOOKUP(Table2[[#This Row],[Course Title]],'TSD-Data'!$A$1:$F$53,6,FALSE)</f>
        <v>16</v>
      </c>
      <c r="S286" s="15">
        <f>VLOOKUP(Table2[[#This Row],[Course Title]],'TSD-Data'!$A$1:$E$56,5,FALSE)</f>
        <v>2</v>
      </c>
      <c r="T286" s="15">
        <v>30</v>
      </c>
      <c r="U286" s="15"/>
      <c r="V286" s="15"/>
      <c r="W286" s="15"/>
      <c r="X286" s="103"/>
      <c r="Y286" s="15"/>
      <c r="Z286" s="15"/>
      <c r="AA286" s="15"/>
      <c r="AB286" s="99"/>
      <c r="AC286" s="71">
        <f ca="1">Table2[[#This Row],[End Date]]+2-TODAY()</f>
        <v>253</v>
      </c>
      <c r="AD286" s="15">
        <f>IF(ISBLANK(Table2[[#This Row],[Roster Received By]]),1,0)</f>
        <v>1</v>
      </c>
      <c r="AE286" s="15">
        <f ca="1">IF(Table2[[#This Row],[Start Date]]&gt;TODAY(),1,)</f>
        <v>1</v>
      </c>
      <c r="AF286" s="62"/>
    </row>
    <row r="287" spans="1:32" x14ac:dyDescent="0.25">
      <c r="A287" s="62"/>
      <c r="B287" s="116" t="s">
        <v>49</v>
      </c>
      <c r="C287" s="100" t="str">
        <f>VLOOKUP(Table2[[#This Row],[Course Title]],'TSD-Data'!$A$1:$E$56,2,FALSE)</f>
        <v>A-493-0092</v>
      </c>
      <c r="D287" s="100">
        <f>VLOOKUP(Table2[[#This Row],[Course Title]],'TSD-Data'!$A$1:$E$56,3,FALSE)</f>
        <v>5891</v>
      </c>
      <c r="E287" s="99" t="s">
        <v>267</v>
      </c>
      <c r="F287" s="102">
        <v>45782</v>
      </c>
      <c r="G287" s="102">
        <v>45784</v>
      </c>
      <c r="H287" s="105">
        <v>0.33333333333333331</v>
      </c>
      <c r="I287" s="105"/>
      <c r="J287" s="102"/>
      <c r="K287" s="102"/>
      <c r="L287" s="102"/>
      <c r="M287" s="102"/>
      <c r="N287" s="102"/>
      <c r="O287" s="15" t="s">
        <v>394</v>
      </c>
      <c r="P287" s="15"/>
      <c r="Q287" s="15">
        <f>VLOOKUP(Table2[[#This Row],[Course Title]],'TSD-Data'!$A$1:$E$56,4,FALSE)</f>
        <v>25</v>
      </c>
      <c r="R287" s="15">
        <f>VLOOKUP(Table2[[#This Row],[Course Title]],'TSD-Data'!$A$1:$F$53,6,FALSE)</f>
        <v>24</v>
      </c>
      <c r="S287" s="15">
        <f>VLOOKUP(Table2[[#This Row],[Course Title]],'TSD-Data'!$A$1:$E$56,5,FALSE)</f>
        <v>3</v>
      </c>
      <c r="T287" s="15"/>
      <c r="U287" s="15"/>
      <c r="V287" s="15"/>
      <c r="W287" s="103"/>
      <c r="X287" s="103"/>
      <c r="Y287" s="15"/>
      <c r="Z287" s="15"/>
      <c r="AA287" s="15"/>
      <c r="AB287" s="99"/>
      <c r="AC287" s="71">
        <f ca="1">Table2[[#This Row],[End Date]]+2-TODAY()</f>
        <v>254</v>
      </c>
      <c r="AD287" s="15">
        <f>IF(ISBLANK(Table2[[#This Row],[Roster Received By]]),1,0)</f>
        <v>1</v>
      </c>
      <c r="AE287" s="15">
        <f ca="1">IF(Table2[[#This Row],[Start Date]]&gt;TODAY(),1,)</f>
        <v>1</v>
      </c>
      <c r="AF287" s="62"/>
    </row>
    <row r="288" spans="1:32" x14ac:dyDescent="0.25">
      <c r="A288" s="99"/>
      <c r="B288" s="116" t="s">
        <v>61</v>
      </c>
      <c r="C288" s="100" t="str">
        <f>VLOOKUP(Table2[[#This Row],[Course Title]],'TSD-Data'!$A$1:$E$56,2,FALSE)</f>
        <v>A-493-0078</v>
      </c>
      <c r="D288" s="100">
        <f>VLOOKUP(Table2[[#This Row],[Course Title]],'TSD-Data'!$A$1:$E$56,3,FALSE)</f>
        <v>1228</v>
      </c>
      <c r="E288" s="99" t="s">
        <v>80</v>
      </c>
      <c r="F288" s="102">
        <v>45782</v>
      </c>
      <c r="G288" s="102">
        <v>45785</v>
      </c>
      <c r="H288" s="105"/>
      <c r="I288" s="105">
        <v>0.33333333333333331</v>
      </c>
      <c r="J288" s="105">
        <v>0.20833333333333334</v>
      </c>
      <c r="K288" s="105">
        <v>0.625</v>
      </c>
      <c r="L288" s="105">
        <v>0.54166666666666663</v>
      </c>
      <c r="M288" s="105">
        <v>8.3333333333333329E-2</v>
      </c>
      <c r="N288" s="105">
        <v>0.875</v>
      </c>
      <c r="O288" s="15" t="s">
        <v>394</v>
      </c>
      <c r="P288" s="15"/>
      <c r="Q288" s="15">
        <f>VLOOKUP(Table2[[#This Row],[Course Title]],'TSD-Data'!$A$1:$E$56,4,FALSE)</f>
        <v>45</v>
      </c>
      <c r="R288" s="15">
        <f>VLOOKUP(Table2[[#This Row],[Course Title]],'TSD-Data'!$A$1:$F$53,6,FALSE)</f>
        <v>32</v>
      </c>
      <c r="S288" s="15">
        <f>VLOOKUP(Table2[[#This Row],[Course Title]],'TSD-Data'!$A$1:$E$56,5,FALSE)</f>
        <v>4</v>
      </c>
      <c r="T288" s="15"/>
      <c r="U288" s="15"/>
      <c r="V288" s="15"/>
      <c r="W288" s="15"/>
      <c r="X288" s="103"/>
      <c r="Y288" s="15"/>
      <c r="Z288" s="15"/>
      <c r="AA288" s="15"/>
      <c r="AB288" s="99"/>
      <c r="AC288" s="71">
        <f ca="1">Table2[[#This Row],[End Date]]+2-TODAY()</f>
        <v>255</v>
      </c>
      <c r="AD288" s="15">
        <f>IF(ISBLANK(Table2[[#This Row],[Roster Received By]]),1,0)</f>
        <v>1</v>
      </c>
      <c r="AE288" s="15">
        <f ca="1">IF(Table2[[#This Row],[Start Date]]&gt;TODAY(),1,)</f>
        <v>1</v>
      </c>
      <c r="AF288" s="62"/>
    </row>
    <row r="289" spans="1:32" x14ac:dyDescent="0.25">
      <c r="A289" s="62"/>
      <c r="B289" s="116" t="s">
        <v>52</v>
      </c>
      <c r="C289" s="100" t="str">
        <f>VLOOKUP(Table2[[#This Row],[Course Title]],'TSD-Data'!$A$1:$E$56,2,FALSE)</f>
        <v>A-493-0085</v>
      </c>
      <c r="D289" s="100">
        <f>VLOOKUP(Table2[[#This Row],[Course Title]],'TSD-Data'!$A$1:$E$56,3,FALSE)</f>
        <v>3555</v>
      </c>
      <c r="E289" s="99" t="s">
        <v>80</v>
      </c>
      <c r="F289" s="102">
        <v>45782</v>
      </c>
      <c r="G289" s="102">
        <v>45785</v>
      </c>
      <c r="H289" s="102"/>
      <c r="I289" s="101">
        <v>0.5</v>
      </c>
      <c r="J289" s="101">
        <v>0.375</v>
      </c>
      <c r="K289" s="101">
        <v>0.79166666666666663</v>
      </c>
      <c r="L289" s="101">
        <v>0.75</v>
      </c>
      <c r="M289" s="101">
        <v>0.25</v>
      </c>
      <c r="N289" s="101">
        <v>4.1666666666666664E-2</v>
      </c>
      <c r="O289" s="15" t="s">
        <v>394</v>
      </c>
      <c r="P289" s="15"/>
      <c r="Q289" s="15">
        <f>VLOOKUP(Table2[[#This Row],[Course Title]],'TSD-Data'!$A$1:$E$56,4,FALSE)</f>
        <v>45</v>
      </c>
      <c r="R289" s="15">
        <f>VLOOKUP(Table2[[#This Row],[Course Title]],'TSD-Data'!$A$1:$F$53,6,FALSE)</f>
        <v>32</v>
      </c>
      <c r="S289" s="15">
        <f>VLOOKUP(Table2[[#This Row],[Course Title]],'TSD-Data'!$A$1:$E$56,5,FALSE)</f>
        <v>4</v>
      </c>
      <c r="T289" s="15"/>
      <c r="U289" s="15"/>
      <c r="V289" s="15"/>
      <c r="W289" s="15"/>
      <c r="X289" s="103"/>
      <c r="Y289" s="15"/>
      <c r="Z289" s="15"/>
      <c r="AA289" s="15"/>
      <c r="AB289" s="99"/>
      <c r="AC289" s="71">
        <f ca="1">Table2[[#This Row],[End Date]]+2-TODAY()</f>
        <v>255</v>
      </c>
      <c r="AD289" s="15">
        <f>IF(ISBLANK(Table2[[#This Row],[Roster Received By]]),1,0)</f>
        <v>1</v>
      </c>
      <c r="AE289" s="15">
        <f ca="1">IF(Table2[[#This Row],[Start Date]]&gt;TODAY(),1,)</f>
        <v>1</v>
      </c>
      <c r="AF289" s="62"/>
    </row>
    <row r="290" spans="1:32" x14ac:dyDescent="0.25">
      <c r="A290" s="100"/>
      <c r="B290" s="116" t="s">
        <v>40</v>
      </c>
      <c r="C290" s="100" t="str">
        <f>VLOOKUP(Table2[[#This Row],[Course Title]],'TSD-Data'!$A$1:$E$56,2,FALSE)</f>
        <v>A-493-2098</v>
      </c>
      <c r="D290" s="100" t="str">
        <f>VLOOKUP(Table2[[#This Row],[Course Title]],'TSD-Data'!$A$1:$E$56,3,FALSE)</f>
        <v>09WW</v>
      </c>
      <c r="E290" s="99" t="s">
        <v>80</v>
      </c>
      <c r="F290" s="102">
        <v>45782</v>
      </c>
      <c r="G290" s="102">
        <v>45786</v>
      </c>
      <c r="H290" s="105"/>
      <c r="I290" s="105">
        <v>0.54166666666666663</v>
      </c>
      <c r="J290" s="101">
        <v>0.41666666666666669</v>
      </c>
      <c r="K290" s="101">
        <v>0.83333333333333337</v>
      </c>
      <c r="L290" s="101">
        <v>0.75</v>
      </c>
      <c r="M290" s="101">
        <v>0.29166666666666669</v>
      </c>
      <c r="N290" s="101">
        <v>8.3333333333333329E-2</v>
      </c>
      <c r="O290" s="15" t="s">
        <v>394</v>
      </c>
      <c r="P290" s="15"/>
      <c r="Q290" s="15">
        <f>VLOOKUP(Table2[[#This Row],[Course Title]],'TSD-Data'!$A$1:$E$56,4,FALSE)</f>
        <v>100</v>
      </c>
      <c r="R290" s="15">
        <f>VLOOKUP(Table2[[#This Row],[Course Title]],'TSD-Data'!$A$1:$F$53,6,FALSE)</f>
        <v>16</v>
      </c>
      <c r="S290" s="15">
        <f>VLOOKUP(Table2[[#This Row],[Course Title]],'TSD-Data'!$A$1:$E$56,5,FALSE)</f>
        <v>2</v>
      </c>
      <c r="T290" s="15"/>
      <c r="U290" s="15"/>
      <c r="V290" s="15"/>
      <c r="W290" s="104"/>
      <c r="X290" s="104"/>
      <c r="Y290" s="100"/>
      <c r="Z290" s="100"/>
      <c r="AA290" s="104"/>
      <c r="AB290" s="99"/>
      <c r="AC290" s="71">
        <f ca="1">Table2[[#This Row],[End Date]]+2-TODAY()</f>
        <v>256</v>
      </c>
      <c r="AD290" s="15">
        <f>IF(ISBLANK(Table2[[#This Row],[Roster Received By]]),1,0)</f>
        <v>1</v>
      </c>
      <c r="AE290" s="15">
        <f ca="1">IF(Table2[[#This Row],[Start Date]]&gt;TODAY(),1,)</f>
        <v>1</v>
      </c>
      <c r="AF290" s="62"/>
    </row>
    <row r="291" spans="1:32" x14ac:dyDescent="0.25">
      <c r="A291" s="62" t="s">
        <v>397</v>
      </c>
      <c r="B291" s="116" t="s">
        <v>36</v>
      </c>
      <c r="C291" s="100" t="str">
        <f>VLOOKUP(Table2[[#This Row],[Course Title]],'TSD-Data'!$A$1:$E$56,2,FALSE)</f>
        <v>A-493-2017</v>
      </c>
      <c r="D291" s="100" t="str">
        <f>VLOOKUP(Table2[[#This Row],[Course Title]],'TSD-Data'!$A$1:$E$56,3,FALSE)</f>
        <v>12x3</v>
      </c>
      <c r="E291" s="99" t="s">
        <v>128</v>
      </c>
      <c r="F291" s="102">
        <v>45782</v>
      </c>
      <c r="G291" s="102">
        <v>45786</v>
      </c>
      <c r="H291" s="105">
        <v>0.33333333333333331</v>
      </c>
      <c r="I291" s="105"/>
      <c r="J291" s="102"/>
      <c r="K291" s="102"/>
      <c r="L291" s="102"/>
      <c r="M291" s="102"/>
      <c r="N291" s="102"/>
      <c r="O291" s="15" t="s">
        <v>94</v>
      </c>
      <c r="P291" s="15"/>
      <c r="Q291" s="103">
        <f>VLOOKUP(Table2[[#This Row],[Course Title]],'TSD-Data'!$A$1:$E$56,4,FALSE)</f>
        <v>25</v>
      </c>
      <c r="R291" s="15">
        <f>VLOOKUP(Table2[[#This Row],[Course Title]],'TSD-Data'!$A$1:$F$53,6,FALSE)</f>
        <v>40</v>
      </c>
      <c r="S291" s="104">
        <f>VLOOKUP(Table2[[#This Row],[Course Title]],'TSD-Data'!$A$1:$E$56,5,FALSE)</f>
        <v>5</v>
      </c>
      <c r="T291" s="104">
        <v>12</v>
      </c>
      <c r="U291" s="104"/>
      <c r="V291" s="104"/>
      <c r="W291" s="103"/>
      <c r="X291" s="103"/>
      <c r="Y291" s="15"/>
      <c r="Z291" s="15"/>
      <c r="AA291" s="15"/>
      <c r="AB291" s="99"/>
      <c r="AC291" s="71">
        <f ca="1">Table2[[#This Row],[End Date]]+2-TODAY()</f>
        <v>256</v>
      </c>
      <c r="AD291" s="15">
        <f>IF(ISBLANK(Table2[[#This Row],[Roster Received By]]),1,0)</f>
        <v>1</v>
      </c>
      <c r="AE291" s="15">
        <f ca="1">IF(Table2[[#This Row],[Start Date]]&gt;TODAY(),1,)</f>
        <v>1</v>
      </c>
      <c r="AF291" s="62"/>
    </row>
    <row r="292" spans="1:32" x14ac:dyDescent="0.25">
      <c r="A292" s="62" t="s">
        <v>407</v>
      </c>
      <c r="B292" s="116" t="s">
        <v>28</v>
      </c>
      <c r="C292" s="100" t="str">
        <f>VLOOKUP(Table2[[#This Row],[Course Title]],'TSD-Data'!$A$1:$E$56,2,FALSE)</f>
        <v>A-493-0013</v>
      </c>
      <c r="D292" s="100">
        <f>VLOOKUP(Table2[[#This Row],[Course Title]],'TSD-Data'!$A$1:$E$56,3,FALSE)</f>
        <v>3683</v>
      </c>
      <c r="E292" s="99" t="s">
        <v>91</v>
      </c>
      <c r="F292" s="102">
        <v>45783</v>
      </c>
      <c r="G292" s="102">
        <v>45785</v>
      </c>
      <c r="H292" s="105">
        <v>0.33333333333333331</v>
      </c>
      <c r="I292" s="105"/>
      <c r="J292" s="102"/>
      <c r="K292" s="102"/>
      <c r="L292" s="125"/>
      <c r="M292" s="102"/>
      <c r="N292" s="102"/>
      <c r="O292" s="15" t="s">
        <v>94</v>
      </c>
      <c r="P292" s="15"/>
      <c r="Q292" s="15">
        <f>VLOOKUP(Table2[[#This Row],[Course Title]],'TSD-Data'!$A$1:$E$56,4,FALSE)</f>
        <v>40</v>
      </c>
      <c r="R292" s="15">
        <f>VLOOKUP(Table2[[#This Row],[Course Title]],'TSD-Data'!$A$1:$F$53,6,FALSE)</f>
        <v>24</v>
      </c>
      <c r="S292" s="15">
        <f>VLOOKUP(Table2[[#This Row],[Course Title]],'TSD-Data'!$A$1:$E$56,5,FALSE)</f>
        <v>3</v>
      </c>
      <c r="T292" s="15">
        <v>20</v>
      </c>
      <c r="U292" s="15"/>
      <c r="V292" s="15"/>
      <c r="W292" s="103"/>
      <c r="X292" s="103"/>
      <c r="Y292" s="15"/>
      <c r="Z292" s="15"/>
      <c r="AA292" s="100"/>
      <c r="AB292" s="99"/>
      <c r="AC292" s="71">
        <f ca="1">Table2[[#This Row],[End Date]]+2-TODAY()</f>
        <v>255</v>
      </c>
      <c r="AD292" s="15">
        <f>IF(ISBLANK(Table2[[#This Row],[Roster Received By]]),1,0)</f>
        <v>1</v>
      </c>
      <c r="AE292" s="15">
        <f ca="1">IF(Table2[[#This Row],[Start Date]]&gt;TODAY(),1,)</f>
        <v>1</v>
      </c>
      <c r="AF292" s="106"/>
    </row>
    <row r="293" spans="1:32" x14ac:dyDescent="0.25">
      <c r="A293" s="62" t="s">
        <v>408</v>
      </c>
      <c r="B293" s="116" t="s">
        <v>28</v>
      </c>
      <c r="C293" s="100" t="str">
        <f>VLOOKUP(Table2[[#This Row],[Course Title]],'TSD-Data'!$A$1:$E$56,2,FALSE)</f>
        <v>A-493-0013</v>
      </c>
      <c r="D293" s="100">
        <f>VLOOKUP(Table2[[#This Row],[Course Title]],'TSD-Data'!$A$1:$E$56,3,FALSE)</f>
        <v>3683</v>
      </c>
      <c r="E293" s="99" t="s">
        <v>263</v>
      </c>
      <c r="F293" s="102">
        <v>45783</v>
      </c>
      <c r="G293" s="102">
        <v>45785</v>
      </c>
      <c r="H293" s="105">
        <v>0.33333333333333331</v>
      </c>
      <c r="I293" s="105"/>
      <c r="J293" s="102"/>
      <c r="K293" s="102"/>
      <c r="L293" s="102"/>
      <c r="M293" s="102"/>
      <c r="N293" s="102"/>
      <c r="O293" s="15" t="s">
        <v>94</v>
      </c>
      <c r="P293" s="15"/>
      <c r="Q293" s="15">
        <f>VLOOKUP(Table2[[#This Row],[Course Title]],'TSD-Data'!$A$1:$E$56,4,FALSE)</f>
        <v>40</v>
      </c>
      <c r="R293" s="15">
        <f>VLOOKUP(Table2[[#This Row],[Course Title]],'TSD-Data'!$A$1:$F$53,6,FALSE)</f>
        <v>24</v>
      </c>
      <c r="S293" s="15">
        <f>VLOOKUP(Table2[[#This Row],[Course Title]],'TSD-Data'!$A$1:$E$56,5,FALSE)</f>
        <v>3</v>
      </c>
      <c r="T293" s="15">
        <v>0</v>
      </c>
      <c r="U293" s="15"/>
      <c r="V293" s="15"/>
      <c r="W293" s="15"/>
      <c r="X293" s="103"/>
      <c r="Y293" s="15"/>
      <c r="Z293" s="15"/>
      <c r="AA293" s="15"/>
      <c r="AB293" s="99"/>
      <c r="AC293" s="71">
        <f ca="1">Table2[[#This Row],[End Date]]+2-TODAY()</f>
        <v>255</v>
      </c>
      <c r="AD293" s="15">
        <f>IF(ISBLANK(Table2[[#This Row],[Roster Received By]]),1,0)</f>
        <v>1</v>
      </c>
      <c r="AE293" s="15">
        <f ca="1">IF(Table2[[#This Row],[Start Date]]&gt;TODAY(),1,)</f>
        <v>1</v>
      </c>
      <c r="AF293" s="106"/>
    </row>
    <row r="294" spans="1:32" x14ac:dyDescent="0.25">
      <c r="A294" s="99"/>
      <c r="B294" s="116" t="s">
        <v>33</v>
      </c>
      <c r="C294" s="100" t="str">
        <f>VLOOKUP(Table2[[#This Row],[Course Title]],'TSD-Data'!$A$1:$E$56,2,FALSE)</f>
        <v>A-493-2301</v>
      </c>
      <c r="D294" s="100" t="str">
        <f>VLOOKUP(Table2[[#This Row],[Course Title]],'TSD-Data'!$A$1:$E$56,3,FALSE)</f>
        <v>05ZD</v>
      </c>
      <c r="E294" s="99" t="s">
        <v>272</v>
      </c>
      <c r="F294" s="102">
        <v>45784</v>
      </c>
      <c r="G294" s="102">
        <v>45784</v>
      </c>
      <c r="H294" s="105">
        <v>0.33333333333333331</v>
      </c>
      <c r="I294" s="105"/>
      <c r="J294" s="105"/>
      <c r="K294" s="105"/>
      <c r="L294" s="105"/>
      <c r="M294" s="105"/>
      <c r="N294" s="105"/>
      <c r="O294" s="15" t="s">
        <v>94</v>
      </c>
      <c r="P294" s="15"/>
      <c r="Q294" s="15">
        <f>VLOOKUP(Table2[[#This Row],[Course Title]],'TSD-Data'!$A$1:$E$56,4,FALSE)</f>
        <v>30</v>
      </c>
      <c r="R294" s="15">
        <f>VLOOKUP(Table2[[#This Row],[Course Title]],'TSD-Data'!$A$1:$F$53,6,FALSE)</f>
        <v>8</v>
      </c>
      <c r="S294" s="15">
        <f>VLOOKUP(Table2[[#This Row],[Course Title]],'TSD-Data'!$A$1:$E$56,5,FALSE)</f>
        <v>1</v>
      </c>
      <c r="T294" s="15">
        <v>30</v>
      </c>
      <c r="U294" s="15"/>
      <c r="V294" s="15"/>
      <c r="W294" s="15"/>
      <c r="X294" s="103"/>
      <c r="Y294" s="15"/>
      <c r="Z294" s="15"/>
      <c r="AA294" s="103"/>
      <c r="AB294" s="99"/>
      <c r="AC294" s="71">
        <f ca="1">Table2[[#This Row],[End Date]]+2-TODAY()</f>
        <v>254</v>
      </c>
      <c r="AD294" s="15">
        <f>IF(ISBLANK(Table2[[#This Row],[Roster Received By]]),1,0)</f>
        <v>1</v>
      </c>
      <c r="AE294" s="15">
        <f ca="1">IF(Table2[[#This Row],[Start Date]]&gt;TODAY(),1,)</f>
        <v>1</v>
      </c>
      <c r="AF294" s="106"/>
    </row>
    <row r="295" spans="1:32" x14ac:dyDescent="0.25">
      <c r="A295" s="62"/>
      <c r="B295" s="116" t="s">
        <v>31</v>
      </c>
      <c r="C295" s="100" t="str">
        <f>VLOOKUP(Table2[[#This Row],[Course Title]],'TSD-Data'!$A$1:$E$56,2,FALSE)</f>
        <v>A-493-0083</v>
      </c>
      <c r="D295" s="100" t="str">
        <f>VLOOKUP(Table2[[#This Row],[Course Title]],'TSD-Data'!$A$1:$E$56,3,FALSE)</f>
        <v>339E</v>
      </c>
      <c r="E295" s="99" t="s">
        <v>161</v>
      </c>
      <c r="F295" s="102">
        <v>45785</v>
      </c>
      <c r="G295" s="102">
        <v>45785</v>
      </c>
      <c r="H295" s="105">
        <v>0.33333333333333331</v>
      </c>
      <c r="I295" s="105"/>
      <c r="J295" s="105"/>
      <c r="K295" s="105"/>
      <c r="L295" s="105"/>
      <c r="M295" s="105"/>
      <c r="N295" s="105"/>
      <c r="O295" s="15" t="s">
        <v>94</v>
      </c>
      <c r="P295" s="15"/>
      <c r="Q295" s="15">
        <f>VLOOKUP(Table2[[#This Row],[Course Title]],'TSD-Data'!$A$1:$E$56,4,FALSE)</f>
        <v>30</v>
      </c>
      <c r="R295" s="15">
        <f>VLOOKUP(Table2[[#This Row],[Course Title]],'TSD-Data'!$A$1:$F$53,6,FALSE)</f>
        <v>8</v>
      </c>
      <c r="S295" s="15">
        <f>VLOOKUP(Table2[[#This Row],[Course Title]],'TSD-Data'!$A$1:$E$56,5,FALSE)</f>
        <v>1</v>
      </c>
      <c r="T295" s="15">
        <v>20</v>
      </c>
      <c r="U295" s="15"/>
      <c r="V295" s="15"/>
      <c r="W295" s="15"/>
      <c r="X295" s="103"/>
      <c r="Y295" s="15"/>
      <c r="Z295" s="15"/>
      <c r="AA295" s="15"/>
      <c r="AB295" s="99"/>
      <c r="AC295" s="71">
        <f ca="1">Table2[[#This Row],[End Date]]+2-TODAY()</f>
        <v>255</v>
      </c>
      <c r="AD295" s="15">
        <f>IF(ISBLANK(Table2[[#This Row],[Roster Received By]]),1,0)</f>
        <v>1</v>
      </c>
      <c r="AE295" s="15">
        <f ca="1">IF(Table2[[#This Row],[Start Date]]&gt;TODAY(),1,)</f>
        <v>1</v>
      </c>
      <c r="AF295" s="106"/>
    </row>
    <row r="296" spans="1:32" x14ac:dyDescent="0.25">
      <c r="A296" s="62"/>
      <c r="B296" s="116" t="s">
        <v>34</v>
      </c>
      <c r="C296" s="100" t="str">
        <f>VLOOKUP(Table2[[#This Row],[Course Title]],'TSD-Data'!$A$1:$E$56,2,FALSE)</f>
        <v>A-493-0216</v>
      </c>
      <c r="D296" s="100" t="str">
        <f>VLOOKUP(Table2[[#This Row],[Course Title]],'TSD-Data'!$A$1:$E$56,3,FALSE)</f>
        <v>12X8</v>
      </c>
      <c r="E296" s="99" t="s">
        <v>272</v>
      </c>
      <c r="F296" s="102">
        <v>45785</v>
      </c>
      <c r="G296" s="102">
        <v>45785</v>
      </c>
      <c r="H296" s="105">
        <v>0.33333333333333331</v>
      </c>
      <c r="I296" s="105"/>
      <c r="J296" s="105"/>
      <c r="K296" s="105"/>
      <c r="L296" s="105"/>
      <c r="M296" s="105"/>
      <c r="N296" s="105"/>
      <c r="O296" s="15" t="s">
        <v>94</v>
      </c>
      <c r="P296" s="15"/>
      <c r="Q296" s="15">
        <f>VLOOKUP(Table2[[#This Row],[Course Title]],'TSD-Data'!$A$1:$E$56,4,FALSE)</f>
        <v>30</v>
      </c>
      <c r="R296" s="15">
        <f>VLOOKUP(Table2[[#This Row],[Course Title]],'TSD-Data'!$A$1:$F$53,6,FALSE)</f>
        <v>8</v>
      </c>
      <c r="S296" s="15">
        <f>VLOOKUP(Table2[[#This Row],[Course Title]],'TSD-Data'!$A$1:$E$56,5,FALSE)</f>
        <v>1</v>
      </c>
      <c r="T296" s="15">
        <v>30</v>
      </c>
      <c r="U296" s="15"/>
      <c r="V296" s="15"/>
      <c r="W296" s="15"/>
      <c r="X296" s="103"/>
      <c r="Y296" s="15"/>
      <c r="Z296" s="15"/>
      <c r="AA296" s="100"/>
      <c r="AB296" s="99"/>
      <c r="AC296" s="71">
        <f ca="1">Table2[[#This Row],[End Date]]+2-TODAY()</f>
        <v>255</v>
      </c>
      <c r="AD296" s="15">
        <f>IF(ISBLANK(Table2[[#This Row],[Roster Received By]]),1,0)</f>
        <v>1</v>
      </c>
      <c r="AE296" s="15">
        <f ca="1">IF(Table2[[#This Row],[Start Date]]&gt;TODAY(),1,)</f>
        <v>1</v>
      </c>
      <c r="AF296" s="106"/>
    </row>
    <row r="297" spans="1:32" x14ac:dyDescent="0.25">
      <c r="A297" s="62"/>
      <c r="B297" s="116" t="s">
        <v>35</v>
      </c>
      <c r="C297" s="100" t="str">
        <f>VLOOKUP(Table2[[#This Row],[Course Title]],'TSD-Data'!$A$1:$E$56,2,FALSE)</f>
        <v>A-493-2501</v>
      </c>
      <c r="D297" s="100" t="str">
        <f>VLOOKUP(Table2[[#This Row],[Course Title]],'TSD-Data'!$A$1:$E$56,3,FALSE)</f>
        <v>05ZE</v>
      </c>
      <c r="E297" s="99" t="s">
        <v>272</v>
      </c>
      <c r="F297" s="102">
        <v>45786</v>
      </c>
      <c r="G297" s="102">
        <v>45786</v>
      </c>
      <c r="H297" s="105">
        <v>0.33333333333333331</v>
      </c>
      <c r="I297" s="105"/>
      <c r="J297" s="105"/>
      <c r="K297" s="105"/>
      <c r="L297" s="105"/>
      <c r="M297" s="105"/>
      <c r="N297" s="105"/>
      <c r="O297" s="15" t="s">
        <v>94</v>
      </c>
      <c r="P297" s="15"/>
      <c r="Q297" s="15">
        <f>VLOOKUP(Table2[[#This Row],[Course Title]],'TSD-Data'!$A$1:$E$56,4,FALSE)</f>
        <v>30</v>
      </c>
      <c r="R297" s="15">
        <f>VLOOKUP(Table2[[#This Row],[Course Title]],'TSD-Data'!$A$1:$F$53,6,FALSE)</f>
        <v>8</v>
      </c>
      <c r="S297" s="15">
        <f>VLOOKUP(Table2[[#This Row],[Course Title]],'TSD-Data'!$A$1:$E$56,5,FALSE)</f>
        <v>1</v>
      </c>
      <c r="T297" s="15">
        <v>30</v>
      </c>
      <c r="U297" s="15"/>
      <c r="V297" s="15"/>
      <c r="W297" s="15"/>
      <c r="X297" s="103"/>
      <c r="Y297" s="15"/>
      <c r="Z297" s="15"/>
      <c r="AA297" s="15"/>
      <c r="AB297" s="99"/>
      <c r="AC297" s="71">
        <f ca="1">Table2[[#This Row],[End Date]]+2-TODAY()</f>
        <v>256</v>
      </c>
      <c r="AD297" s="15">
        <f>IF(ISBLANK(Table2[[#This Row],[Roster Received By]]),1,0)</f>
        <v>1</v>
      </c>
      <c r="AE297" s="15">
        <f ca="1">IF(Table2[[#This Row],[Start Date]]&gt;TODAY(),1,)</f>
        <v>1</v>
      </c>
      <c r="AF297" s="106"/>
    </row>
    <row r="298" spans="1:32" x14ac:dyDescent="0.25">
      <c r="A298" s="62"/>
      <c r="B298" s="116" t="s">
        <v>15</v>
      </c>
      <c r="C298" s="100" t="str">
        <f>VLOOKUP(Table2[[#This Row],[Course Title]],'TSD-Data'!$A$1:$E$56,2,FALSE)</f>
        <v>A-4J-0022</v>
      </c>
      <c r="D298" s="100" t="str">
        <f>VLOOKUP(Table2[[#This Row],[Course Title]],'TSD-Data'!$A$1:$E$56,3,FALSE)</f>
        <v>09ER</v>
      </c>
      <c r="E298" s="99" t="s">
        <v>80</v>
      </c>
      <c r="F298" s="67">
        <v>45789</v>
      </c>
      <c r="G298" s="67">
        <v>45793</v>
      </c>
      <c r="H298" s="105"/>
      <c r="I298" s="105">
        <v>0.54166666666666663</v>
      </c>
      <c r="J298" s="101">
        <v>0.41666666666666669</v>
      </c>
      <c r="K298" s="101">
        <v>0.83333333333333337</v>
      </c>
      <c r="L298" s="101">
        <v>0.75</v>
      </c>
      <c r="M298" s="101">
        <v>0.29166666666666669</v>
      </c>
      <c r="N298" s="101">
        <v>8.3333333333333329E-2</v>
      </c>
      <c r="O298" s="15" t="s">
        <v>394</v>
      </c>
      <c r="P298" s="15"/>
      <c r="Q298" s="15">
        <f>VLOOKUP(Table2[[#This Row],[Course Title]],'TSD-Data'!$A$1:$E$56,4,FALSE)</f>
        <v>45</v>
      </c>
      <c r="R298" s="15">
        <f>VLOOKUP(Table2[[#This Row],[Course Title]],'TSD-Data'!$A$1:$F$53,6,FALSE)</f>
        <v>16</v>
      </c>
      <c r="S298" s="15">
        <f>VLOOKUP(Table2[[#This Row],[Course Title]],'TSD-Data'!$A$1:$E$56,5,FALSE)</f>
        <v>2</v>
      </c>
      <c r="T298" s="15"/>
      <c r="U298" s="15"/>
      <c r="V298" s="15"/>
      <c r="W298" s="15"/>
      <c r="X298" s="103"/>
      <c r="Y298" s="15"/>
      <c r="Z298" s="15"/>
      <c r="AA298" s="15"/>
      <c r="AB298" s="99"/>
      <c r="AC298" s="71">
        <f ca="1">Table2[[#This Row],[End Date]]+2-TODAY()</f>
        <v>263</v>
      </c>
      <c r="AD298" s="15">
        <f>IF(ISBLANK(Table2[[#This Row],[Roster Received By]]),1,0)</f>
        <v>1</v>
      </c>
      <c r="AE298" s="15">
        <f ca="1">IF(Table2[[#This Row],[Start Date]]&gt;TODAY(),1,)</f>
        <v>1</v>
      </c>
      <c r="AF298" s="106"/>
    </row>
    <row r="299" spans="1:32" x14ac:dyDescent="0.25">
      <c r="A299" s="62" t="s">
        <v>409</v>
      </c>
      <c r="B299" s="116" t="s">
        <v>56</v>
      </c>
      <c r="C299" s="100" t="str">
        <f>VLOOKUP(Table2[[#This Row],[Course Title]],'TSD-Data'!$A$1:$E$56,2,FALSE)</f>
        <v>A-493-0021</v>
      </c>
      <c r="D299" s="100" t="str">
        <f>VLOOKUP(Table2[[#This Row],[Course Title]],'TSD-Data'!$A$1:$E$56,3,FALSE)</f>
        <v>18BN</v>
      </c>
      <c r="E299" s="99" t="s">
        <v>183</v>
      </c>
      <c r="F299" s="102">
        <v>45789</v>
      </c>
      <c r="G299" s="102">
        <v>45793</v>
      </c>
      <c r="H299" s="105">
        <v>0.33333333333333331</v>
      </c>
      <c r="I299" s="105"/>
      <c r="J299" s="102"/>
      <c r="K299" s="102"/>
      <c r="L299" s="102"/>
      <c r="M299" s="102"/>
      <c r="N299" s="102"/>
      <c r="O299" s="15" t="s">
        <v>160</v>
      </c>
      <c r="P299" s="15"/>
      <c r="Q299" s="15">
        <f>VLOOKUP(Table2[[#This Row],[Course Title]],'TSD-Data'!$A$1:$E$56,4,FALSE)</f>
        <v>35</v>
      </c>
      <c r="R299" s="15">
        <f>VLOOKUP(Table2[[#This Row],[Course Title]],'TSD-Data'!$A$1:$F$53,6,FALSE)</f>
        <v>30</v>
      </c>
      <c r="S299" s="15">
        <f>VLOOKUP(Table2[[#This Row],[Course Title]],'TSD-Data'!$A$1:$E$56,5,FALSE)</f>
        <v>5</v>
      </c>
      <c r="T299" s="15">
        <v>11</v>
      </c>
      <c r="U299" s="15"/>
      <c r="V299" s="15"/>
      <c r="W299" s="103"/>
      <c r="X299" s="103"/>
      <c r="Y299" s="15"/>
      <c r="Z299" s="15"/>
      <c r="AA299" s="15"/>
      <c r="AB299" s="99"/>
      <c r="AC299" s="71">
        <f ca="1">Table2[[#This Row],[End Date]]+2-TODAY()</f>
        <v>263</v>
      </c>
      <c r="AD299" s="15">
        <f>IF(ISBLANK(Table2[[#This Row],[Roster Received By]]),1,0)</f>
        <v>1</v>
      </c>
      <c r="AE299" s="15">
        <f ca="1">IF(Table2[[#This Row],[Start Date]]&gt;TODAY(),1,)</f>
        <v>1</v>
      </c>
      <c r="AF299" s="106"/>
    </row>
    <row r="300" spans="1:32" x14ac:dyDescent="0.25">
      <c r="A300" s="62" t="s">
        <v>405</v>
      </c>
      <c r="B300" s="116" t="s">
        <v>28</v>
      </c>
      <c r="C300" s="100" t="str">
        <f>VLOOKUP(Table2[[#This Row],[Course Title]],'TSD-Data'!$A$1:$E$56,2,FALSE)</f>
        <v>A-493-0013</v>
      </c>
      <c r="D300" s="100">
        <f>VLOOKUP(Table2[[#This Row],[Course Title]],'TSD-Data'!$A$1:$E$56,3,FALSE)</f>
        <v>3683</v>
      </c>
      <c r="E300" s="65" t="s">
        <v>187</v>
      </c>
      <c r="F300" s="67">
        <v>45789</v>
      </c>
      <c r="G300" s="67">
        <v>45791</v>
      </c>
      <c r="H300" s="105">
        <v>0.33333333333333331</v>
      </c>
      <c r="I300" s="101"/>
      <c r="J300" s="102"/>
      <c r="K300" s="102"/>
      <c r="L300" s="102"/>
      <c r="M300" s="102"/>
      <c r="N300" s="102"/>
      <c r="O300" s="15" t="s">
        <v>94</v>
      </c>
      <c r="P300" s="15"/>
      <c r="Q300" s="15">
        <f>VLOOKUP(Table2[[#This Row],[Course Title]],'TSD-Data'!$A$1:$E$56,4,FALSE)</f>
        <v>40</v>
      </c>
      <c r="R300" s="15">
        <f>VLOOKUP(Table2[[#This Row],[Course Title]],'TSD-Data'!$A$1:$F$53,6,FALSE)</f>
        <v>24</v>
      </c>
      <c r="S300" s="15">
        <f>VLOOKUP(Table2[[#This Row],[Course Title]],'TSD-Data'!$A$1:$E$56,5,FALSE)</f>
        <v>3</v>
      </c>
      <c r="T300" s="15">
        <v>10</v>
      </c>
      <c r="U300" s="15"/>
      <c r="V300" s="15"/>
      <c r="W300" s="15"/>
      <c r="X300" s="103"/>
      <c r="Y300" s="15"/>
      <c r="Z300" s="15"/>
      <c r="AA300" s="15"/>
      <c r="AB300" s="99"/>
      <c r="AC300" s="71">
        <f ca="1">Table2[[#This Row],[End Date]]+2-TODAY()</f>
        <v>261</v>
      </c>
      <c r="AD300" s="15">
        <f>IF(ISBLANK(Table2[[#This Row],[Roster Received By]]),1,0)</f>
        <v>1</v>
      </c>
      <c r="AE300" s="15">
        <f ca="1">IF(Table2[[#This Row],[Start Date]]&gt;TODAY(),1,)</f>
        <v>1</v>
      </c>
      <c r="AF300" s="106"/>
    </row>
    <row r="301" spans="1:32" x14ac:dyDescent="0.25">
      <c r="A301" s="62"/>
      <c r="B301" s="116" t="s">
        <v>58</v>
      </c>
      <c r="C301" s="100" t="str">
        <f>VLOOKUP(Table2[[#This Row],[Course Title]],'TSD-Data'!$A$1:$E$56,2,FALSE)</f>
        <v xml:space="preserve">A-493-0075 </v>
      </c>
      <c r="D301" s="100" t="str">
        <f>VLOOKUP(Table2[[#This Row],[Course Title]],'TSD-Data'!$A$1:$E$56,3,FALSE)</f>
        <v>714U</v>
      </c>
      <c r="E301" s="99" t="s">
        <v>309</v>
      </c>
      <c r="F301" s="102">
        <v>45789</v>
      </c>
      <c r="G301" s="102">
        <v>45792</v>
      </c>
      <c r="H301" s="105">
        <v>0.33333333333333331</v>
      </c>
      <c r="I301" s="101"/>
      <c r="J301" s="101"/>
      <c r="K301" s="101"/>
      <c r="L301" s="101"/>
      <c r="M301" s="101"/>
      <c r="N301" s="101"/>
      <c r="O301" s="15" t="s">
        <v>160</v>
      </c>
      <c r="P301" s="15"/>
      <c r="Q301" s="15">
        <f>VLOOKUP(Table2[[#This Row],[Course Title]],'TSD-Data'!$A$1:$E$56,4,FALSE)</f>
        <v>30</v>
      </c>
      <c r="R301" s="15">
        <f>VLOOKUP(Table2[[#This Row],[Course Title]],'TSD-Data'!$A$1:$F$53,6,FALSE)</f>
        <v>32</v>
      </c>
      <c r="S301" s="15">
        <f>VLOOKUP(Table2[[#This Row],[Course Title]],'TSD-Data'!$A$1:$E$56,5,FALSE)</f>
        <v>4</v>
      </c>
      <c r="T301" s="15">
        <v>36</v>
      </c>
      <c r="U301" s="15"/>
      <c r="V301" s="15"/>
      <c r="W301" s="15"/>
      <c r="X301" s="103"/>
      <c r="Y301" s="15"/>
      <c r="Z301" s="15"/>
      <c r="AA301" s="15"/>
      <c r="AB301" s="99"/>
      <c r="AC301" s="71">
        <f ca="1">Table2[[#This Row],[End Date]]+2-TODAY()</f>
        <v>262</v>
      </c>
      <c r="AD301" s="15">
        <f>IF(ISBLANK(Table2[[#This Row],[Roster Received By]]),1,0)</f>
        <v>1</v>
      </c>
      <c r="AE301" s="15">
        <f ca="1">IF(Table2[[#This Row],[Start Date]]&gt;TODAY(),1,)</f>
        <v>1</v>
      </c>
      <c r="AF301" s="106"/>
    </row>
    <row r="302" spans="1:32" x14ac:dyDescent="0.25">
      <c r="A302" s="99"/>
      <c r="B302" s="116" t="s">
        <v>29</v>
      </c>
      <c r="C302" s="100" t="str">
        <f>VLOOKUP(Table2[[#This Row],[Course Title]],'TSD-Data'!$A$1:$E$56,2,FALSE)</f>
        <v>A-493-0077</v>
      </c>
      <c r="D302" s="100" t="str">
        <f>VLOOKUP(Table2[[#This Row],[Course Title]],'TSD-Data'!$A$1:$E$56,3,FALSE)</f>
        <v>0381</v>
      </c>
      <c r="E302" s="99" t="s">
        <v>267</v>
      </c>
      <c r="F302" s="102">
        <v>45789</v>
      </c>
      <c r="G302" s="102">
        <v>45791</v>
      </c>
      <c r="H302" s="105">
        <v>0.33333333333333331</v>
      </c>
      <c r="I302" s="105"/>
      <c r="J302" s="105"/>
      <c r="K302" s="105"/>
      <c r="L302" s="105"/>
      <c r="M302" s="105"/>
      <c r="N302" s="105"/>
      <c r="O302" s="15" t="s">
        <v>94</v>
      </c>
      <c r="P302" s="15"/>
      <c r="Q302" s="15">
        <f>VLOOKUP(Table2[[#This Row],[Course Title]],'TSD-Data'!$A$1:$E$56,4,FALSE)</f>
        <v>25</v>
      </c>
      <c r="R302" s="15">
        <f>VLOOKUP(Table2[[#This Row],[Course Title]],'TSD-Data'!$A$1:$F$53,6,FALSE)</f>
        <v>24</v>
      </c>
      <c r="S302" s="15">
        <f>VLOOKUP(Table2[[#This Row],[Course Title]],'TSD-Data'!$A$1:$E$56,5,FALSE)</f>
        <v>3</v>
      </c>
      <c r="T302" s="15">
        <v>139</v>
      </c>
      <c r="U302" s="15"/>
      <c r="V302" s="15"/>
      <c r="W302" s="15"/>
      <c r="X302" s="103"/>
      <c r="Y302" s="15"/>
      <c r="Z302" s="15"/>
      <c r="AA302" s="15"/>
      <c r="AB302" s="99"/>
      <c r="AC302" s="71">
        <f ca="1">Table2[[#This Row],[End Date]]+2-TODAY()</f>
        <v>261</v>
      </c>
      <c r="AD302" s="15">
        <f>IF(ISBLANK(Table2[[#This Row],[Roster Received By]]),1,0)</f>
        <v>1</v>
      </c>
      <c r="AE302" s="15">
        <f ca="1">IF(Table2[[#This Row],[Start Date]]&gt;TODAY(),1,)</f>
        <v>1</v>
      </c>
      <c r="AF302" s="106"/>
    </row>
    <row r="303" spans="1:32" x14ac:dyDescent="0.25">
      <c r="A303" s="62"/>
      <c r="B303" s="116" t="s">
        <v>59</v>
      </c>
      <c r="C303" s="100" t="str">
        <f>VLOOKUP(Table2[[#This Row],[Course Title]],'TSD-Data'!$A$1:$E$56,2,FALSE)</f>
        <v>A-493-0550</v>
      </c>
      <c r="D303" s="100" t="str">
        <f>VLOOKUP(Table2[[#This Row],[Course Title]],'TSD-Data'!$A$1:$E$56,3,FALSE)</f>
        <v>09K5</v>
      </c>
      <c r="E303" s="99" t="s">
        <v>80</v>
      </c>
      <c r="F303" s="102">
        <v>45789</v>
      </c>
      <c r="G303" s="102">
        <v>45792</v>
      </c>
      <c r="H303" s="102"/>
      <c r="I303" s="101">
        <v>0.33333333333333331</v>
      </c>
      <c r="J303" s="105">
        <v>0.20833333333333334</v>
      </c>
      <c r="K303" s="105">
        <v>0.625</v>
      </c>
      <c r="L303" s="105">
        <v>0.54166666666666663</v>
      </c>
      <c r="M303" s="105">
        <v>8.3333333333333329E-2</v>
      </c>
      <c r="N303" s="105">
        <v>0.875</v>
      </c>
      <c r="O303" s="15" t="s">
        <v>394</v>
      </c>
      <c r="P303" s="15"/>
      <c r="Q303" s="15">
        <f>VLOOKUP(Table2[[#This Row],[Course Title]],'TSD-Data'!$A$1:$E$56,4,FALSE)</f>
        <v>45</v>
      </c>
      <c r="R303" s="15">
        <f>VLOOKUP(Table2[[#This Row],[Course Title]],'TSD-Data'!$A$1:$F$53,6,FALSE)</f>
        <v>32</v>
      </c>
      <c r="S303" s="15">
        <f>VLOOKUP(Table2[[#This Row],[Course Title]],'TSD-Data'!$A$1:$E$56,5,FALSE)</f>
        <v>4</v>
      </c>
      <c r="T303" s="15"/>
      <c r="U303" s="15"/>
      <c r="V303" s="15"/>
      <c r="W303" s="15"/>
      <c r="X303" s="103"/>
      <c r="Y303" s="15"/>
      <c r="Z303" s="15"/>
      <c r="AA303" s="103"/>
      <c r="AB303" s="99"/>
      <c r="AC303" s="71">
        <f ca="1">Table2[[#This Row],[End Date]]+2-TODAY()</f>
        <v>262</v>
      </c>
      <c r="AD303" s="15">
        <f>IF(ISBLANK(Table2[[#This Row],[Roster Received By]]),1,0)</f>
        <v>1</v>
      </c>
      <c r="AE303" s="15">
        <f ca="1">IF(Table2[[#This Row],[Start Date]]&gt;TODAY(),1,)</f>
        <v>1</v>
      </c>
      <c r="AF303" s="106"/>
    </row>
    <row r="304" spans="1:32" x14ac:dyDescent="0.25">
      <c r="A304" s="100"/>
      <c r="B304" s="116" t="s">
        <v>54</v>
      </c>
      <c r="C304" s="100" t="str">
        <f>VLOOKUP(Table2[[#This Row],[Course Title]],'TSD-Data'!$A$1:$E$56,2,FALSE)</f>
        <v>F-4J-0023</v>
      </c>
      <c r="D304" s="100" t="str">
        <f>VLOOKUP(Table2[[#This Row],[Course Title]],'TSD-Data'!$A$1:$E$56,3,FALSE)</f>
        <v>11A2</v>
      </c>
      <c r="E304" s="99" t="s">
        <v>80</v>
      </c>
      <c r="F304" s="102">
        <v>45789</v>
      </c>
      <c r="G304" s="102">
        <v>45793</v>
      </c>
      <c r="H304" s="105"/>
      <c r="I304" s="105">
        <v>0.54166666666666663</v>
      </c>
      <c r="J304" s="101">
        <v>0.41666666666666669</v>
      </c>
      <c r="K304" s="101">
        <v>0.83333333333333337</v>
      </c>
      <c r="L304" s="101">
        <v>0.75</v>
      </c>
      <c r="M304" s="101">
        <v>0.29166666666666669</v>
      </c>
      <c r="N304" s="101">
        <v>8.3333333333333329E-2</v>
      </c>
      <c r="O304" s="15" t="s">
        <v>394</v>
      </c>
      <c r="P304" s="15"/>
      <c r="Q304" s="15">
        <f>VLOOKUP(Table2[[#This Row],[Course Title]],'TSD-Data'!$A$1:$E$56,4,FALSE)</f>
        <v>45</v>
      </c>
      <c r="R304" s="15">
        <f>VLOOKUP(Table2[[#This Row],[Course Title]],'TSD-Data'!$A$1:$F$53,6,FALSE)</f>
        <v>16</v>
      </c>
      <c r="S304" s="15">
        <f>VLOOKUP(Table2[[#This Row],[Course Title]],'TSD-Data'!$A$1:$E$56,5,FALSE)</f>
        <v>2</v>
      </c>
      <c r="T304" s="15"/>
      <c r="U304" s="15"/>
      <c r="V304" s="15"/>
      <c r="W304" s="104"/>
      <c r="X304" s="104"/>
      <c r="Y304" s="100"/>
      <c r="Z304" s="100"/>
      <c r="AA304" s="104"/>
      <c r="AB304" s="99"/>
      <c r="AC304" s="71">
        <f ca="1">Table2[[#This Row],[End Date]]+2-TODAY()</f>
        <v>263</v>
      </c>
      <c r="AD304" s="15">
        <f>IF(ISBLANK(Table2[[#This Row],[Roster Received By]]),1,0)</f>
        <v>1</v>
      </c>
      <c r="AE304" s="15">
        <f ca="1">IF(Table2[[#This Row],[Start Date]]&gt;TODAY(),1,)</f>
        <v>1</v>
      </c>
      <c r="AF304" s="106"/>
    </row>
    <row r="305" spans="1:32" x14ac:dyDescent="0.25">
      <c r="A305" s="62"/>
      <c r="B305" s="116" t="s">
        <v>53</v>
      </c>
      <c r="C305" s="100" t="str">
        <f>VLOOKUP(Table2[[#This Row],[Course Title]],'TSD-Data'!$A$1:$E$56,2,FALSE)</f>
        <v>A-493-0072</v>
      </c>
      <c r="D305" s="100" t="str">
        <f>VLOOKUP(Table2[[#This Row],[Course Title]],'TSD-Data'!$A$1:$E$56,3,FALSE)</f>
        <v>713U</v>
      </c>
      <c r="E305" s="99" t="s">
        <v>91</v>
      </c>
      <c r="F305" s="102">
        <v>45789</v>
      </c>
      <c r="G305" s="102">
        <v>45793</v>
      </c>
      <c r="H305" s="105">
        <v>0.33333333333333331</v>
      </c>
      <c r="I305" s="105"/>
      <c r="J305" s="105"/>
      <c r="K305" s="105"/>
      <c r="L305" s="105"/>
      <c r="M305" s="105"/>
      <c r="N305" s="102"/>
      <c r="O305" s="15" t="s">
        <v>394</v>
      </c>
      <c r="P305" s="15"/>
      <c r="Q305" s="15">
        <f>VLOOKUP(Table2[[#This Row],[Course Title]],'TSD-Data'!$A$1:$E$56,4,FALSE)</f>
        <v>30</v>
      </c>
      <c r="R305" s="15">
        <f>VLOOKUP(Table2[[#This Row],[Course Title]],'TSD-Data'!$A$1:$F$53,6,FALSE)</f>
        <v>40</v>
      </c>
      <c r="S305" s="15">
        <f>VLOOKUP(Table2[[#This Row],[Course Title]],'TSD-Data'!$A$1:$E$56,5,FALSE)</f>
        <v>5</v>
      </c>
      <c r="T305" s="15"/>
      <c r="U305" s="15"/>
      <c r="V305" s="15"/>
      <c r="W305" s="15"/>
      <c r="X305" s="103"/>
      <c r="Y305" s="15"/>
      <c r="Z305" s="15"/>
      <c r="AA305" s="15"/>
      <c r="AB305" s="99"/>
      <c r="AC305" s="71">
        <f ca="1">Table2[[#This Row],[End Date]]+2-TODAY()</f>
        <v>263</v>
      </c>
      <c r="AD305" s="15">
        <f>IF(ISBLANK(Table2[[#This Row],[Roster Received By]]),1,0)</f>
        <v>1</v>
      </c>
      <c r="AE305" s="15">
        <f ca="1">IF(Table2[[#This Row],[Start Date]]&gt;TODAY(),1,)</f>
        <v>1</v>
      </c>
      <c r="AF305" s="62"/>
    </row>
    <row r="306" spans="1:32" x14ac:dyDescent="0.25">
      <c r="A306" s="100"/>
      <c r="B306" s="116" t="s">
        <v>57</v>
      </c>
      <c r="C306" s="100" t="str">
        <f>VLOOKUP(Table2[[#This Row],[Course Title]],'TSD-Data'!$A$1:$E$56,2,FALSE)</f>
        <v>A-493-0099</v>
      </c>
      <c r="D306" s="100" t="str">
        <f>VLOOKUP(Table2[[#This Row],[Course Title]],'TSD-Data'!$A$1:$E$56,3,FALSE)</f>
        <v>12JW</v>
      </c>
      <c r="E306" s="99" t="s">
        <v>80</v>
      </c>
      <c r="F306" s="102">
        <v>45790</v>
      </c>
      <c r="G306" s="102">
        <v>45792</v>
      </c>
      <c r="H306" s="105"/>
      <c r="I306" s="105">
        <v>0.45833333333333331</v>
      </c>
      <c r="J306" s="105">
        <v>0.33333333333333331</v>
      </c>
      <c r="K306" s="105">
        <v>0.75</v>
      </c>
      <c r="L306" s="105">
        <v>0.66666666666666663</v>
      </c>
      <c r="M306" s="105">
        <v>0.20833333333333334</v>
      </c>
      <c r="N306" s="105">
        <v>0</v>
      </c>
      <c r="O306" s="15" t="s">
        <v>394</v>
      </c>
      <c r="P306" s="15"/>
      <c r="Q306" s="103">
        <f>VLOOKUP(Table2[[#This Row],[Course Title]],'TSD-Data'!$A$1:$E$56,4,FALSE)</f>
        <v>45</v>
      </c>
      <c r="R306" s="15">
        <f>VLOOKUP(Table2[[#This Row],[Course Title]],'TSD-Data'!$A$1:$F$53,6,FALSE)</f>
        <v>24</v>
      </c>
      <c r="S306" s="15">
        <f>VLOOKUP(Table2[[#This Row],[Course Title]],'TSD-Data'!$A$1:$E$56,5,FALSE)</f>
        <v>3</v>
      </c>
      <c r="T306" s="15"/>
      <c r="U306" s="15"/>
      <c r="V306" s="15"/>
      <c r="W306" s="104"/>
      <c r="X306" s="104"/>
      <c r="Y306" s="100"/>
      <c r="Z306" s="100"/>
      <c r="AA306" s="104"/>
      <c r="AB306" s="99"/>
      <c r="AC306" s="71">
        <f ca="1">Table2[[#This Row],[End Date]]+2-TODAY()</f>
        <v>262</v>
      </c>
      <c r="AD306" s="15">
        <f>IF(ISBLANK(Table2[[#This Row],[Roster Received By]]),1,0)</f>
        <v>1</v>
      </c>
      <c r="AE306" s="15">
        <f ca="1">IF(Table2[[#This Row],[Start Date]]&gt;TODAY(),1,)</f>
        <v>1</v>
      </c>
      <c r="AF306" s="62"/>
    </row>
    <row r="307" spans="1:32" x14ac:dyDescent="0.25">
      <c r="A307" s="62"/>
      <c r="B307" s="116" t="s">
        <v>50</v>
      </c>
      <c r="C307" s="100" t="str">
        <f>VLOOKUP(Table2[[#This Row],[Course Title]],'TSD-Data'!$A$1:$E$56,2,FALSE)</f>
        <v>A-493-0331</v>
      </c>
      <c r="D307" s="100" t="str">
        <f>VLOOKUP(Table2[[#This Row],[Course Title]],'TSD-Data'!$A$1:$E$56,3,FALSE)</f>
        <v>10UG</v>
      </c>
      <c r="E307" s="99" t="s">
        <v>80</v>
      </c>
      <c r="F307" s="102">
        <v>45790</v>
      </c>
      <c r="G307" s="102">
        <v>45792</v>
      </c>
      <c r="H307" s="102"/>
      <c r="I307" s="101">
        <v>0.5</v>
      </c>
      <c r="J307" s="101">
        <v>0.375</v>
      </c>
      <c r="K307" s="101">
        <v>0.79166666666666663</v>
      </c>
      <c r="L307" s="101">
        <v>0.75</v>
      </c>
      <c r="M307" s="101">
        <v>0.25</v>
      </c>
      <c r="N307" s="101">
        <v>4.1666666666666664E-2</v>
      </c>
      <c r="O307" s="15" t="s">
        <v>394</v>
      </c>
      <c r="P307" s="15"/>
      <c r="Q307" s="15">
        <f>VLOOKUP(Table2[[#This Row],[Course Title]],'TSD-Data'!$A$1:$E$56,4,FALSE)</f>
        <v>45</v>
      </c>
      <c r="R307" s="15">
        <f>VLOOKUP(Table2[[#This Row],[Course Title]],'TSD-Data'!$A$1:$F$53,6,FALSE)</f>
        <v>24</v>
      </c>
      <c r="S307" s="15">
        <f>VLOOKUP(Table2[[#This Row],[Course Title]],'TSD-Data'!$A$1:$E$56,5,FALSE)</f>
        <v>3</v>
      </c>
      <c r="T307" s="15"/>
      <c r="U307" s="15"/>
      <c r="V307" s="15"/>
      <c r="W307" s="15"/>
      <c r="X307" s="103"/>
      <c r="Y307" s="15"/>
      <c r="Z307" s="15"/>
      <c r="AA307" s="15"/>
      <c r="AB307" s="99"/>
      <c r="AC307" s="71">
        <f ca="1">Table2[[#This Row],[End Date]]+2-TODAY()</f>
        <v>262</v>
      </c>
      <c r="AD307" s="15">
        <f>IF(ISBLANK(Table2[[#This Row],[Roster Received By]]),1,0)</f>
        <v>1</v>
      </c>
      <c r="AE307" s="15">
        <f ca="1">IF(Table2[[#This Row],[Start Date]]&gt;TODAY(),1,)</f>
        <v>1</v>
      </c>
      <c r="AF307" s="62"/>
    </row>
    <row r="308" spans="1:32" x14ac:dyDescent="0.25">
      <c r="A308" s="62"/>
      <c r="B308" s="116" t="s">
        <v>31</v>
      </c>
      <c r="C308" s="100" t="str">
        <f>VLOOKUP(Table2[[#This Row],[Course Title]],'TSD-Data'!$A$1:$E$56,2,FALSE)</f>
        <v>A-493-0083</v>
      </c>
      <c r="D308" s="100" t="str">
        <f>VLOOKUP(Table2[[#This Row],[Course Title]],'TSD-Data'!$A$1:$E$56,3,FALSE)</f>
        <v>339E</v>
      </c>
      <c r="E308" s="99" t="s">
        <v>267</v>
      </c>
      <c r="F308" s="102">
        <v>45792</v>
      </c>
      <c r="G308" s="102">
        <v>45792</v>
      </c>
      <c r="H308" s="105">
        <v>0.33333333333333331</v>
      </c>
      <c r="I308" s="105"/>
      <c r="J308" s="105"/>
      <c r="K308" s="105"/>
      <c r="L308" s="105"/>
      <c r="M308" s="105"/>
      <c r="N308" s="105"/>
      <c r="O308" s="15" t="s">
        <v>94</v>
      </c>
      <c r="P308" s="15"/>
      <c r="Q308" s="15">
        <f>VLOOKUP(Table2[[#This Row],[Course Title]],'TSD-Data'!$A$1:$E$56,4,FALSE)</f>
        <v>30</v>
      </c>
      <c r="R308" s="15">
        <f>VLOOKUP(Table2[[#This Row],[Course Title]],'TSD-Data'!$A$1:$F$53,6,FALSE)</f>
        <v>8</v>
      </c>
      <c r="S308" s="15">
        <f>VLOOKUP(Table2[[#This Row],[Course Title]],'TSD-Data'!$A$1:$E$56,5,FALSE)</f>
        <v>1</v>
      </c>
      <c r="T308" s="15">
        <v>143</v>
      </c>
      <c r="U308" s="15"/>
      <c r="V308" s="15"/>
      <c r="W308" s="15"/>
      <c r="X308" s="103"/>
      <c r="Y308" s="15"/>
      <c r="Z308" s="15"/>
      <c r="AA308" s="15"/>
      <c r="AB308" s="99"/>
      <c r="AC308" s="71">
        <f ca="1">Table2[[#This Row],[End Date]]+2-TODAY()</f>
        <v>262</v>
      </c>
      <c r="AD308" s="15">
        <f>IF(ISBLANK(Table2[[#This Row],[Roster Received By]]),1,0)</f>
        <v>1</v>
      </c>
      <c r="AE308" s="15">
        <f ca="1">IF(Table2[[#This Row],[Start Date]]&gt;TODAY(),1,)</f>
        <v>1</v>
      </c>
      <c r="AF308" s="62"/>
    </row>
    <row r="309" spans="1:32" x14ac:dyDescent="0.25">
      <c r="A309" s="62"/>
      <c r="B309" s="116" t="s">
        <v>165</v>
      </c>
      <c r="C309" s="100" t="str">
        <f>VLOOKUP(Table2[[#This Row],[Course Title]],'TSD-Data'!$A$1:$E$56,2,FALSE)</f>
        <v>A-322-2604</v>
      </c>
      <c r="D309" s="100" t="str">
        <f>VLOOKUP(Table2[[#This Row],[Course Title]],'TSD-Data'!$A$1:$E$56,3,FALSE)</f>
        <v>10ZZ</v>
      </c>
      <c r="E309" s="99" t="s">
        <v>80</v>
      </c>
      <c r="F309" s="102">
        <v>45795</v>
      </c>
      <c r="G309" s="102">
        <v>45799</v>
      </c>
      <c r="H309" s="105"/>
      <c r="I309" s="105">
        <v>0.79166666666666663</v>
      </c>
      <c r="J309" s="101">
        <v>0.66666666666666663</v>
      </c>
      <c r="K309" s="101">
        <v>8.3333333333333329E-2</v>
      </c>
      <c r="L309" s="101">
        <v>0</v>
      </c>
      <c r="M309" s="101">
        <v>0.54166666666666663</v>
      </c>
      <c r="N309" s="101">
        <v>0.33333333333333331</v>
      </c>
      <c r="O309" s="15" t="s">
        <v>394</v>
      </c>
      <c r="P309" s="15"/>
      <c r="Q309" s="15">
        <f>VLOOKUP(Table2[[#This Row],[Course Title]],'TSD-Data'!$A$1:$E$56,4,FALSE)</f>
        <v>45</v>
      </c>
      <c r="R309" s="15">
        <f>VLOOKUP(Table2[[#This Row],[Course Title]],'TSD-Data'!$A$1:$F$53,6,FALSE)</f>
        <v>24</v>
      </c>
      <c r="S309" s="15">
        <f>VLOOKUP(Table2[[#This Row],[Course Title]],'TSD-Data'!$A$1:$E$56,5,FALSE)</f>
        <v>3</v>
      </c>
      <c r="T309" s="15"/>
      <c r="U309" s="15"/>
      <c r="V309" s="15"/>
      <c r="W309" s="103"/>
      <c r="X309" s="103"/>
      <c r="Y309" s="15"/>
      <c r="Z309" s="15"/>
      <c r="AA309" s="100"/>
      <c r="AB309" s="99"/>
      <c r="AC309" s="71">
        <f ca="1">Table2[[#This Row],[End Date]]+2-TODAY()</f>
        <v>269</v>
      </c>
      <c r="AD309" s="15">
        <f>IF(ISBLANK(Table2[[#This Row],[Roster Received By]]),1,0)</f>
        <v>1</v>
      </c>
      <c r="AE309" s="15">
        <f ca="1">IF(Table2[[#This Row],[Start Date]]&gt;TODAY(),1,)</f>
        <v>1</v>
      </c>
      <c r="AF309" s="62"/>
    </row>
    <row r="310" spans="1:32" x14ac:dyDescent="0.25">
      <c r="A310" s="62"/>
      <c r="B310" s="116" t="s">
        <v>37</v>
      </c>
      <c r="C310" s="100" t="str">
        <f>VLOOKUP(Table2[[#This Row],[Course Title]],'TSD-Data'!$A$1:$E$56,2,FALSE)</f>
        <v>A-493-0665</v>
      </c>
      <c r="D310" s="100" t="str">
        <f>VLOOKUP(Table2[[#This Row],[Course Title]],'TSD-Data'!$A$1:$E$56,3,FALSE)</f>
        <v>10KW</v>
      </c>
      <c r="E310" s="99" t="s">
        <v>80</v>
      </c>
      <c r="F310" s="102">
        <v>45796</v>
      </c>
      <c r="G310" s="102">
        <v>45800</v>
      </c>
      <c r="H310" s="105"/>
      <c r="I310" s="105">
        <v>0.33333333333333331</v>
      </c>
      <c r="J310" s="105">
        <v>0.20833333333333334</v>
      </c>
      <c r="K310" s="105">
        <v>0.625</v>
      </c>
      <c r="L310" s="105">
        <v>0.54166666666666663</v>
      </c>
      <c r="M310" s="105">
        <v>8.3333333333333329E-2</v>
      </c>
      <c r="N310" s="105">
        <v>0.875</v>
      </c>
      <c r="O310" s="15" t="s">
        <v>394</v>
      </c>
      <c r="P310" s="15"/>
      <c r="Q310" s="15">
        <f>VLOOKUP(Table2[[#This Row],[Course Title]],'TSD-Data'!$A$1:$E$56,4,FALSE)</f>
        <v>45</v>
      </c>
      <c r="R310" s="15">
        <f>VLOOKUP(Table2[[#This Row],[Course Title]],'TSD-Data'!$A$1:$F$53,6,FALSE)</f>
        <v>24</v>
      </c>
      <c r="S310" s="15">
        <f>VLOOKUP(Table2[[#This Row],[Course Title]],'TSD-Data'!$A$1:$E$56,5,FALSE)</f>
        <v>3</v>
      </c>
      <c r="T310" s="15"/>
      <c r="U310" s="15"/>
      <c r="V310" s="15"/>
      <c r="W310" s="103"/>
      <c r="X310" s="103"/>
      <c r="Y310" s="15"/>
      <c r="Z310" s="15"/>
      <c r="AA310" s="100"/>
      <c r="AB310" s="99"/>
      <c r="AC310" s="71">
        <f ca="1">Table2[[#This Row],[End Date]]+2-TODAY()</f>
        <v>270</v>
      </c>
      <c r="AD310" s="15">
        <f>IF(ISBLANK(Table2[[#This Row],[Roster Received By]]),1,0)</f>
        <v>1</v>
      </c>
      <c r="AE310" s="15">
        <f ca="1">IF(Table2[[#This Row],[Start Date]]&gt;TODAY(),1,)</f>
        <v>1</v>
      </c>
      <c r="AF310" s="62"/>
    </row>
    <row r="311" spans="1:32" x14ac:dyDescent="0.25">
      <c r="A311" s="62"/>
      <c r="B311" s="116" t="s">
        <v>17</v>
      </c>
      <c r="C311" s="100" t="str">
        <f>VLOOKUP(Table2[[#This Row],[Course Title]],'TSD-Data'!$A$1:$E$56,2,FALSE)</f>
        <v>A-493-0012</v>
      </c>
      <c r="D311" s="100">
        <f>VLOOKUP(Table2[[#This Row],[Course Title]],'TSD-Data'!$A$1:$E$56,3,FALSE)</f>
        <v>3682</v>
      </c>
      <c r="E311" s="65" t="s">
        <v>121</v>
      </c>
      <c r="F311" s="102">
        <v>45796</v>
      </c>
      <c r="G311" s="102">
        <v>45800</v>
      </c>
      <c r="H311" s="105">
        <v>0.33333333333333331</v>
      </c>
      <c r="I311" s="105"/>
      <c r="J311" s="102"/>
      <c r="K311" s="102"/>
      <c r="L311" s="102"/>
      <c r="M311" s="102"/>
      <c r="N311" s="102"/>
      <c r="O311" s="15" t="s">
        <v>94</v>
      </c>
      <c r="P311" s="15"/>
      <c r="Q311" s="15">
        <f>VLOOKUP(Table2[[#This Row],[Course Title]],'TSD-Data'!$A$1:$E$56,4,FALSE)</f>
        <v>40</v>
      </c>
      <c r="R311" s="15">
        <f>VLOOKUP(Table2[[#This Row],[Course Title]],'TSD-Data'!$A$1:$F$53,6,FALSE)</f>
        <v>40</v>
      </c>
      <c r="S311" s="15">
        <f>VLOOKUP(Table2[[#This Row],[Course Title]],'TSD-Data'!$A$1:$E$56,5,FALSE)</f>
        <v>5</v>
      </c>
      <c r="T311" s="15">
        <v>30</v>
      </c>
      <c r="U311" s="15"/>
      <c r="V311" s="15"/>
      <c r="W311" s="15"/>
      <c r="X311" s="103"/>
      <c r="Y311" s="15"/>
      <c r="Z311" s="15"/>
      <c r="AA311" s="100"/>
      <c r="AB311" s="99"/>
      <c r="AC311" s="71">
        <f ca="1">Table2[[#This Row],[End Date]]+2-TODAY()</f>
        <v>270</v>
      </c>
      <c r="AD311" s="15">
        <f>IF(ISBLANK(Table2[[#This Row],[Roster Received By]]),1,0)</f>
        <v>1</v>
      </c>
      <c r="AE311" s="15">
        <f ca="1">IF(Table2[[#This Row],[Start Date]]&gt;TODAY(),1,)</f>
        <v>1</v>
      </c>
      <c r="AF311" s="62"/>
    </row>
    <row r="312" spans="1:32" x14ac:dyDescent="0.25">
      <c r="A312" s="62"/>
      <c r="B312" s="116" t="s">
        <v>58</v>
      </c>
      <c r="C312" s="100" t="str">
        <f>VLOOKUP(Table2[[#This Row],[Course Title]],'TSD-Data'!$A$1:$E$56,2,FALSE)</f>
        <v xml:space="preserve">A-493-0075 </v>
      </c>
      <c r="D312" s="100" t="str">
        <f>VLOOKUP(Table2[[#This Row],[Course Title]],'TSD-Data'!$A$1:$E$56,3,FALSE)</f>
        <v>714U</v>
      </c>
      <c r="E312" s="99" t="s">
        <v>309</v>
      </c>
      <c r="F312" s="102">
        <v>45796</v>
      </c>
      <c r="G312" s="102">
        <v>45799</v>
      </c>
      <c r="H312" s="105">
        <v>0.33333333333333331</v>
      </c>
      <c r="I312" s="105"/>
      <c r="J312" s="105"/>
      <c r="K312" s="105"/>
      <c r="L312" s="105"/>
      <c r="M312" s="105"/>
      <c r="N312" s="102"/>
      <c r="O312" s="15" t="s">
        <v>160</v>
      </c>
      <c r="P312" s="15"/>
      <c r="Q312" s="15">
        <f>VLOOKUP(Table2[[#This Row],[Course Title]],'TSD-Data'!$A$1:$E$56,4,FALSE)</f>
        <v>30</v>
      </c>
      <c r="R312" s="15">
        <f>VLOOKUP(Table2[[#This Row],[Course Title]],'TSD-Data'!$A$1:$F$53,6,FALSE)</f>
        <v>32</v>
      </c>
      <c r="S312" s="15">
        <f>VLOOKUP(Table2[[#This Row],[Course Title]],'TSD-Data'!$A$1:$E$56,5,FALSE)</f>
        <v>4</v>
      </c>
      <c r="T312" s="15">
        <v>36</v>
      </c>
      <c r="U312" s="15"/>
      <c r="V312" s="15"/>
      <c r="W312" s="15"/>
      <c r="X312" s="103"/>
      <c r="Y312" s="15"/>
      <c r="Z312" s="15"/>
      <c r="AA312" s="15"/>
      <c r="AB312" s="99"/>
      <c r="AC312" s="71">
        <f ca="1">Table2[[#This Row],[End Date]]+2-TODAY()</f>
        <v>269</v>
      </c>
      <c r="AD312" s="15">
        <f>IF(ISBLANK(Table2[[#This Row],[Roster Received By]]),1,0)</f>
        <v>1</v>
      </c>
      <c r="AE312" s="15">
        <f ca="1">IF(Table2[[#This Row],[Start Date]]&gt;TODAY(),1,)</f>
        <v>1</v>
      </c>
      <c r="AF312" s="62"/>
    </row>
    <row r="313" spans="1:32" x14ac:dyDescent="0.25">
      <c r="A313" s="62"/>
      <c r="B313" s="116" t="s">
        <v>38</v>
      </c>
      <c r="C313" s="100" t="str">
        <f>VLOOKUP(Table2[[#This Row],[Course Title]],'TSD-Data'!$A$1:$E$56,2,FALSE)</f>
        <v>A-493-0061</v>
      </c>
      <c r="D313" s="100" t="str">
        <f>VLOOKUP(Table2[[#This Row],[Course Title]],'TSD-Data'!$A$1:$E$56,3,FALSE)</f>
        <v>288E</v>
      </c>
      <c r="E313" s="99" t="s">
        <v>80</v>
      </c>
      <c r="F313" s="102">
        <v>45796</v>
      </c>
      <c r="G313" s="102">
        <v>45799</v>
      </c>
      <c r="H313" s="105"/>
      <c r="I313" s="105">
        <v>0.54166666666666663</v>
      </c>
      <c r="J313" s="101">
        <v>0.41666666666666669</v>
      </c>
      <c r="K313" s="101">
        <v>0.83333333333333337</v>
      </c>
      <c r="L313" s="101">
        <v>0.75</v>
      </c>
      <c r="M313" s="101">
        <v>0.29166666666666669</v>
      </c>
      <c r="N313" s="101">
        <v>8.3333333333333329E-2</v>
      </c>
      <c r="O313" s="15" t="s">
        <v>394</v>
      </c>
      <c r="P313" s="15"/>
      <c r="Q313" s="103">
        <f>VLOOKUP(Table2[[#This Row],[Course Title]],'TSD-Data'!$A$1:$E$56,4,FALSE)</f>
        <v>45</v>
      </c>
      <c r="R313" s="15">
        <f>VLOOKUP(Table2[[#This Row],[Course Title]],'TSD-Data'!$A$1:$F$53,6,FALSE)</f>
        <v>30</v>
      </c>
      <c r="S313" s="15">
        <f>VLOOKUP(Table2[[#This Row],[Course Title]],'TSD-Data'!$A$1:$E$56,5,FALSE)</f>
        <v>4</v>
      </c>
      <c r="T313" s="15"/>
      <c r="U313" s="15"/>
      <c r="V313" s="15"/>
      <c r="W313" s="103"/>
      <c r="X313" s="103"/>
      <c r="Y313" s="15"/>
      <c r="Z313" s="15"/>
      <c r="AA313" s="100"/>
      <c r="AB313" s="99"/>
      <c r="AC313" s="71">
        <f ca="1">Table2[[#This Row],[End Date]]+2-TODAY()</f>
        <v>269</v>
      </c>
      <c r="AD313" s="15">
        <f>IF(ISBLANK(Table2[[#This Row],[Roster Received By]]),1,0)</f>
        <v>1</v>
      </c>
      <c r="AE313" s="15">
        <f ca="1">IF(Table2[[#This Row],[Start Date]]&gt;TODAY(),1,)</f>
        <v>1</v>
      </c>
      <c r="AF313" s="62"/>
    </row>
    <row r="314" spans="1:32" x14ac:dyDescent="0.25">
      <c r="A314" s="99"/>
      <c r="B314" s="116" t="s">
        <v>51</v>
      </c>
      <c r="C314" s="100" t="str">
        <f>VLOOKUP(Table2[[#This Row],[Course Title]],'TSD-Data'!$A$1:$E$56,2,FALSE)</f>
        <v>A-493-0335</v>
      </c>
      <c r="D314" s="100" t="str">
        <f>VLOOKUP(Table2[[#This Row],[Course Title]],'TSD-Data'!$A$1:$E$56,3,FALSE)</f>
        <v>09ND</v>
      </c>
      <c r="E314" s="99" t="s">
        <v>80</v>
      </c>
      <c r="F314" s="102">
        <v>45796</v>
      </c>
      <c r="G314" s="102">
        <v>45799</v>
      </c>
      <c r="H314" s="105"/>
      <c r="I314" s="101">
        <v>0.5</v>
      </c>
      <c r="J314" s="101">
        <v>0.375</v>
      </c>
      <c r="K314" s="101">
        <v>0.79166666666666663</v>
      </c>
      <c r="L314" s="101">
        <v>0.75</v>
      </c>
      <c r="M314" s="101">
        <v>0.25</v>
      </c>
      <c r="N314" s="101">
        <v>4.1666666666666664E-2</v>
      </c>
      <c r="O314" s="15" t="s">
        <v>394</v>
      </c>
      <c r="P314" s="15"/>
      <c r="Q314" s="15">
        <f>VLOOKUP(Table2[[#This Row],[Course Title]],'TSD-Data'!$A$1:$E$56,4,FALSE)</f>
        <v>45</v>
      </c>
      <c r="R314" s="15">
        <f>VLOOKUP(Table2[[#This Row],[Course Title]],'TSD-Data'!$A$1:$F$53,6,FALSE)</f>
        <v>32</v>
      </c>
      <c r="S314" s="15">
        <f>VLOOKUP(Table2[[#This Row],[Course Title]],'TSD-Data'!$A$1:$E$56,5,FALSE)</f>
        <v>4</v>
      </c>
      <c r="T314" s="15"/>
      <c r="U314" s="15"/>
      <c r="V314" s="15"/>
      <c r="W314" s="15"/>
      <c r="X314" s="103"/>
      <c r="Y314" s="15"/>
      <c r="Z314" s="15"/>
      <c r="AA314" s="15"/>
      <c r="AB314" s="99"/>
      <c r="AC314" s="71">
        <f ca="1">Table2[[#This Row],[End Date]]+2-TODAY()</f>
        <v>269</v>
      </c>
      <c r="AD314" s="15">
        <f>IF(ISBLANK(Table2[[#This Row],[Roster Received By]]),1,0)</f>
        <v>1</v>
      </c>
      <c r="AE314" s="15">
        <f ca="1">IF(Table2[[#This Row],[Start Date]]&gt;TODAY(),1,)</f>
        <v>1</v>
      </c>
      <c r="AF314" s="62"/>
    </row>
    <row r="315" spans="1:32" x14ac:dyDescent="0.25">
      <c r="A315" s="62"/>
      <c r="B315" s="116" t="s">
        <v>60</v>
      </c>
      <c r="C315" s="100" t="str">
        <f>VLOOKUP(Table2[[#This Row],[Course Title]],'TSD-Data'!$A$1:$E$56,2,FALSE)</f>
        <v>A-493-0073</v>
      </c>
      <c r="D315" s="100" t="str">
        <f>VLOOKUP(Table2[[#This Row],[Course Title]],'TSD-Data'!$A$1:$E$56,3,FALSE)</f>
        <v>714S</v>
      </c>
      <c r="E315" s="99" t="s">
        <v>80</v>
      </c>
      <c r="F315" s="102">
        <v>45796</v>
      </c>
      <c r="G315" s="102">
        <v>45799</v>
      </c>
      <c r="H315" s="102"/>
      <c r="I315" s="101">
        <v>0.33333333333333331</v>
      </c>
      <c r="J315" s="105">
        <v>0.20833333333333334</v>
      </c>
      <c r="K315" s="105">
        <v>0.625</v>
      </c>
      <c r="L315" s="105">
        <v>0.54166666666666663</v>
      </c>
      <c r="M315" s="105">
        <v>8.3333333333333329E-2</v>
      </c>
      <c r="N315" s="105">
        <v>0.875</v>
      </c>
      <c r="O315" s="15" t="s">
        <v>160</v>
      </c>
      <c r="P315" s="15"/>
      <c r="Q315" s="15">
        <f>VLOOKUP(Table2[[#This Row],[Course Title]],'TSD-Data'!$A$1:$E$56,4,FALSE)</f>
        <v>30</v>
      </c>
      <c r="R315" s="15">
        <f>VLOOKUP(Table2[[#This Row],[Course Title]],'TSD-Data'!$A$1:$F$53,6,FALSE)</f>
        <v>32</v>
      </c>
      <c r="S315" s="15">
        <f>VLOOKUP(Table2[[#This Row],[Course Title]],'TSD-Data'!$A$1:$E$56,5,FALSE)</f>
        <v>4</v>
      </c>
      <c r="T315" s="15">
        <v>284</v>
      </c>
      <c r="U315" s="15"/>
      <c r="V315" s="15"/>
      <c r="W315" s="15"/>
      <c r="X315" s="103"/>
      <c r="Y315" s="15"/>
      <c r="Z315" s="15"/>
      <c r="AA315" s="100"/>
      <c r="AB315" s="99"/>
      <c r="AC315" s="71">
        <f ca="1">Table2[[#This Row],[End Date]]+2-TODAY()</f>
        <v>269</v>
      </c>
      <c r="AD315" s="15">
        <f>IF(ISBLANK(Table2[[#This Row],[Roster Received By]]),1,0)</f>
        <v>1</v>
      </c>
      <c r="AE315" s="15">
        <f ca="1">IF(Table2[[#This Row],[Start Date]]&gt;TODAY(),1,)</f>
        <v>1</v>
      </c>
      <c r="AF315" s="62"/>
    </row>
    <row r="316" spans="1:32" x14ac:dyDescent="0.25">
      <c r="A316" s="62"/>
      <c r="B316" s="116" t="s">
        <v>61</v>
      </c>
      <c r="C316" s="100" t="str">
        <f>VLOOKUP(Table2[[#This Row],[Course Title]],'TSD-Data'!$A$1:$E$56,2,FALSE)</f>
        <v>A-493-0078</v>
      </c>
      <c r="D316" s="100">
        <f>VLOOKUP(Table2[[#This Row],[Course Title]],'TSD-Data'!$A$1:$E$56,3,FALSE)</f>
        <v>1228</v>
      </c>
      <c r="E316" s="99" t="s">
        <v>80</v>
      </c>
      <c r="F316" s="102">
        <v>45796</v>
      </c>
      <c r="G316" s="102">
        <v>45799</v>
      </c>
      <c r="H316" s="102"/>
      <c r="I316" s="101">
        <v>0.54166666666666663</v>
      </c>
      <c r="J316" s="101">
        <v>0.41666666666666669</v>
      </c>
      <c r="K316" s="101">
        <v>0.83333333333333337</v>
      </c>
      <c r="L316" s="101">
        <v>0.75</v>
      </c>
      <c r="M316" s="101">
        <v>0.29166666666666669</v>
      </c>
      <c r="N316" s="101">
        <v>8.3333333333333329E-2</v>
      </c>
      <c r="O316" s="15" t="s">
        <v>394</v>
      </c>
      <c r="P316" s="15"/>
      <c r="Q316" s="15">
        <f>VLOOKUP(Table2[[#This Row],[Course Title]],'TSD-Data'!$A$1:$E$56,4,FALSE)</f>
        <v>45</v>
      </c>
      <c r="R316" s="15">
        <f>VLOOKUP(Table2[[#This Row],[Course Title]],'TSD-Data'!$A$1:$F$53,6,FALSE)</f>
        <v>32</v>
      </c>
      <c r="S316" s="15">
        <f>VLOOKUP(Table2[[#This Row],[Course Title]],'TSD-Data'!$A$1:$E$56,5,FALSE)</f>
        <v>4</v>
      </c>
      <c r="T316" s="15"/>
      <c r="U316" s="15"/>
      <c r="V316" s="15"/>
      <c r="W316" s="15"/>
      <c r="X316" s="103"/>
      <c r="Y316" s="15"/>
      <c r="Z316" s="15"/>
      <c r="AA316" s="15"/>
      <c r="AB316" s="99"/>
      <c r="AC316" s="71">
        <f ca="1">Table2[[#This Row],[End Date]]+2-TODAY()</f>
        <v>269</v>
      </c>
      <c r="AD316" s="15">
        <f>IF(ISBLANK(Table2[[#This Row],[Roster Received By]]),1,0)</f>
        <v>1</v>
      </c>
      <c r="AE316" s="15">
        <f ca="1">IF(Table2[[#This Row],[Start Date]]&gt;TODAY(),1,)</f>
        <v>1</v>
      </c>
      <c r="AF316" s="62"/>
    </row>
    <row r="317" spans="1:32" x14ac:dyDescent="0.25">
      <c r="A317" s="100"/>
      <c r="B317" s="116" t="s">
        <v>39</v>
      </c>
      <c r="C317" s="100" t="str">
        <f>VLOOKUP(Table2[[#This Row],[Course Title]],'TSD-Data'!$A$1:$E$56,2,FALSE)</f>
        <v>A-570-0100</v>
      </c>
      <c r="D317" s="100" t="str">
        <f>VLOOKUP(Table2[[#This Row],[Course Title]],'TSD-Data'!$A$1:$E$56,3,FALSE)</f>
        <v>18B7</v>
      </c>
      <c r="E317" s="99" t="s">
        <v>80</v>
      </c>
      <c r="F317" s="102">
        <v>45796</v>
      </c>
      <c r="G317" s="102">
        <v>45799</v>
      </c>
      <c r="H317" s="105"/>
      <c r="I317" s="105">
        <v>0.33333333333333331</v>
      </c>
      <c r="J317" s="105">
        <v>0.20833333333333334</v>
      </c>
      <c r="K317" s="105">
        <v>0.625</v>
      </c>
      <c r="L317" s="105">
        <v>0.54166666666666663</v>
      </c>
      <c r="M317" s="105">
        <v>8.3333333333333329E-2</v>
      </c>
      <c r="N317" s="105">
        <v>0.875</v>
      </c>
      <c r="O317" s="15" t="s">
        <v>394</v>
      </c>
      <c r="P317" s="15"/>
      <c r="Q317" s="15">
        <f>VLOOKUP(Table2[[#This Row],[Course Title]],'TSD-Data'!$A$1:$E$56,4,FALSE)</f>
        <v>45</v>
      </c>
      <c r="R317" s="15">
        <f>VLOOKUP(Table2[[#This Row],[Course Title]],'TSD-Data'!$A$1:$F$53,6,FALSE)</f>
        <v>16</v>
      </c>
      <c r="S317" s="15">
        <f>VLOOKUP(Table2[[#This Row],[Course Title]],'TSD-Data'!$A$1:$E$56,5,FALSE)</f>
        <v>2</v>
      </c>
      <c r="T317" s="15"/>
      <c r="U317" s="15"/>
      <c r="V317" s="15"/>
      <c r="W317" s="104"/>
      <c r="X317" s="104"/>
      <c r="Y317" s="100"/>
      <c r="Z317" s="100"/>
      <c r="AA317" s="104"/>
      <c r="AB317" s="99"/>
      <c r="AC317" s="71">
        <f ca="1">Table2[[#This Row],[End Date]]+2-TODAY()</f>
        <v>269</v>
      </c>
      <c r="AD317" s="15">
        <f>IF(ISBLANK(Table2[[#This Row],[Roster Received By]]),1,0)</f>
        <v>1</v>
      </c>
      <c r="AE317" s="15">
        <f ca="1">IF(Table2[[#This Row],[Start Date]]&gt;TODAY(),1,)</f>
        <v>1</v>
      </c>
      <c r="AF317" s="62"/>
    </row>
    <row r="318" spans="1:32" x14ac:dyDescent="0.25">
      <c r="A318" s="62"/>
      <c r="B318" s="116" t="s">
        <v>53</v>
      </c>
      <c r="C318" s="100" t="str">
        <f>VLOOKUP(Table2[[#This Row],[Course Title]],'TSD-Data'!$A$1:$E$56,2,FALSE)</f>
        <v>A-493-0072</v>
      </c>
      <c r="D318" s="100" t="str">
        <f>VLOOKUP(Table2[[#This Row],[Course Title]],'TSD-Data'!$A$1:$E$56,3,FALSE)</f>
        <v>713U</v>
      </c>
      <c r="E318" s="65" t="s">
        <v>202</v>
      </c>
      <c r="F318" s="67">
        <v>45796</v>
      </c>
      <c r="G318" s="67">
        <v>45800</v>
      </c>
      <c r="H318" s="105">
        <v>0.33333333333333331</v>
      </c>
      <c r="I318" s="101"/>
      <c r="J318" s="102"/>
      <c r="K318" s="102"/>
      <c r="L318" s="102"/>
      <c r="M318" s="102"/>
      <c r="N318" s="102"/>
      <c r="O318" s="15" t="s">
        <v>394</v>
      </c>
      <c r="P318" s="15"/>
      <c r="Q318" s="15">
        <f>VLOOKUP(Table2[[#This Row],[Course Title]],'TSD-Data'!$A$1:$E$56,4,FALSE)</f>
        <v>30</v>
      </c>
      <c r="R318" s="15">
        <f>VLOOKUP(Table2[[#This Row],[Course Title]],'TSD-Data'!$A$1:$F$53,6,FALSE)</f>
        <v>40</v>
      </c>
      <c r="S318" s="15">
        <f>VLOOKUP(Table2[[#This Row],[Course Title]],'TSD-Data'!$A$1:$E$56,5,FALSE)</f>
        <v>5</v>
      </c>
      <c r="T318" s="15"/>
      <c r="U318" s="15"/>
      <c r="V318" s="15"/>
      <c r="W318" s="15"/>
      <c r="X318" s="103"/>
      <c r="Y318" s="15"/>
      <c r="Z318" s="15"/>
      <c r="AA318" s="15"/>
      <c r="AB318" s="99"/>
      <c r="AC318" s="71">
        <f ca="1">Table2[[#This Row],[End Date]]+2-TODAY()</f>
        <v>270</v>
      </c>
      <c r="AD318" s="15">
        <f>IF(ISBLANK(Table2[[#This Row],[Roster Received By]]),1,0)</f>
        <v>1</v>
      </c>
      <c r="AE318" s="15">
        <f ca="1">IF(Table2[[#This Row],[Start Date]]&gt;TODAY(),1,)</f>
        <v>1</v>
      </c>
      <c r="AF318" s="62"/>
    </row>
    <row r="319" spans="1:32" x14ac:dyDescent="0.25">
      <c r="A319" s="62" t="s">
        <v>410</v>
      </c>
      <c r="B319" s="116" t="s">
        <v>258</v>
      </c>
      <c r="C319" s="100" t="str">
        <f>VLOOKUP(Table2[[#This Row],[Course Title]],'TSD-Data'!$A$1:$E$56,2,FALSE)</f>
        <v>Holiday</v>
      </c>
      <c r="D319" s="100" t="str">
        <f>VLOOKUP(Table2[[#This Row],[Course Title]],'TSD-Data'!$A$1:$E$56,3,FALSE)</f>
        <v>Holiday</v>
      </c>
      <c r="E319" s="65"/>
      <c r="F319" s="102">
        <v>45803</v>
      </c>
      <c r="G319" s="102">
        <v>45803</v>
      </c>
      <c r="H319" s="108"/>
      <c r="I319" s="108"/>
      <c r="J319" s="102"/>
      <c r="K319" s="102"/>
      <c r="L319" s="102"/>
      <c r="M319" s="102"/>
      <c r="N319" s="102"/>
      <c r="O319" s="15"/>
      <c r="P319" s="15"/>
      <c r="Q319" s="15">
        <f>VLOOKUP(Table2[[#This Row],[Course Title]],'TSD-Data'!$A$1:$E$56,4,FALSE)</f>
        <v>0</v>
      </c>
      <c r="R319" s="15">
        <f>VLOOKUP(Table2[[#This Row],[Course Title]],'TSD-Data'!$A$1:$F$53,6,FALSE)</f>
        <v>0</v>
      </c>
      <c r="S319" s="15">
        <f>VLOOKUP(Table2[[#This Row],[Course Title]],'TSD-Data'!$A$1:$E$56,5,FALSE)</f>
        <v>0</v>
      </c>
      <c r="T319" s="15">
        <v>0</v>
      </c>
      <c r="U319" s="15"/>
      <c r="V319" s="15"/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99" t="s">
        <v>100</v>
      </c>
      <c r="AC319" s="71">
        <f ca="1">Table2[[#This Row],[End Date]]+2-TODAY()</f>
        <v>273</v>
      </c>
      <c r="AD319" s="15">
        <f>IF(ISBLANK(Table2[[#This Row],[Roster Received By]]),1,0)</f>
        <v>0</v>
      </c>
      <c r="AE319" s="15">
        <f ca="1">IF(Table2[[#This Row],[Start Date]]&gt;TODAY(),1,)</f>
        <v>1</v>
      </c>
      <c r="AF319" s="62"/>
    </row>
    <row r="320" spans="1:32" x14ac:dyDescent="0.25">
      <c r="A320" s="62"/>
      <c r="B320" s="116" t="s">
        <v>57</v>
      </c>
      <c r="C320" s="100" t="str">
        <f>VLOOKUP(Table2[[#This Row],[Course Title]],'TSD-Data'!$A$1:$E$56,2,FALSE)</f>
        <v>A-493-0099</v>
      </c>
      <c r="D320" s="100" t="str">
        <f>VLOOKUP(Table2[[#This Row],[Course Title]],'TSD-Data'!$A$1:$E$56,3,FALSE)</f>
        <v>12JW</v>
      </c>
      <c r="E320" s="99" t="s">
        <v>80</v>
      </c>
      <c r="F320" s="102">
        <v>45804</v>
      </c>
      <c r="G320" s="102">
        <v>45806</v>
      </c>
      <c r="H320" s="108"/>
      <c r="I320" s="105">
        <v>0.54166666666666663</v>
      </c>
      <c r="J320" s="101">
        <v>0.41666666666666669</v>
      </c>
      <c r="K320" s="101">
        <v>0.83333333333333337</v>
      </c>
      <c r="L320" s="101">
        <v>0.75</v>
      </c>
      <c r="M320" s="101">
        <v>0.29166666666666669</v>
      </c>
      <c r="N320" s="101">
        <v>8.3333333333333329E-2</v>
      </c>
      <c r="O320" s="15" t="s">
        <v>394</v>
      </c>
      <c r="P320" s="15"/>
      <c r="Q320" s="103">
        <f>VLOOKUP(Table2[[#This Row],[Course Title]],'TSD-Data'!$A$1:$E$56,4,FALSE)</f>
        <v>45</v>
      </c>
      <c r="R320" s="15">
        <f>VLOOKUP(Table2[[#This Row],[Course Title]],'TSD-Data'!$A$1:$F$53,6,FALSE)</f>
        <v>24</v>
      </c>
      <c r="S320" s="15">
        <f>VLOOKUP(Table2[[#This Row],[Course Title]],'TSD-Data'!$A$1:$E$56,5,FALSE)</f>
        <v>3</v>
      </c>
      <c r="T320" s="15"/>
      <c r="U320" s="15"/>
      <c r="V320" s="15"/>
      <c r="W320" s="103"/>
      <c r="X320" s="103"/>
      <c r="Y320" s="15"/>
      <c r="Z320" s="15"/>
      <c r="AA320" s="15"/>
      <c r="AB320" s="99"/>
      <c r="AC320" s="71">
        <f ca="1">Table2[[#This Row],[End Date]]+2-TODAY()</f>
        <v>276</v>
      </c>
      <c r="AD320" s="15">
        <f>IF(ISBLANK(Table2[[#This Row],[Roster Received By]]),1,0)</f>
        <v>1</v>
      </c>
      <c r="AE320" s="15">
        <f ca="1">IF(Table2[[#This Row],[Start Date]]&gt;TODAY(),1,)</f>
        <v>1</v>
      </c>
      <c r="AF320" s="62"/>
    </row>
    <row r="321" spans="1:32" x14ac:dyDescent="0.25">
      <c r="A321" s="62"/>
      <c r="B321" s="117" t="s">
        <v>49</v>
      </c>
      <c r="C321" s="100" t="str">
        <f>VLOOKUP(Table2[[#This Row],[Course Title]],'TSD-Data'!$A$1:$E$56,2,FALSE)</f>
        <v>A-493-0092</v>
      </c>
      <c r="D321" s="100">
        <f>VLOOKUP(Table2[[#This Row],[Course Title]],'TSD-Data'!$A$1:$E$56,3,FALSE)</f>
        <v>5891</v>
      </c>
      <c r="E321" s="99" t="s">
        <v>176</v>
      </c>
      <c r="F321" s="102">
        <v>45804</v>
      </c>
      <c r="G321" s="102">
        <v>45806</v>
      </c>
      <c r="H321" s="105">
        <v>0.33333333333333331</v>
      </c>
      <c r="I321" s="105"/>
      <c r="J321" s="105"/>
      <c r="K321" s="105"/>
      <c r="L321" s="105"/>
      <c r="M321" s="105"/>
      <c r="N321" s="105"/>
      <c r="O321" s="15" t="s">
        <v>394</v>
      </c>
      <c r="P321" s="15"/>
      <c r="Q321" s="15">
        <f>VLOOKUP(Table2[[#This Row],[Course Title]],'TSD-Data'!$A$1:$E$56,4,FALSE)</f>
        <v>25</v>
      </c>
      <c r="R321" s="15">
        <f>VLOOKUP(Table2[[#This Row],[Course Title]],'TSD-Data'!$A$1:$F$53,6,FALSE)</f>
        <v>24</v>
      </c>
      <c r="S321" s="15">
        <f>VLOOKUP(Table2[[#This Row],[Course Title]],'TSD-Data'!$A$1:$E$56,5,FALSE)</f>
        <v>3</v>
      </c>
      <c r="T321" s="15"/>
      <c r="U321" s="15"/>
      <c r="V321" s="15"/>
      <c r="W321" s="15"/>
      <c r="X321" s="103"/>
      <c r="Y321" s="15"/>
      <c r="Z321" s="15"/>
      <c r="AA321" s="15"/>
      <c r="AB321" s="99"/>
      <c r="AC321" s="71">
        <f ca="1">Table2[[#This Row],[End Date]]+2-TODAY()</f>
        <v>276</v>
      </c>
      <c r="AD321" s="15">
        <f>IF(ISBLANK(Table2[[#This Row],[Roster Received By]]),1,0)</f>
        <v>1</v>
      </c>
      <c r="AE321" s="15">
        <f ca="1">IF(Table2[[#This Row],[Start Date]]&gt;TODAY(),1,)</f>
        <v>1</v>
      </c>
      <c r="AF321" s="62"/>
    </row>
    <row r="322" spans="1:32" x14ac:dyDescent="0.25">
      <c r="A322" s="62"/>
      <c r="B322" s="117" t="s">
        <v>50</v>
      </c>
      <c r="C322" s="100" t="str">
        <f>VLOOKUP(Table2[[#This Row],[Course Title]],'TSD-Data'!$A$1:$E$56,2,FALSE)</f>
        <v>A-493-0331</v>
      </c>
      <c r="D322" s="100" t="str">
        <f>VLOOKUP(Table2[[#This Row],[Course Title]],'TSD-Data'!$A$1:$E$56,3,FALSE)</f>
        <v>10UG</v>
      </c>
      <c r="E322" s="99" t="s">
        <v>80</v>
      </c>
      <c r="F322" s="102">
        <v>45804</v>
      </c>
      <c r="G322" s="102">
        <v>45806</v>
      </c>
      <c r="H322" s="105"/>
      <c r="I322" s="101">
        <v>0.5</v>
      </c>
      <c r="J322" s="101">
        <v>0.375</v>
      </c>
      <c r="K322" s="101">
        <v>0.79166666666666663</v>
      </c>
      <c r="L322" s="101">
        <v>0.75</v>
      </c>
      <c r="M322" s="101">
        <v>0.25</v>
      </c>
      <c r="N322" s="101">
        <v>4.1666666666666664E-2</v>
      </c>
      <c r="O322" s="15" t="s">
        <v>394</v>
      </c>
      <c r="P322" s="15"/>
      <c r="Q322" s="15">
        <f>VLOOKUP(Table2[[#This Row],[Course Title]],'TSD-Data'!$A$1:$E$56,4,FALSE)</f>
        <v>45</v>
      </c>
      <c r="R322" s="15">
        <f>VLOOKUP(Table2[[#This Row],[Course Title]],'TSD-Data'!$A$1:$F$53,6,FALSE)</f>
        <v>24</v>
      </c>
      <c r="S322" s="15">
        <f>VLOOKUP(Table2[[#This Row],[Course Title]],'TSD-Data'!$A$1:$E$56,5,FALSE)</f>
        <v>3</v>
      </c>
      <c r="T322" s="15"/>
      <c r="U322" s="15"/>
      <c r="V322" s="15"/>
      <c r="W322" s="15"/>
      <c r="X322" s="103"/>
      <c r="Y322" s="15"/>
      <c r="Z322" s="15"/>
      <c r="AA322" s="15"/>
      <c r="AB322" s="99"/>
      <c r="AC322" s="71">
        <f ca="1">Table2[[#This Row],[End Date]]+2-TODAY()</f>
        <v>276</v>
      </c>
      <c r="AD322" s="15">
        <f>IF(ISBLANK(Table2[[#This Row],[Roster Received By]]),1,0)</f>
        <v>1</v>
      </c>
      <c r="AE322" s="15">
        <f ca="1">IF(Table2[[#This Row],[Start Date]]&gt;TODAY(),1,)</f>
        <v>1</v>
      </c>
      <c r="AF322" s="62"/>
    </row>
    <row r="323" spans="1:32" x14ac:dyDescent="0.25">
      <c r="A323" s="62"/>
      <c r="B323" s="117" t="s">
        <v>59</v>
      </c>
      <c r="C323" s="100" t="str">
        <f>VLOOKUP(Table2[[#This Row],[Course Title]],'TSD-Data'!$A$1:$E$56,2,FALSE)</f>
        <v>A-493-0550</v>
      </c>
      <c r="D323" s="100" t="str">
        <f>VLOOKUP(Table2[[#This Row],[Course Title]],'TSD-Data'!$A$1:$E$56,3,FALSE)</f>
        <v>09K5</v>
      </c>
      <c r="E323" s="99" t="s">
        <v>80</v>
      </c>
      <c r="F323" s="67">
        <v>45804</v>
      </c>
      <c r="G323" s="102">
        <v>45807</v>
      </c>
      <c r="H323" s="102"/>
      <c r="I323" s="105">
        <v>0.54166666666666663</v>
      </c>
      <c r="J323" s="101">
        <v>0.41666666666666669</v>
      </c>
      <c r="K323" s="101">
        <v>0.83333333333333337</v>
      </c>
      <c r="L323" s="101">
        <v>0.75</v>
      </c>
      <c r="M323" s="101">
        <v>0.29166666666666669</v>
      </c>
      <c r="N323" s="101">
        <v>8.3333333333333329E-2</v>
      </c>
      <c r="O323" s="15" t="s">
        <v>394</v>
      </c>
      <c r="P323" s="15"/>
      <c r="Q323" s="15">
        <f>VLOOKUP(Table2[[#This Row],[Course Title]],'TSD-Data'!$A$1:$E$56,4,FALSE)</f>
        <v>45</v>
      </c>
      <c r="R323" s="15">
        <f>VLOOKUP(Table2[[#This Row],[Course Title]],'TSD-Data'!$A$1:$F$53,6,FALSE)</f>
        <v>32</v>
      </c>
      <c r="S323" s="15">
        <f>VLOOKUP(Table2[[#This Row],[Course Title]],'TSD-Data'!$A$1:$E$56,5,FALSE)</f>
        <v>4</v>
      </c>
      <c r="T323" s="15"/>
      <c r="U323" s="15"/>
      <c r="V323" s="15"/>
      <c r="W323" s="15"/>
      <c r="X323" s="103"/>
      <c r="Y323" s="15"/>
      <c r="Z323" s="15"/>
      <c r="AA323" s="15"/>
      <c r="AB323" s="99"/>
      <c r="AC323" s="71">
        <f ca="1">Table2[[#This Row],[End Date]]+2-TODAY()</f>
        <v>277</v>
      </c>
      <c r="AD323" s="15">
        <f>IF(ISBLANK(Table2[[#This Row],[Roster Received By]]),1,0)</f>
        <v>1</v>
      </c>
      <c r="AE323" s="15">
        <f ca="1">IF(Table2[[#This Row],[Start Date]]&gt;TODAY(),1,)</f>
        <v>1</v>
      </c>
      <c r="AF323" s="62"/>
    </row>
    <row r="324" spans="1:32" x14ac:dyDescent="0.25">
      <c r="A324" s="62"/>
      <c r="B324" s="117" t="s">
        <v>52</v>
      </c>
      <c r="C324" s="100" t="str">
        <f>VLOOKUP(Table2[[#This Row],[Course Title]],'TSD-Data'!$A$1:$E$56,2,FALSE)</f>
        <v>A-493-0085</v>
      </c>
      <c r="D324" s="100">
        <f>VLOOKUP(Table2[[#This Row],[Course Title]],'TSD-Data'!$A$1:$E$56,3,FALSE)</f>
        <v>3555</v>
      </c>
      <c r="E324" s="99" t="s">
        <v>80</v>
      </c>
      <c r="F324" s="102">
        <v>45804</v>
      </c>
      <c r="G324" s="102">
        <v>45807</v>
      </c>
      <c r="H324" s="108"/>
      <c r="I324" s="101">
        <v>0.5</v>
      </c>
      <c r="J324" s="101">
        <v>0.375</v>
      </c>
      <c r="K324" s="101">
        <v>0.79166666666666663</v>
      </c>
      <c r="L324" s="101">
        <v>0.75</v>
      </c>
      <c r="M324" s="101">
        <v>0.25</v>
      </c>
      <c r="N324" s="101">
        <v>4.1666666666666664E-2</v>
      </c>
      <c r="O324" s="15" t="s">
        <v>394</v>
      </c>
      <c r="P324" s="15"/>
      <c r="Q324" s="15">
        <f>VLOOKUP(Table2[[#This Row],[Course Title]],'TSD-Data'!$A$1:$E$56,4,FALSE)</f>
        <v>45</v>
      </c>
      <c r="R324" s="15">
        <f>VLOOKUP(Table2[[#This Row],[Course Title]],'TSD-Data'!$A$1:$F$53,6,FALSE)</f>
        <v>32</v>
      </c>
      <c r="S324" s="15">
        <f>VLOOKUP(Table2[[#This Row],[Course Title]],'TSD-Data'!$A$1:$E$56,5,FALSE)</f>
        <v>4</v>
      </c>
      <c r="T324" s="15"/>
      <c r="U324" s="15"/>
      <c r="V324" s="15"/>
      <c r="W324" s="15"/>
      <c r="X324" s="103"/>
      <c r="Y324" s="15"/>
      <c r="Z324" s="15"/>
      <c r="AA324" s="15"/>
      <c r="AB324" s="99"/>
      <c r="AC324" s="71">
        <f ca="1">Table2[[#This Row],[End Date]]+2-TODAY()</f>
        <v>277</v>
      </c>
      <c r="AD324" s="15">
        <f>IF(ISBLANK(Table2[[#This Row],[Roster Received By]]),1,0)</f>
        <v>1</v>
      </c>
      <c r="AE324" s="15">
        <f ca="1">IF(Table2[[#This Row],[Start Date]]&gt;TODAY(),1,)</f>
        <v>1</v>
      </c>
      <c r="AF324" s="62"/>
    </row>
    <row r="325" spans="1:32" x14ac:dyDescent="0.25">
      <c r="A325" s="62"/>
      <c r="B325" s="117" t="s">
        <v>55</v>
      </c>
      <c r="C325" s="100" t="str">
        <f>VLOOKUP(Table2[[#This Row],[Course Title]],'TSD-Data'!$A$1:$E$56,2,FALSE)</f>
        <v>A-493-0103</v>
      </c>
      <c r="D325" s="100" t="str">
        <f>VLOOKUP(Table2[[#This Row],[Course Title]],'TSD-Data'!$A$1:$E$56,3,FALSE)</f>
        <v>12JY</v>
      </c>
      <c r="E325" s="99" t="s">
        <v>276</v>
      </c>
      <c r="F325" s="102">
        <v>45810</v>
      </c>
      <c r="G325" s="102">
        <v>45814</v>
      </c>
      <c r="H325" s="105">
        <v>0.33333333333333331</v>
      </c>
      <c r="I325" s="101"/>
      <c r="J325" s="101"/>
      <c r="K325" s="101"/>
      <c r="L325" s="101"/>
      <c r="M325" s="101"/>
      <c r="N325" s="101"/>
      <c r="O325" s="15" t="s">
        <v>160</v>
      </c>
      <c r="P325" s="15"/>
      <c r="Q325" s="15">
        <f>VLOOKUP(Table2[[#This Row],[Course Title]],'TSD-Data'!$A$1:$E$56,4,FALSE)</f>
        <v>25</v>
      </c>
      <c r="R325" s="15">
        <f>VLOOKUP(Table2[[#This Row],[Course Title]],'TSD-Data'!$A$1:$F$53,6,FALSE)</f>
        <v>40</v>
      </c>
      <c r="S325" s="15">
        <f>VLOOKUP(Table2[[#This Row],[Course Title]],'TSD-Data'!$A$1:$E$56,5,FALSE)</f>
        <v>5</v>
      </c>
      <c r="T325" s="15">
        <v>155</v>
      </c>
      <c r="U325" s="15"/>
      <c r="V325" s="15"/>
      <c r="W325" s="15"/>
      <c r="X325" s="103"/>
      <c r="Y325" s="15"/>
      <c r="Z325" s="15"/>
      <c r="AA325" s="15"/>
      <c r="AB325" s="99"/>
      <c r="AC325" s="71">
        <f ca="1">Table2[[#This Row],[End Date]]+2-TODAY()</f>
        <v>284</v>
      </c>
      <c r="AD325" s="15">
        <f>IF(ISBLANK(Table2[[#This Row],[Roster Received By]]),1,0)</f>
        <v>1</v>
      </c>
      <c r="AE325" s="15">
        <f ca="1">IF(Table2[[#This Row],[Start Date]]&gt;TODAY(),1,)</f>
        <v>1</v>
      </c>
      <c r="AF325" s="62"/>
    </row>
    <row r="326" spans="1:32" x14ac:dyDescent="0.25">
      <c r="A326" s="62"/>
      <c r="B326" s="117" t="s">
        <v>55</v>
      </c>
      <c r="C326" s="100" t="str">
        <f>VLOOKUP(Table2[[#This Row],[Course Title]],'TSD-Data'!$A$1:$E$56,2,FALSE)</f>
        <v>A-493-0103</v>
      </c>
      <c r="D326" s="100" t="str">
        <f>VLOOKUP(Table2[[#This Row],[Course Title]],'TSD-Data'!$A$1:$E$56,3,FALSE)</f>
        <v>12JY</v>
      </c>
      <c r="E326" s="99" t="s">
        <v>411</v>
      </c>
      <c r="F326" s="102">
        <v>45810</v>
      </c>
      <c r="G326" s="102">
        <v>45814</v>
      </c>
      <c r="H326" s="105">
        <v>0.33333333333333331</v>
      </c>
      <c r="I326" s="105"/>
      <c r="J326" s="105"/>
      <c r="K326" s="105"/>
      <c r="L326" s="105"/>
      <c r="M326" s="105"/>
      <c r="N326" s="102"/>
      <c r="O326" s="15" t="s">
        <v>160</v>
      </c>
      <c r="P326" s="15"/>
      <c r="Q326" s="15">
        <f>VLOOKUP(Table2[[#This Row],[Course Title]],'TSD-Data'!$A$1:$E$56,4,FALSE)</f>
        <v>25</v>
      </c>
      <c r="R326" s="15">
        <f>VLOOKUP(Table2[[#This Row],[Course Title]],'TSD-Data'!$A$1:$F$53,6,FALSE)</f>
        <v>40</v>
      </c>
      <c r="S326" s="15">
        <f>VLOOKUP(Table2[[#This Row],[Course Title]],'TSD-Data'!$A$1:$E$56,5,FALSE)</f>
        <v>5</v>
      </c>
      <c r="T326" s="15">
        <v>19</v>
      </c>
      <c r="U326" s="15"/>
      <c r="V326" s="15"/>
      <c r="W326" s="15"/>
      <c r="X326" s="103"/>
      <c r="Y326" s="15"/>
      <c r="Z326" s="15"/>
      <c r="AA326" s="15"/>
      <c r="AB326" s="99"/>
      <c r="AC326" s="71">
        <f ca="1">Table2[[#This Row],[End Date]]+2-TODAY()</f>
        <v>284</v>
      </c>
      <c r="AD326" s="15">
        <f>IF(ISBLANK(Table2[[#This Row],[Roster Received By]]),1,0)</f>
        <v>1</v>
      </c>
      <c r="AE326" s="15">
        <f ca="1">IF(Table2[[#This Row],[Start Date]]&gt;TODAY(),1,)</f>
        <v>1</v>
      </c>
      <c r="AF326" s="62"/>
    </row>
    <row r="327" spans="1:32" x14ac:dyDescent="0.25">
      <c r="A327" s="62"/>
      <c r="B327" s="117" t="s">
        <v>56</v>
      </c>
      <c r="C327" s="100" t="str">
        <f>VLOOKUP(Table2[[#This Row],[Course Title]],'TSD-Data'!$A$1:$E$56,2,FALSE)</f>
        <v>A-493-0021</v>
      </c>
      <c r="D327" s="100" t="str">
        <f>VLOOKUP(Table2[[#This Row],[Course Title]],'TSD-Data'!$A$1:$E$56,3,FALSE)</f>
        <v>18BN</v>
      </c>
      <c r="E327" s="62" t="s">
        <v>276</v>
      </c>
      <c r="F327" s="67">
        <v>45810</v>
      </c>
      <c r="G327" s="67">
        <v>45814</v>
      </c>
      <c r="H327" s="105">
        <v>0.33333333333333331</v>
      </c>
      <c r="I327" s="101"/>
      <c r="J327" s="102"/>
      <c r="K327" s="102"/>
      <c r="L327" s="102"/>
      <c r="M327" s="102"/>
      <c r="N327" s="102"/>
      <c r="O327" s="15" t="s">
        <v>160</v>
      </c>
      <c r="P327" s="15"/>
      <c r="Q327" s="15">
        <f>VLOOKUP(Table2[[#This Row],[Course Title]],'TSD-Data'!$A$1:$E$56,4,FALSE)</f>
        <v>35</v>
      </c>
      <c r="R327" s="15">
        <f>VLOOKUP(Table2[[#This Row],[Course Title]],'TSD-Data'!$A$1:$F$53,6,FALSE)</f>
        <v>30</v>
      </c>
      <c r="S327" s="15">
        <f>VLOOKUP(Table2[[#This Row],[Course Title]],'TSD-Data'!$A$1:$E$56,5,FALSE)</f>
        <v>5</v>
      </c>
      <c r="T327" s="15">
        <v>58</v>
      </c>
      <c r="U327" s="15"/>
      <c r="V327" s="15"/>
      <c r="W327" s="15"/>
      <c r="X327" s="103"/>
      <c r="Y327" s="15"/>
      <c r="Z327" s="15"/>
      <c r="AA327" s="103"/>
      <c r="AB327" s="99"/>
      <c r="AC327" s="71">
        <f ca="1">Table2[[#This Row],[End Date]]+2-TODAY()</f>
        <v>284</v>
      </c>
      <c r="AD327" s="15">
        <f>IF(ISBLANK(Table2[[#This Row],[Roster Received By]]),1,0)</f>
        <v>1</v>
      </c>
      <c r="AE327" s="15">
        <f ca="1">IF(Table2[[#This Row],[Start Date]]&gt;TODAY(),1,)</f>
        <v>1</v>
      </c>
      <c r="AF327" s="62"/>
    </row>
    <row r="328" spans="1:32" x14ac:dyDescent="0.25">
      <c r="A328" s="62"/>
      <c r="B328" s="117" t="s">
        <v>51</v>
      </c>
      <c r="C328" s="100" t="str">
        <f>VLOOKUP(Table2[[#This Row],[Course Title]],'TSD-Data'!$A$1:$E$56,2,FALSE)</f>
        <v>A-493-0335</v>
      </c>
      <c r="D328" s="100" t="str">
        <f>VLOOKUP(Table2[[#This Row],[Course Title]],'TSD-Data'!$A$1:$E$56,3,FALSE)</f>
        <v>09ND</v>
      </c>
      <c r="E328" s="99" t="s">
        <v>80</v>
      </c>
      <c r="F328" s="102">
        <v>45810</v>
      </c>
      <c r="G328" s="102">
        <v>45813</v>
      </c>
      <c r="H328" s="102"/>
      <c r="I328" s="101">
        <v>0.5</v>
      </c>
      <c r="J328" s="101">
        <v>0.375</v>
      </c>
      <c r="K328" s="101">
        <v>0.79166666666666663</v>
      </c>
      <c r="L328" s="101">
        <v>0.75</v>
      </c>
      <c r="M328" s="101">
        <v>0.25</v>
      </c>
      <c r="N328" s="101">
        <v>4.1666666666666664E-2</v>
      </c>
      <c r="O328" s="15" t="s">
        <v>394</v>
      </c>
      <c r="P328" s="15"/>
      <c r="Q328" s="15">
        <f>VLOOKUP(Table2[[#This Row],[Course Title]],'TSD-Data'!$A$1:$E$56,4,FALSE)</f>
        <v>45</v>
      </c>
      <c r="R328" s="15">
        <f>VLOOKUP(Table2[[#This Row],[Course Title]],'TSD-Data'!$A$1:$F$53,6,FALSE)</f>
        <v>32</v>
      </c>
      <c r="S328" s="15">
        <f>VLOOKUP(Table2[[#This Row],[Course Title]],'TSD-Data'!$A$1:$E$56,5,FALSE)</f>
        <v>4</v>
      </c>
      <c r="T328" s="15"/>
      <c r="U328" s="15"/>
      <c r="V328" s="15"/>
      <c r="W328" s="15"/>
      <c r="X328" s="103"/>
      <c r="Y328" s="15"/>
      <c r="Z328" s="15"/>
      <c r="AA328" s="15"/>
      <c r="AB328" s="99"/>
      <c r="AC328" s="71">
        <f ca="1">Table2[[#This Row],[End Date]]+2-TODAY()</f>
        <v>283</v>
      </c>
      <c r="AD328" s="15">
        <f>IF(ISBLANK(Table2[[#This Row],[Roster Received By]]),1,0)</f>
        <v>1</v>
      </c>
      <c r="AE328" s="15">
        <f ca="1">IF(Table2[[#This Row],[Start Date]]&gt;TODAY(),1,)</f>
        <v>1</v>
      </c>
      <c r="AF328" s="62"/>
    </row>
    <row r="329" spans="1:32" x14ac:dyDescent="0.25">
      <c r="A329" s="62"/>
      <c r="B329" s="117" t="s">
        <v>59</v>
      </c>
      <c r="C329" s="100" t="str">
        <f>VLOOKUP(Table2[[#This Row],[Course Title]],'TSD-Data'!$A$1:$E$56,2,FALSE)</f>
        <v>A-493-0550</v>
      </c>
      <c r="D329" s="100" t="str">
        <f>VLOOKUP(Table2[[#This Row],[Course Title]],'TSD-Data'!$A$1:$E$56,3,FALSE)</f>
        <v>09K5</v>
      </c>
      <c r="E329" s="99" t="s">
        <v>80</v>
      </c>
      <c r="F329" s="102">
        <v>45810</v>
      </c>
      <c r="G329" s="102">
        <v>45813</v>
      </c>
      <c r="H329" s="105"/>
      <c r="I329" s="101">
        <v>0.29166666666666669</v>
      </c>
      <c r="J329" s="105">
        <v>0.16666666666666666</v>
      </c>
      <c r="K329" s="105">
        <v>0.58333333333333337</v>
      </c>
      <c r="L329" s="105">
        <v>0.5</v>
      </c>
      <c r="M329" s="105">
        <v>4.1666666666666664E-2</v>
      </c>
      <c r="N329" s="105">
        <v>0.83333333333333337</v>
      </c>
      <c r="O329" s="15" t="s">
        <v>394</v>
      </c>
      <c r="P329" s="15"/>
      <c r="Q329" s="15">
        <f>VLOOKUP(Table2[[#This Row],[Course Title]],'TSD-Data'!$A$1:$E$56,4,FALSE)</f>
        <v>45</v>
      </c>
      <c r="R329" s="15">
        <f>VLOOKUP(Table2[[#This Row],[Course Title]],'TSD-Data'!$A$1:$F$53,6,FALSE)</f>
        <v>32</v>
      </c>
      <c r="S329" s="15">
        <f>VLOOKUP(Table2[[#This Row],[Course Title]],'TSD-Data'!$A$1:$E$56,5,FALSE)</f>
        <v>4</v>
      </c>
      <c r="T329" s="15"/>
      <c r="U329" s="15"/>
      <c r="V329" s="15"/>
      <c r="W329" s="15"/>
      <c r="X329" s="103"/>
      <c r="Y329" s="15"/>
      <c r="Z329" s="15"/>
      <c r="AA329" s="100"/>
      <c r="AB329" s="99"/>
      <c r="AC329" s="71">
        <f ca="1">Table2[[#This Row],[End Date]]+2-TODAY()</f>
        <v>283</v>
      </c>
      <c r="AD329" s="15">
        <f>IF(ISBLANK(Table2[[#This Row],[Roster Received By]]),1,0)</f>
        <v>1</v>
      </c>
      <c r="AE329" s="15">
        <f ca="1">IF(Table2[[#This Row],[Start Date]]&gt;TODAY(),1,)</f>
        <v>1</v>
      </c>
      <c r="AF329" s="62"/>
    </row>
    <row r="330" spans="1:32" x14ac:dyDescent="0.25">
      <c r="A330" s="62"/>
      <c r="B330" s="117" t="s">
        <v>60</v>
      </c>
      <c r="C330" s="100" t="str">
        <f>VLOOKUP(Table2[[#This Row],[Course Title]],'TSD-Data'!$A$1:$E$56,2,FALSE)</f>
        <v>A-493-0073</v>
      </c>
      <c r="D330" s="100" t="str">
        <f>VLOOKUP(Table2[[#This Row],[Course Title]],'TSD-Data'!$A$1:$E$56,3,FALSE)</f>
        <v>714S</v>
      </c>
      <c r="E330" s="99" t="s">
        <v>80</v>
      </c>
      <c r="F330" s="102">
        <v>45810</v>
      </c>
      <c r="G330" s="102">
        <v>45813</v>
      </c>
      <c r="H330" s="108"/>
      <c r="I330" s="105">
        <v>0.45833333333333331</v>
      </c>
      <c r="J330" s="105">
        <v>0.33333333333333331</v>
      </c>
      <c r="K330" s="105">
        <v>0.75</v>
      </c>
      <c r="L330" s="105">
        <v>0.66666666666666663</v>
      </c>
      <c r="M330" s="105">
        <v>0.20833333333333334</v>
      </c>
      <c r="N330" s="105">
        <v>0</v>
      </c>
      <c r="O330" s="15" t="s">
        <v>160</v>
      </c>
      <c r="P330" s="15"/>
      <c r="Q330" s="15">
        <f>VLOOKUP(Table2[[#This Row],[Course Title]],'TSD-Data'!$A$1:$E$56,4,FALSE)</f>
        <v>30</v>
      </c>
      <c r="R330" s="15">
        <f>VLOOKUP(Table2[[#This Row],[Course Title]],'TSD-Data'!$A$1:$F$53,6,FALSE)</f>
        <v>32</v>
      </c>
      <c r="S330" s="15">
        <f>VLOOKUP(Table2[[#This Row],[Course Title]],'TSD-Data'!$A$1:$E$56,5,FALSE)</f>
        <v>4</v>
      </c>
      <c r="T330" s="15">
        <v>433</v>
      </c>
      <c r="U330" s="15"/>
      <c r="V330" s="15"/>
      <c r="W330" s="15"/>
      <c r="X330" s="103"/>
      <c r="Y330" s="15"/>
      <c r="Z330" s="15"/>
      <c r="AA330" s="15"/>
      <c r="AB330" s="99"/>
      <c r="AC330" s="71">
        <f ca="1">Table2[[#This Row],[End Date]]+2-TODAY()</f>
        <v>283</v>
      </c>
      <c r="AD330" s="15">
        <f>IF(ISBLANK(Table2[[#This Row],[Roster Received By]]),1,0)</f>
        <v>1</v>
      </c>
      <c r="AE330" s="15">
        <f ca="1">IF(Table2[[#This Row],[Start Date]]&gt;TODAY(),1,)</f>
        <v>1</v>
      </c>
      <c r="AF330" s="62"/>
    </row>
    <row r="331" spans="1:32" x14ac:dyDescent="0.25">
      <c r="A331" s="62"/>
      <c r="B331" s="117" t="s">
        <v>36</v>
      </c>
      <c r="C331" s="100" t="str">
        <f>VLOOKUP(Table2[[#This Row],[Course Title]],'TSD-Data'!$A$1:$E$56,2,FALSE)</f>
        <v>A-493-2017</v>
      </c>
      <c r="D331" s="100" t="str">
        <f>VLOOKUP(Table2[[#This Row],[Course Title]],'TSD-Data'!$A$1:$E$56,3,FALSE)</f>
        <v>12x3</v>
      </c>
      <c r="E331" s="99" t="s">
        <v>91</v>
      </c>
      <c r="F331" s="110">
        <v>45810</v>
      </c>
      <c r="G331" s="110">
        <v>45814</v>
      </c>
      <c r="H331" s="105">
        <v>0.33333333333333331</v>
      </c>
      <c r="I331" s="105"/>
      <c r="J331" s="105"/>
      <c r="K331" s="105"/>
      <c r="L331" s="105"/>
      <c r="M331" s="105"/>
      <c r="N331" s="105"/>
      <c r="O331" s="15" t="s">
        <v>94</v>
      </c>
      <c r="P331" s="15"/>
      <c r="Q331" s="15">
        <f>VLOOKUP(Table2[[#This Row],[Course Title]],'TSD-Data'!$A$1:$E$56,4,FALSE)</f>
        <v>25</v>
      </c>
      <c r="R331" s="15">
        <f>VLOOKUP(Table2[[#This Row],[Course Title]],'TSD-Data'!$A$1:$F$53,6,FALSE)</f>
        <v>40</v>
      </c>
      <c r="S331" s="15">
        <f>VLOOKUP(Table2[[#This Row],[Course Title]],'TSD-Data'!$A$1:$E$56,5,FALSE)</f>
        <v>5</v>
      </c>
      <c r="T331" s="15">
        <v>30</v>
      </c>
      <c r="U331" s="15"/>
      <c r="V331" s="15"/>
      <c r="W331" s="15"/>
      <c r="X331" s="103"/>
      <c r="Y331" s="15"/>
      <c r="Z331" s="15"/>
      <c r="AA331" s="15"/>
      <c r="AB331" s="99"/>
      <c r="AC331" s="71">
        <f ca="1">Table2[[#This Row],[End Date]]+2-TODAY()</f>
        <v>284</v>
      </c>
      <c r="AD331" s="15">
        <f>IF(ISBLANK(Table2[[#This Row],[Roster Received By]]),1,0)</f>
        <v>1</v>
      </c>
      <c r="AE331" s="15">
        <f ca="1">IF(Table2[[#This Row],[Start Date]]&gt;TODAY(),1,)</f>
        <v>1</v>
      </c>
      <c r="AF331" s="62"/>
    </row>
    <row r="332" spans="1:32" x14ac:dyDescent="0.25">
      <c r="A332" s="62" t="s">
        <v>412</v>
      </c>
      <c r="B332" s="117" t="s">
        <v>28</v>
      </c>
      <c r="C332" s="100" t="str">
        <f>VLOOKUP(Table2[[#This Row],[Course Title]],'TSD-Data'!$A$1:$E$56,2,FALSE)</f>
        <v>A-493-0013</v>
      </c>
      <c r="D332" s="100">
        <f>VLOOKUP(Table2[[#This Row],[Course Title]],'TSD-Data'!$A$1:$E$56,3,FALSE)</f>
        <v>3683</v>
      </c>
      <c r="E332" s="65" t="s">
        <v>224</v>
      </c>
      <c r="F332" s="110">
        <v>45811</v>
      </c>
      <c r="G332" s="110">
        <v>45813</v>
      </c>
      <c r="H332" s="105">
        <v>0.33333333333333331</v>
      </c>
      <c r="I332" s="105"/>
      <c r="J332" s="102"/>
      <c r="K332" s="102"/>
      <c r="L332" s="102"/>
      <c r="M332" s="102"/>
      <c r="N332" s="102"/>
      <c r="O332" s="15" t="s">
        <v>94</v>
      </c>
      <c r="P332" s="15"/>
      <c r="Q332" s="15">
        <f>VLOOKUP(Table2[[#This Row],[Course Title]],'TSD-Data'!$A$1:$E$56,4,FALSE)</f>
        <v>40</v>
      </c>
      <c r="R332" s="15">
        <f>VLOOKUP(Table2[[#This Row],[Course Title]],'TSD-Data'!$A$1:$F$53,6,FALSE)</f>
        <v>24</v>
      </c>
      <c r="S332" s="15">
        <f>VLOOKUP(Table2[[#This Row],[Course Title]],'TSD-Data'!$A$1:$E$56,5,FALSE)</f>
        <v>3</v>
      </c>
      <c r="T332" s="15">
        <v>0</v>
      </c>
      <c r="U332" s="15"/>
      <c r="V332" s="15"/>
      <c r="W332" s="15"/>
      <c r="X332" s="103"/>
      <c r="Y332" s="15"/>
      <c r="Z332" s="15"/>
      <c r="AA332" s="100"/>
      <c r="AB332" s="99"/>
      <c r="AC332" s="71">
        <f ca="1">Table2[[#This Row],[End Date]]+2-TODAY()</f>
        <v>283</v>
      </c>
      <c r="AD332" s="15">
        <f>IF(ISBLANK(Table2[[#This Row],[Roster Received By]]),1,0)</f>
        <v>1</v>
      </c>
      <c r="AE332" s="15">
        <f ca="1">IF(Table2[[#This Row],[Start Date]]&gt;TODAY(),1,)</f>
        <v>1</v>
      </c>
      <c r="AF332" s="62"/>
    </row>
    <row r="333" spans="1:32" x14ac:dyDescent="0.25">
      <c r="A333" s="62"/>
      <c r="B333" s="117" t="s">
        <v>33</v>
      </c>
      <c r="C333" s="100" t="str">
        <f>VLOOKUP(Table2[[#This Row],[Course Title]],'TSD-Data'!$A$1:$E$56,2,FALSE)</f>
        <v>A-493-2301</v>
      </c>
      <c r="D333" s="100" t="str">
        <f>VLOOKUP(Table2[[#This Row],[Course Title]],'TSD-Data'!$A$1:$E$56,3,FALSE)</f>
        <v>05ZD</v>
      </c>
      <c r="E333" s="99" t="s">
        <v>193</v>
      </c>
      <c r="F333" s="110">
        <v>45811</v>
      </c>
      <c r="G333" s="110">
        <v>45811</v>
      </c>
      <c r="H333" s="105">
        <v>0.33333333333333331</v>
      </c>
      <c r="I333" s="105"/>
      <c r="J333" s="105"/>
      <c r="K333" s="105"/>
      <c r="L333" s="105"/>
      <c r="M333" s="105"/>
      <c r="N333" s="105"/>
      <c r="O333" s="15" t="s">
        <v>94</v>
      </c>
      <c r="P333" s="15"/>
      <c r="Q333" s="15">
        <f>VLOOKUP(Table2[[#This Row],[Course Title]],'TSD-Data'!$A$1:$E$56,4,FALSE)</f>
        <v>30</v>
      </c>
      <c r="R333" s="15">
        <f>VLOOKUP(Table2[[#This Row],[Course Title]],'TSD-Data'!$A$1:$F$53,6,FALSE)</f>
        <v>8</v>
      </c>
      <c r="S333" s="15">
        <f>VLOOKUP(Table2[[#This Row],[Course Title]],'TSD-Data'!$A$1:$E$56,5,FALSE)</f>
        <v>1</v>
      </c>
      <c r="T333" s="15">
        <v>35</v>
      </c>
      <c r="U333" s="15"/>
      <c r="V333" s="15"/>
      <c r="W333" s="15"/>
      <c r="X333" s="103"/>
      <c r="Y333" s="15"/>
      <c r="Z333" s="15"/>
      <c r="AA333" s="15"/>
      <c r="AB333" s="99"/>
      <c r="AC333" s="71">
        <f ca="1">Table2[[#This Row],[End Date]]+2-TODAY()</f>
        <v>281</v>
      </c>
      <c r="AD333" s="15">
        <f>IF(ISBLANK(Table2[[#This Row],[Roster Received By]]),1,0)</f>
        <v>1</v>
      </c>
      <c r="AE333" s="15">
        <f ca="1">IF(Table2[[#This Row],[Start Date]]&gt;TODAY(),1,)</f>
        <v>1</v>
      </c>
      <c r="AF333" s="62"/>
    </row>
    <row r="334" spans="1:32" x14ac:dyDescent="0.25">
      <c r="A334" s="62"/>
      <c r="B334" s="117" t="s">
        <v>35</v>
      </c>
      <c r="C334" s="100" t="str">
        <f>VLOOKUP(Table2[[#This Row],[Course Title]],'TSD-Data'!$A$1:$E$56,2,FALSE)</f>
        <v>A-493-2501</v>
      </c>
      <c r="D334" s="100" t="str">
        <f>VLOOKUP(Table2[[#This Row],[Course Title]],'TSD-Data'!$A$1:$E$56,3,FALSE)</f>
        <v>05ZE</v>
      </c>
      <c r="E334" s="65" t="s">
        <v>193</v>
      </c>
      <c r="F334" s="110">
        <v>45812</v>
      </c>
      <c r="G334" s="110">
        <v>45812</v>
      </c>
      <c r="H334" s="105">
        <v>0.33333333333333331</v>
      </c>
      <c r="I334" s="105"/>
      <c r="J334" s="105"/>
      <c r="K334" s="105"/>
      <c r="L334" s="105"/>
      <c r="M334" s="105"/>
      <c r="N334" s="105"/>
      <c r="O334" s="15" t="s">
        <v>94</v>
      </c>
      <c r="P334" s="15"/>
      <c r="Q334" s="15">
        <f>VLOOKUP(Table2[[#This Row],[Course Title]],'TSD-Data'!$A$1:$E$56,4,FALSE)</f>
        <v>30</v>
      </c>
      <c r="R334" s="15">
        <f>VLOOKUP(Table2[[#This Row],[Course Title]],'TSD-Data'!$A$1:$F$53,6,FALSE)</f>
        <v>8</v>
      </c>
      <c r="S334" s="15">
        <f>VLOOKUP(Table2[[#This Row],[Course Title]],'TSD-Data'!$A$1:$E$56,5,FALSE)</f>
        <v>1</v>
      </c>
      <c r="T334" s="15">
        <v>35</v>
      </c>
      <c r="U334" s="15"/>
      <c r="V334" s="15"/>
      <c r="W334" s="15"/>
      <c r="X334" s="103"/>
      <c r="Y334" s="15"/>
      <c r="Z334" s="15"/>
      <c r="AA334" s="15"/>
      <c r="AB334" s="99"/>
      <c r="AC334" s="71">
        <f ca="1">Table2[[#This Row],[End Date]]+2-TODAY()</f>
        <v>282</v>
      </c>
      <c r="AD334" s="15">
        <f>IF(ISBLANK(Table2[[#This Row],[Roster Received By]]),1,0)</f>
        <v>1</v>
      </c>
      <c r="AE334" s="15">
        <f ca="1">IF(Table2[[#This Row],[Start Date]]&gt;TODAY(),1,)</f>
        <v>1</v>
      </c>
      <c r="AF334" s="62"/>
    </row>
    <row r="335" spans="1:32" x14ac:dyDescent="0.25">
      <c r="A335" s="99"/>
      <c r="B335" s="117" t="s">
        <v>33</v>
      </c>
      <c r="C335" s="100" t="str">
        <f>VLOOKUP(Table2[[#This Row],[Course Title]],'TSD-Data'!$A$1:$E$56,2,FALSE)</f>
        <v>A-493-2301</v>
      </c>
      <c r="D335" s="100" t="str">
        <f>VLOOKUP(Table2[[#This Row],[Course Title]],'TSD-Data'!$A$1:$E$56,3,FALSE)</f>
        <v>05ZD</v>
      </c>
      <c r="E335" s="65" t="s">
        <v>275</v>
      </c>
      <c r="F335" s="110">
        <v>45813</v>
      </c>
      <c r="G335" s="110">
        <v>45813</v>
      </c>
      <c r="H335" s="105">
        <v>0.33333333333333331</v>
      </c>
      <c r="I335" s="105"/>
      <c r="J335" s="105"/>
      <c r="K335" s="105"/>
      <c r="L335" s="105"/>
      <c r="M335" s="105"/>
      <c r="N335" s="105"/>
      <c r="O335" s="15" t="s">
        <v>94</v>
      </c>
      <c r="P335" s="15"/>
      <c r="Q335" s="15">
        <f>VLOOKUP(Table2[[#This Row],[Course Title]],'TSD-Data'!$A$1:$E$56,4,FALSE)</f>
        <v>30</v>
      </c>
      <c r="R335" s="15">
        <f>VLOOKUP(Table2[[#This Row],[Course Title]],'TSD-Data'!$A$1:$F$53,6,FALSE)</f>
        <v>8</v>
      </c>
      <c r="S335" s="15">
        <f>VLOOKUP(Table2[[#This Row],[Course Title]],'TSD-Data'!$A$1:$E$56,5,FALSE)</f>
        <v>1</v>
      </c>
      <c r="T335" s="15">
        <v>34</v>
      </c>
      <c r="U335" s="15"/>
      <c r="V335" s="15"/>
      <c r="W335" s="15"/>
      <c r="X335" s="103"/>
      <c r="Y335" s="15"/>
      <c r="Z335" s="15"/>
      <c r="AA335" s="15"/>
      <c r="AB335" s="99"/>
      <c r="AC335" s="71">
        <f ca="1">Table2[[#This Row],[End Date]]+2-TODAY()</f>
        <v>283</v>
      </c>
      <c r="AD335" s="15">
        <f>IF(ISBLANK(Table2[[#This Row],[Roster Received By]]),1,0)</f>
        <v>1</v>
      </c>
      <c r="AE335" s="15">
        <f ca="1">IF(Table2[[#This Row],[Start Date]]&gt;TODAY(),1,)</f>
        <v>1</v>
      </c>
      <c r="AF335" s="62"/>
    </row>
    <row r="336" spans="1:32" x14ac:dyDescent="0.25">
      <c r="A336" s="62"/>
      <c r="B336" s="117" t="s">
        <v>35</v>
      </c>
      <c r="C336" s="100" t="str">
        <f>VLOOKUP(Table2[[#This Row],[Course Title]],'TSD-Data'!$A$1:$E$56,2,FALSE)</f>
        <v>A-493-2501</v>
      </c>
      <c r="D336" s="100" t="str">
        <f>VLOOKUP(Table2[[#This Row],[Course Title]],'TSD-Data'!$A$1:$E$56,3,FALSE)</f>
        <v>05ZE</v>
      </c>
      <c r="E336" s="99" t="s">
        <v>275</v>
      </c>
      <c r="F336" s="110">
        <v>45814</v>
      </c>
      <c r="G336" s="110">
        <v>45814</v>
      </c>
      <c r="H336" s="105">
        <v>0.33333333333333331</v>
      </c>
      <c r="I336" s="105"/>
      <c r="J336" s="105"/>
      <c r="K336" s="105"/>
      <c r="L336" s="105"/>
      <c r="M336" s="105"/>
      <c r="N336" s="105"/>
      <c r="O336" s="15" t="s">
        <v>94</v>
      </c>
      <c r="P336" s="15"/>
      <c r="Q336" s="15">
        <f>VLOOKUP(Table2[[#This Row],[Course Title]],'TSD-Data'!$A$1:$E$56,4,FALSE)</f>
        <v>30</v>
      </c>
      <c r="R336" s="15">
        <f>VLOOKUP(Table2[[#This Row],[Course Title]],'TSD-Data'!$A$1:$F$53,6,FALSE)</f>
        <v>8</v>
      </c>
      <c r="S336" s="15">
        <f>VLOOKUP(Table2[[#This Row],[Course Title]],'TSD-Data'!$A$1:$E$56,5,FALSE)</f>
        <v>1</v>
      </c>
      <c r="T336" s="15">
        <v>33</v>
      </c>
      <c r="U336" s="15"/>
      <c r="V336" s="15"/>
      <c r="W336" s="15"/>
      <c r="X336" s="103"/>
      <c r="Y336" s="15"/>
      <c r="Z336" s="15"/>
      <c r="AA336" s="107"/>
      <c r="AB336" s="99"/>
      <c r="AC336" s="71">
        <f ca="1">Table2[[#This Row],[End Date]]+2-TODAY()</f>
        <v>284</v>
      </c>
      <c r="AD336" s="15">
        <f>IF(ISBLANK(Table2[[#This Row],[Roster Received By]]),1,0)</f>
        <v>1</v>
      </c>
      <c r="AE336" s="15">
        <f ca="1">IF(Table2[[#This Row],[Start Date]]&gt;TODAY(),1,)</f>
        <v>1</v>
      </c>
      <c r="AF336" s="62"/>
    </row>
    <row r="337" spans="1:32" x14ac:dyDescent="0.25">
      <c r="A337" s="62"/>
      <c r="B337" s="117" t="s">
        <v>55</v>
      </c>
      <c r="C337" s="100" t="str">
        <f>VLOOKUP(Table2[[#This Row],[Course Title]],'TSD-Data'!$A$1:$E$56,2,FALSE)</f>
        <v>A-493-0103</v>
      </c>
      <c r="D337" s="100" t="str">
        <f>VLOOKUP(Table2[[#This Row],[Course Title]],'TSD-Data'!$A$1:$E$56,3,FALSE)</f>
        <v>12JY</v>
      </c>
      <c r="E337" s="99" t="s">
        <v>276</v>
      </c>
      <c r="F337" s="110">
        <v>45817</v>
      </c>
      <c r="G337" s="110">
        <v>45821</v>
      </c>
      <c r="H337" s="105">
        <v>0.33333333333333331</v>
      </c>
      <c r="I337" s="101"/>
      <c r="J337" s="101"/>
      <c r="K337" s="101"/>
      <c r="L337" s="101"/>
      <c r="M337" s="101"/>
      <c r="N337" s="101"/>
      <c r="O337" s="15" t="s">
        <v>160</v>
      </c>
      <c r="P337" s="15"/>
      <c r="Q337" s="15">
        <f>VLOOKUP(Table2[[#This Row],[Course Title]],'TSD-Data'!$A$1:$E$56,4,FALSE)</f>
        <v>25</v>
      </c>
      <c r="R337" s="15">
        <f>VLOOKUP(Table2[[#This Row],[Course Title]],'TSD-Data'!$A$1:$F$53,6,FALSE)</f>
        <v>40</v>
      </c>
      <c r="S337" s="15">
        <f>VLOOKUP(Table2[[#This Row],[Course Title]],'TSD-Data'!$A$1:$E$56,5,FALSE)</f>
        <v>5</v>
      </c>
      <c r="T337" s="15">
        <v>155</v>
      </c>
      <c r="U337" s="15"/>
      <c r="V337" s="15"/>
      <c r="W337" s="15"/>
      <c r="X337" s="103"/>
      <c r="Y337" s="15"/>
      <c r="Z337" s="15"/>
      <c r="AA337" s="15"/>
      <c r="AB337" s="99"/>
      <c r="AC337" s="71">
        <f ca="1">Table2[[#This Row],[End Date]]+2-TODAY()</f>
        <v>291</v>
      </c>
      <c r="AD337" s="15">
        <f>IF(ISBLANK(Table2[[#This Row],[Roster Received By]]),1,0)</f>
        <v>1</v>
      </c>
      <c r="AE337" s="15">
        <f ca="1">IF(Table2[[#This Row],[Start Date]]&gt;TODAY(),1,)</f>
        <v>1</v>
      </c>
      <c r="AF337" s="62"/>
    </row>
    <row r="338" spans="1:32" x14ac:dyDescent="0.25">
      <c r="A338" s="62"/>
      <c r="B338" s="117" t="s">
        <v>55</v>
      </c>
      <c r="C338" s="100" t="str">
        <f>VLOOKUP(Table2[[#This Row],[Course Title]],'TSD-Data'!$A$1:$E$56,2,FALSE)</f>
        <v>A-493-0103</v>
      </c>
      <c r="D338" s="100" t="str">
        <f>VLOOKUP(Table2[[#This Row],[Course Title]],'TSD-Data'!$A$1:$E$56,3,FALSE)</f>
        <v>12JY</v>
      </c>
      <c r="E338" s="99" t="s">
        <v>413</v>
      </c>
      <c r="F338" s="110">
        <v>45817</v>
      </c>
      <c r="G338" s="110">
        <v>45821</v>
      </c>
      <c r="H338" s="105">
        <v>0.33333333333333331</v>
      </c>
      <c r="I338" s="101"/>
      <c r="J338" s="101"/>
      <c r="K338" s="101"/>
      <c r="L338" s="101"/>
      <c r="M338" s="101"/>
      <c r="N338" s="101"/>
      <c r="O338" s="15" t="s">
        <v>160</v>
      </c>
      <c r="P338" s="15"/>
      <c r="Q338" s="15">
        <f>VLOOKUP(Table2[[#This Row],[Course Title]],'TSD-Data'!$A$1:$E$56,4,FALSE)</f>
        <v>25</v>
      </c>
      <c r="R338" s="15">
        <f>VLOOKUP(Table2[[#This Row],[Course Title]],'TSD-Data'!$A$1:$F$53,6,FALSE)</f>
        <v>40</v>
      </c>
      <c r="S338" s="15">
        <f>VLOOKUP(Table2[[#This Row],[Course Title]],'TSD-Data'!$A$1:$E$56,5,FALSE)</f>
        <v>5</v>
      </c>
      <c r="T338" s="15">
        <v>19</v>
      </c>
      <c r="U338" s="15"/>
      <c r="V338" s="15"/>
      <c r="W338" s="15"/>
      <c r="X338" s="103"/>
      <c r="Y338" s="15"/>
      <c r="Z338" s="15"/>
      <c r="AA338" s="15"/>
      <c r="AB338" s="99"/>
      <c r="AC338" s="71">
        <f ca="1">Table2[[#This Row],[End Date]]+2-TODAY()</f>
        <v>291</v>
      </c>
      <c r="AD338" s="15">
        <f>IF(ISBLANK(Table2[[#This Row],[Roster Received By]]),1,0)</f>
        <v>1</v>
      </c>
      <c r="AE338" s="15">
        <f ca="1">IF(Table2[[#This Row],[Start Date]]&gt;TODAY(),1,)</f>
        <v>1</v>
      </c>
      <c r="AF338" s="62"/>
    </row>
    <row r="339" spans="1:32" x14ac:dyDescent="0.25">
      <c r="A339" s="62"/>
      <c r="B339" s="117" t="s">
        <v>17</v>
      </c>
      <c r="C339" s="100" t="str">
        <f>VLOOKUP(Table2[[#This Row],[Course Title]],'TSD-Data'!$A$1:$E$56,2,FALSE)</f>
        <v>A-493-0012</v>
      </c>
      <c r="D339" s="100">
        <f>VLOOKUP(Table2[[#This Row],[Course Title]],'TSD-Data'!$A$1:$E$56,3,FALSE)</f>
        <v>3682</v>
      </c>
      <c r="E339" s="99" t="s">
        <v>146</v>
      </c>
      <c r="F339" s="110">
        <v>45817</v>
      </c>
      <c r="G339" s="110">
        <v>45821</v>
      </c>
      <c r="H339" s="105">
        <v>0.33333333333333331</v>
      </c>
      <c r="I339" s="105"/>
      <c r="J339" s="102"/>
      <c r="K339" s="102"/>
      <c r="L339" s="102"/>
      <c r="M339" s="102"/>
      <c r="N339" s="102"/>
      <c r="O339" s="15" t="s">
        <v>94</v>
      </c>
      <c r="P339" s="15"/>
      <c r="Q339" s="15">
        <f>VLOOKUP(Table2[[#This Row],[Course Title]],'TSD-Data'!$A$1:$E$56,4,FALSE)</f>
        <v>40</v>
      </c>
      <c r="R339" s="15">
        <f>VLOOKUP(Table2[[#This Row],[Course Title]],'TSD-Data'!$A$1:$F$53,6,FALSE)</f>
        <v>40</v>
      </c>
      <c r="S339" s="15">
        <f>VLOOKUP(Table2[[#This Row],[Course Title]],'TSD-Data'!$A$1:$E$56,5,FALSE)</f>
        <v>5</v>
      </c>
      <c r="T339" s="15">
        <v>25</v>
      </c>
      <c r="U339" s="15"/>
      <c r="V339" s="15"/>
      <c r="W339" s="103"/>
      <c r="X339" s="103"/>
      <c r="Y339" s="15"/>
      <c r="Z339" s="15"/>
      <c r="AA339" s="100"/>
      <c r="AB339" s="99"/>
      <c r="AC339" s="71">
        <f ca="1">Table2[[#This Row],[End Date]]+2-TODAY()</f>
        <v>291</v>
      </c>
      <c r="AD339" s="15">
        <f>IF(ISBLANK(Table2[[#This Row],[Roster Received By]]),1,0)</f>
        <v>1</v>
      </c>
      <c r="AE339" s="15">
        <f ca="1">IF(Table2[[#This Row],[Start Date]]&gt;TODAY(),1,)</f>
        <v>1</v>
      </c>
      <c r="AF339" s="62"/>
    </row>
    <row r="340" spans="1:32" x14ac:dyDescent="0.25">
      <c r="A340" s="62"/>
      <c r="B340" s="117" t="s">
        <v>17</v>
      </c>
      <c r="C340" s="100" t="str">
        <f>VLOOKUP(Table2[[#This Row],[Course Title]],'TSD-Data'!$A$1:$E$56,2,FALSE)</f>
        <v>A-493-0012</v>
      </c>
      <c r="D340" s="100">
        <f>VLOOKUP(Table2[[#This Row],[Course Title]],'TSD-Data'!$A$1:$E$56,3,FALSE)</f>
        <v>3682</v>
      </c>
      <c r="E340" s="99" t="s">
        <v>193</v>
      </c>
      <c r="F340" s="110">
        <v>45817</v>
      </c>
      <c r="G340" s="110">
        <v>45821</v>
      </c>
      <c r="H340" s="105">
        <v>0.33333333333333331</v>
      </c>
      <c r="I340" s="105"/>
      <c r="J340" s="105"/>
      <c r="K340" s="105"/>
      <c r="L340" s="105"/>
      <c r="M340" s="105"/>
      <c r="N340" s="105"/>
      <c r="O340" s="15" t="s">
        <v>94</v>
      </c>
      <c r="P340" s="15"/>
      <c r="Q340" s="15">
        <f>VLOOKUP(Table2[[#This Row],[Course Title]],'TSD-Data'!$A$1:$E$56,4,FALSE)</f>
        <v>40</v>
      </c>
      <c r="R340" s="15">
        <f>VLOOKUP(Table2[[#This Row],[Course Title]],'TSD-Data'!$A$1:$F$53,6,FALSE)</f>
        <v>40</v>
      </c>
      <c r="S340" s="15">
        <f>VLOOKUP(Table2[[#This Row],[Course Title]],'TSD-Data'!$A$1:$E$56,5,FALSE)</f>
        <v>5</v>
      </c>
      <c r="T340" s="15">
        <v>0</v>
      </c>
      <c r="U340" s="15"/>
      <c r="V340" s="15"/>
      <c r="W340" s="15"/>
      <c r="X340" s="103"/>
      <c r="Y340" s="15"/>
      <c r="Z340" s="15"/>
      <c r="AA340" s="15"/>
      <c r="AB340" s="99"/>
      <c r="AC340" s="71">
        <f ca="1">Table2[[#This Row],[End Date]]+2-TODAY()</f>
        <v>291</v>
      </c>
      <c r="AD340" s="15">
        <f>IF(ISBLANK(Table2[[#This Row],[Roster Received By]]),1,0)</f>
        <v>1</v>
      </c>
      <c r="AE340" s="15">
        <f ca="1">IF(Table2[[#This Row],[Start Date]]&gt;TODAY(),1,)</f>
        <v>1</v>
      </c>
      <c r="AF340" s="62"/>
    </row>
    <row r="341" spans="1:32" x14ac:dyDescent="0.25">
      <c r="A341" s="62"/>
      <c r="B341" s="117" t="s">
        <v>38</v>
      </c>
      <c r="C341" s="100" t="str">
        <f>VLOOKUP(Table2[[#This Row],[Course Title]],'TSD-Data'!$A$1:$E$56,2,FALSE)</f>
        <v>A-493-0061</v>
      </c>
      <c r="D341" s="100" t="str">
        <f>VLOOKUP(Table2[[#This Row],[Course Title]],'TSD-Data'!$A$1:$E$56,3,FALSE)</f>
        <v>288E</v>
      </c>
      <c r="E341" s="99" t="s">
        <v>80</v>
      </c>
      <c r="F341" s="110">
        <v>45817</v>
      </c>
      <c r="G341" s="110">
        <v>45820</v>
      </c>
      <c r="H341" s="105"/>
      <c r="I341" s="101">
        <v>0.33333333333333331</v>
      </c>
      <c r="J341" s="105">
        <v>0.20833333333333334</v>
      </c>
      <c r="K341" s="105">
        <v>0.625</v>
      </c>
      <c r="L341" s="105">
        <v>0.54166666666666663</v>
      </c>
      <c r="M341" s="105">
        <v>8.3333333333333329E-2</v>
      </c>
      <c r="N341" s="105">
        <v>0.875</v>
      </c>
      <c r="O341" s="15" t="s">
        <v>394</v>
      </c>
      <c r="P341" s="15"/>
      <c r="Q341" s="15">
        <f>VLOOKUP(Table2[[#This Row],[Course Title]],'TSD-Data'!$A$1:$E$56,4,FALSE)</f>
        <v>45</v>
      </c>
      <c r="R341" s="15">
        <f>VLOOKUP(Table2[[#This Row],[Course Title]],'TSD-Data'!$A$1:$F$53,6,FALSE)</f>
        <v>30</v>
      </c>
      <c r="S341" s="15">
        <f>VLOOKUP(Table2[[#This Row],[Course Title]],'TSD-Data'!$A$1:$E$56,5,FALSE)</f>
        <v>4</v>
      </c>
      <c r="T341" s="15"/>
      <c r="U341" s="15"/>
      <c r="V341" s="15"/>
      <c r="W341" s="15"/>
      <c r="X341" s="103"/>
      <c r="Y341" s="15"/>
      <c r="Z341" s="15"/>
      <c r="AA341" s="15"/>
      <c r="AB341" s="99"/>
      <c r="AC341" s="71">
        <f ca="1">Table2[[#This Row],[End Date]]+2-TODAY()</f>
        <v>290</v>
      </c>
      <c r="AD341" s="15">
        <f>IF(ISBLANK(Table2[[#This Row],[Roster Received By]]),1,0)</f>
        <v>1</v>
      </c>
      <c r="AE341" s="15">
        <f ca="1">IF(Table2[[#This Row],[Start Date]]&gt;TODAY(),1,)</f>
        <v>1</v>
      </c>
      <c r="AF341" s="62"/>
    </row>
    <row r="342" spans="1:32" x14ac:dyDescent="0.25">
      <c r="A342" s="62"/>
      <c r="B342" s="117" t="s">
        <v>29</v>
      </c>
      <c r="C342" s="100" t="str">
        <f>VLOOKUP(Table2[[#This Row],[Course Title]],'TSD-Data'!$A$1:$E$56,2,FALSE)</f>
        <v>A-493-0077</v>
      </c>
      <c r="D342" s="100" t="str">
        <f>VLOOKUP(Table2[[#This Row],[Course Title]],'TSD-Data'!$A$1:$E$56,3,FALSE)</f>
        <v>0381</v>
      </c>
      <c r="E342" s="99" t="s">
        <v>299</v>
      </c>
      <c r="F342" s="110">
        <v>45817</v>
      </c>
      <c r="G342" s="110">
        <v>45819</v>
      </c>
      <c r="H342" s="105">
        <v>0.33333333333333331</v>
      </c>
      <c r="I342" s="105"/>
      <c r="J342" s="105"/>
      <c r="K342" s="105"/>
      <c r="L342" s="105"/>
      <c r="M342" s="105"/>
      <c r="N342" s="105"/>
      <c r="O342" s="15" t="s">
        <v>94</v>
      </c>
      <c r="P342" s="15"/>
      <c r="Q342" s="15">
        <f>VLOOKUP(Table2[[#This Row],[Course Title]],'TSD-Data'!$A$1:$E$56,4,FALSE)</f>
        <v>25</v>
      </c>
      <c r="R342" s="15">
        <f>VLOOKUP(Table2[[#This Row],[Course Title]],'TSD-Data'!$A$1:$F$53,6,FALSE)</f>
        <v>24</v>
      </c>
      <c r="S342" s="15">
        <f>VLOOKUP(Table2[[#This Row],[Course Title]],'TSD-Data'!$A$1:$E$56,5,FALSE)</f>
        <v>3</v>
      </c>
      <c r="T342" s="15">
        <v>16</v>
      </c>
      <c r="U342" s="15"/>
      <c r="V342" s="15"/>
      <c r="W342" s="15"/>
      <c r="X342" s="103"/>
      <c r="Y342" s="15"/>
      <c r="Z342" s="15"/>
      <c r="AA342" s="15"/>
      <c r="AB342" s="99"/>
      <c r="AC342" s="71">
        <f ca="1">Table2[[#This Row],[End Date]]+2-TODAY()</f>
        <v>289</v>
      </c>
      <c r="AD342" s="15">
        <f>IF(ISBLANK(Table2[[#This Row],[Roster Received By]]),1,0)</f>
        <v>1</v>
      </c>
      <c r="AE342" s="15">
        <f ca="1">IF(Table2[[#This Row],[Start Date]]&gt;TODAY(),1,)</f>
        <v>1</v>
      </c>
      <c r="AF342" s="62"/>
    </row>
    <row r="343" spans="1:32" x14ac:dyDescent="0.25">
      <c r="A343" s="62"/>
      <c r="B343" s="117" t="s">
        <v>33</v>
      </c>
      <c r="C343" s="100" t="str">
        <f>VLOOKUP(Table2[[#This Row],[Course Title]],'TSD-Data'!$A$1:$E$56,2,FALSE)</f>
        <v>A-493-2301</v>
      </c>
      <c r="D343" s="100" t="str">
        <f>VLOOKUP(Table2[[#This Row],[Course Title]],'TSD-Data'!$A$1:$E$56,3,FALSE)</f>
        <v>05ZD</v>
      </c>
      <c r="E343" s="99" t="s">
        <v>267</v>
      </c>
      <c r="F343" s="110">
        <v>45817</v>
      </c>
      <c r="G343" s="110">
        <v>45817</v>
      </c>
      <c r="H343" s="105">
        <v>0.33333333333333331</v>
      </c>
      <c r="I343" s="105"/>
      <c r="J343" s="105"/>
      <c r="K343" s="105"/>
      <c r="L343" s="105"/>
      <c r="M343" s="105"/>
      <c r="N343" s="105"/>
      <c r="O343" s="15" t="s">
        <v>94</v>
      </c>
      <c r="P343" s="15"/>
      <c r="Q343" s="15">
        <f>VLOOKUP(Table2[[#This Row],[Course Title]],'TSD-Data'!$A$1:$E$56,4,FALSE)</f>
        <v>30</v>
      </c>
      <c r="R343" s="15">
        <f>VLOOKUP(Table2[[#This Row],[Course Title]],'TSD-Data'!$A$1:$F$53,6,FALSE)</f>
        <v>8</v>
      </c>
      <c r="S343" s="15">
        <f>VLOOKUP(Table2[[#This Row],[Course Title]],'TSD-Data'!$A$1:$E$56,5,FALSE)</f>
        <v>1</v>
      </c>
      <c r="T343" s="15">
        <v>59</v>
      </c>
      <c r="U343" s="15"/>
      <c r="V343" s="15"/>
      <c r="W343" s="15"/>
      <c r="X343" s="103"/>
      <c r="Y343" s="15"/>
      <c r="Z343" s="15"/>
      <c r="AA343" s="100"/>
      <c r="AB343" s="99"/>
      <c r="AC343" s="71">
        <f ca="1">Table2[[#This Row],[End Date]]+2-TODAY()</f>
        <v>287</v>
      </c>
      <c r="AD343" s="15">
        <f>IF(ISBLANK(Table2[[#This Row],[Roster Received By]]),1,0)</f>
        <v>1</v>
      </c>
      <c r="AE343" s="15">
        <f ca="1">IF(Table2[[#This Row],[Start Date]]&gt;TODAY(),1,)</f>
        <v>1</v>
      </c>
      <c r="AF343" s="62"/>
    </row>
    <row r="344" spans="1:32" x14ac:dyDescent="0.25">
      <c r="A344" s="62"/>
      <c r="B344" s="117" t="s">
        <v>61</v>
      </c>
      <c r="C344" s="100" t="str">
        <f>VLOOKUP(Table2[[#This Row],[Course Title]],'TSD-Data'!$A$1:$E$56,2,FALSE)</f>
        <v>A-493-0078</v>
      </c>
      <c r="D344" s="100">
        <f>VLOOKUP(Table2[[#This Row],[Course Title]],'TSD-Data'!$A$1:$E$56,3,FALSE)</f>
        <v>1228</v>
      </c>
      <c r="E344" s="99" t="s">
        <v>80</v>
      </c>
      <c r="F344" s="132">
        <v>45817</v>
      </c>
      <c r="G344" s="132">
        <v>45820</v>
      </c>
      <c r="H344" s="102"/>
      <c r="I344" s="101">
        <v>0.29166666666666669</v>
      </c>
      <c r="J344" s="105">
        <v>0.16666666666666666</v>
      </c>
      <c r="K344" s="105">
        <v>0.58333333333333337</v>
      </c>
      <c r="L344" s="105">
        <v>0.5</v>
      </c>
      <c r="M344" s="105">
        <v>4.1666666666666664E-2</v>
      </c>
      <c r="N344" s="105">
        <v>0.83333333333333337</v>
      </c>
      <c r="O344" s="15" t="s">
        <v>394</v>
      </c>
      <c r="P344" s="15"/>
      <c r="Q344" s="15">
        <f>VLOOKUP(Table2[[#This Row],[Course Title]],'TSD-Data'!$A$1:$E$56,4,FALSE)</f>
        <v>45</v>
      </c>
      <c r="R344" s="15">
        <f>VLOOKUP(Table2[[#This Row],[Course Title]],'TSD-Data'!$A$1:$F$53,6,FALSE)</f>
        <v>32</v>
      </c>
      <c r="S344" s="15">
        <f>VLOOKUP(Table2[[#This Row],[Course Title]],'TSD-Data'!$A$1:$E$56,5,FALSE)</f>
        <v>4</v>
      </c>
      <c r="T344" s="15"/>
      <c r="U344" s="15"/>
      <c r="V344" s="15"/>
      <c r="W344" s="15"/>
      <c r="X344" s="103"/>
      <c r="Y344" s="15"/>
      <c r="Z344" s="15"/>
      <c r="AA344" s="15"/>
      <c r="AB344" s="99"/>
      <c r="AC344" s="71">
        <f ca="1">Table2[[#This Row],[End Date]]+2-TODAY()</f>
        <v>290</v>
      </c>
      <c r="AD344" s="15">
        <f>IF(ISBLANK(Table2[[#This Row],[Roster Received By]]),1,0)</f>
        <v>1</v>
      </c>
      <c r="AE344" s="15">
        <f ca="1">IF(Table2[[#This Row],[Start Date]]&gt;TODAY(),1,)</f>
        <v>1</v>
      </c>
      <c r="AF344" s="62"/>
    </row>
    <row r="345" spans="1:32" x14ac:dyDescent="0.25">
      <c r="A345" s="62"/>
      <c r="B345" s="117" t="s">
        <v>52</v>
      </c>
      <c r="C345" s="100" t="str">
        <f>VLOOKUP(Table2[[#This Row],[Course Title]],'TSD-Data'!$A$1:$E$56,2,FALSE)</f>
        <v>A-493-0085</v>
      </c>
      <c r="D345" s="100">
        <f>VLOOKUP(Table2[[#This Row],[Course Title]],'TSD-Data'!$A$1:$E$56,3,FALSE)</f>
        <v>3555</v>
      </c>
      <c r="E345" s="118" t="s">
        <v>80</v>
      </c>
      <c r="F345" s="132">
        <v>45817</v>
      </c>
      <c r="G345" s="132">
        <v>45820</v>
      </c>
      <c r="H345" s="105"/>
      <c r="I345" s="101">
        <v>0.5</v>
      </c>
      <c r="J345" s="101">
        <v>0.375</v>
      </c>
      <c r="K345" s="101">
        <v>0.79166666666666663</v>
      </c>
      <c r="L345" s="101">
        <v>0.75</v>
      </c>
      <c r="M345" s="101">
        <v>0.25</v>
      </c>
      <c r="N345" s="101">
        <v>4.1666666666666664E-2</v>
      </c>
      <c r="O345" s="15" t="s">
        <v>394</v>
      </c>
      <c r="P345" s="15"/>
      <c r="Q345" s="15">
        <f>VLOOKUP(Table2[[#This Row],[Course Title]],'TSD-Data'!$A$1:$E$56,4,FALSE)</f>
        <v>45</v>
      </c>
      <c r="R345" s="15">
        <f>VLOOKUP(Table2[[#This Row],[Course Title]],'TSD-Data'!$A$1:$F$53,6,FALSE)</f>
        <v>32</v>
      </c>
      <c r="S345" s="15">
        <f>VLOOKUP(Table2[[#This Row],[Course Title]],'TSD-Data'!$A$1:$E$56,5,FALSE)</f>
        <v>4</v>
      </c>
      <c r="T345" s="15"/>
      <c r="U345" s="15"/>
      <c r="V345" s="15"/>
      <c r="W345" s="15"/>
      <c r="X345" s="103"/>
      <c r="Y345" s="15"/>
      <c r="Z345" s="15"/>
      <c r="AA345" s="15"/>
      <c r="AB345" s="99"/>
      <c r="AC345" s="71">
        <f ca="1">Table2[[#This Row],[End Date]]+2-TODAY()</f>
        <v>290</v>
      </c>
      <c r="AD345" s="15">
        <f>IF(ISBLANK(Table2[[#This Row],[Roster Received By]]),1,0)</f>
        <v>1</v>
      </c>
      <c r="AE345" s="15">
        <f ca="1">IF(Table2[[#This Row],[Start Date]]&gt;TODAY(),1,)</f>
        <v>1</v>
      </c>
      <c r="AF345" s="62"/>
    </row>
    <row r="346" spans="1:32" x14ac:dyDescent="0.25">
      <c r="A346" s="100"/>
      <c r="B346" s="117" t="s">
        <v>39</v>
      </c>
      <c r="C346" s="100" t="str">
        <f>VLOOKUP(Table2[[#This Row],[Course Title]],'TSD-Data'!$A$1:$E$56,2,FALSE)</f>
        <v>A-570-0100</v>
      </c>
      <c r="D346" s="100" t="str">
        <f>VLOOKUP(Table2[[#This Row],[Course Title]],'TSD-Data'!$A$1:$E$56,3,FALSE)</f>
        <v>18B7</v>
      </c>
      <c r="E346" s="118" t="s">
        <v>80</v>
      </c>
      <c r="F346" s="132">
        <v>45817</v>
      </c>
      <c r="G346" s="132">
        <v>45820</v>
      </c>
      <c r="H346" s="105"/>
      <c r="I346" s="105">
        <v>0.54166666666666663</v>
      </c>
      <c r="J346" s="101">
        <v>0.41666666666666669</v>
      </c>
      <c r="K346" s="101">
        <v>0.83333333333333337</v>
      </c>
      <c r="L346" s="101">
        <v>0.75</v>
      </c>
      <c r="M346" s="101">
        <v>0.29166666666666669</v>
      </c>
      <c r="N346" s="101">
        <v>8.3333333333333329E-2</v>
      </c>
      <c r="O346" s="15" t="s">
        <v>394</v>
      </c>
      <c r="P346" s="15"/>
      <c r="Q346" s="15">
        <f>VLOOKUP(Table2[[#This Row],[Course Title]],'TSD-Data'!$A$1:$E$56,4,FALSE)</f>
        <v>45</v>
      </c>
      <c r="R346" s="15">
        <f>VLOOKUP(Table2[[#This Row],[Course Title]],'TSD-Data'!$A$1:$F$53,6,FALSE)</f>
        <v>16</v>
      </c>
      <c r="S346" s="15">
        <f>VLOOKUP(Table2[[#This Row],[Course Title]],'TSD-Data'!$A$1:$E$56,5,FALSE)</f>
        <v>2</v>
      </c>
      <c r="T346" s="15"/>
      <c r="U346" s="15"/>
      <c r="V346" s="15"/>
      <c r="W346" s="104"/>
      <c r="X346" s="104"/>
      <c r="Y346" s="100"/>
      <c r="Z346" s="100"/>
      <c r="AA346" s="104"/>
      <c r="AB346" s="99"/>
      <c r="AC346" s="71">
        <f ca="1">Table2[[#This Row],[End Date]]+2-TODAY()</f>
        <v>290</v>
      </c>
      <c r="AD346" s="15">
        <f>IF(ISBLANK(Table2[[#This Row],[Roster Received By]]),1,0)</f>
        <v>1</v>
      </c>
      <c r="AE346" s="15">
        <f ca="1">IF(Table2[[#This Row],[Start Date]]&gt;TODAY(),1,)</f>
        <v>1</v>
      </c>
      <c r="AF346" s="62"/>
    </row>
    <row r="347" spans="1:32" x14ac:dyDescent="0.25">
      <c r="A347" s="62"/>
      <c r="B347" s="117" t="s">
        <v>231</v>
      </c>
      <c r="C347" s="100" t="str">
        <f>VLOOKUP(Table2[[#This Row],[Course Title]],'TSD-Data'!$A$1:$E$56,2,FALSE)</f>
        <v>A-4J-0019</v>
      </c>
      <c r="D347" s="100" t="s">
        <v>381</v>
      </c>
      <c r="E347" s="99" t="s">
        <v>270</v>
      </c>
      <c r="F347" s="102">
        <v>45817</v>
      </c>
      <c r="G347" s="102">
        <v>45821</v>
      </c>
      <c r="H347" s="105">
        <v>0.33333333333333331</v>
      </c>
      <c r="I347" s="105"/>
      <c r="J347" s="102"/>
      <c r="K347" s="102"/>
      <c r="L347" s="102"/>
      <c r="M347" s="102"/>
      <c r="N347" s="102"/>
      <c r="O347" s="15" t="s">
        <v>205</v>
      </c>
      <c r="P347" s="15" t="s">
        <v>201</v>
      </c>
      <c r="Q347" s="103">
        <f>VLOOKUP(Table2[[#This Row],[Course Title]],'TSD-Data'!$A$1:$E$56,4,FALSE)</f>
        <v>20</v>
      </c>
      <c r="R347" s="15">
        <f>VLOOKUP(Table2[[#This Row],[Course Title]],'TSD-Data'!$A$1:$F$53,6,FALSE)</f>
        <v>0</v>
      </c>
      <c r="S347" s="104">
        <f>VLOOKUP(Table2[[#This Row],[Course Title]],'TSD-Data'!$A$1:$E$56,5,FALSE)</f>
        <v>5</v>
      </c>
      <c r="T347" s="104">
        <v>351</v>
      </c>
      <c r="U347" s="104"/>
      <c r="V347" s="104"/>
      <c r="W347" s="103"/>
      <c r="X347" s="103"/>
      <c r="Y347" s="15"/>
      <c r="Z347" s="15"/>
      <c r="AA347" s="100"/>
      <c r="AB347" s="99"/>
      <c r="AC347" s="71">
        <f ca="1">Table2[[#This Row],[End Date]]+2-TODAY()</f>
        <v>291</v>
      </c>
      <c r="AD347" s="15">
        <f>IF(ISBLANK(Table2[[#This Row],[Roster Received By]]),1,0)</f>
        <v>1</v>
      </c>
      <c r="AE347" s="15">
        <f ca="1">IF(Table2[[#This Row],[Start Date]]&gt;TODAY(),1,)</f>
        <v>1</v>
      </c>
      <c r="AF347" s="62"/>
    </row>
    <row r="348" spans="1:32" s="80" customFormat="1" x14ac:dyDescent="0.25">
      <c r="A348" s="100"/>
      <c r="B348" s="117" t="s">
        <v>40</v>
      </c>
      <c r="C348" s="100" t="str">
        <f>VLOOKUP(Table2[[#This Row],[Course Title]],'TSD-Data'!$A$1:$E$56,2,FALSE)</f>
        <v>A-493-2098</v>
      </c>
      <c r="D348" s="100" t="str">
        <f>VLOOKUP(Table2[[#This Row],[Course Title]],'TSD-Data'!$A$1:$E$56,3,FALSE)</f>
        <v>09WW</v>
      </c>
      <c r="E348" s="116" t="s">
        <v>80</v>
      </c>
      <c r="F348" s="110">
        <v>45817</v>
      </c>
      <c r="G348" s="110">
        <v>45821</v>
      </c>
      <c r="H348" s="105"/>
      <c r="I348" s="105">
        <v>0.54166666666666663</v>
      </c>
      <c r="J348" s="101">
        <v>0.41666666666666669</v>
      </c>
      <c r="K348" s="101">
        <v>0.83333333333333337</v>
      </c>
      <c r="L348" s="101">
        <v>0.75</v>
      </c>
      <c r="M348" s="101">
        <v>0.29166666666666669</v>
      </c>
      <c r="N348" s="101">
        <v>8.3333333333333329E-2</v>
      </c>
      <c r="O348" s="15" t="s">
        <v>394</v>
      </c>
      <c r="P348" s="15"/>
      <c r="Q348" s="15">
        <f>VLOOKUP(Table2[[#This Row],[Course Title]],'TSD-Data'!$A$1:$E$56,4,FALSE)</f>
        <v>100</v>
      </c>
      <c r="R348" s="15">
        <f>VLOOKUP(Table2[[#This Row],[Course Title]],'TSD-Data'!$A$1:$F$53,6,FALSE)</f>
        <v>16</v>
      </c>
      <c r="S348" s="15">
        <f>VLOOKUP(Table2[[#This Row],[Course Title]],'TSD-Data'!$A$1:$E$56,5,FALSE)</f>
        <v>2</v>
      </c>
      <c r="T348" s="15"/>
      <c r="U348" s="15"/>
      <c r="V348" s="15"/>
      <c r="W348" s="104"/>
      <c r="X348" s="104"/>
      <c r="Y348" s="100"/>
      <c r="Z348" s="100"/>
      <c r="AA348" s="104"/>
      <c r="AB348" s="99"/>
      <c r="AC348" s="71">
        <f ca="1">Table2[[#This Row],[End Date]]+2-TODAY()</f>
        <v>291</v>
      </c>
      <c r="AD348" s="15">
        <f>IF(ISBLANK(Table2[[#This Row],[Roster Received By]]),1,0)</f>
        <v>1</v>
      </c>
      <c r="AE348" s="15">
        <f ca="1">IF(Table2[[#This Row],[Start Date]]&gt;TODAY(),1,)</f>
        <v>1</v>
      </c>
      <c r="AF348" s="151"/>
    </row>
    <row r="349" spans="1:32" x14ac:dyDescent="0.25">
      <c r="A349" s="151" t="s">
        <v>397</v>
      </c>
      <c r="B349" s="379" t="s">
        <v>36</v>
      </c>
      <c r="C349" s="154" t="str">
        <f>VLOOKUP(Table2[[#This Row],[Course Title]],'TSD-Data'!$A$1:$E$56,2,FALSE)</f>
        <v>A-493-2017</v>
      </c>
      <c r="D349" s="154" t="str">
        <f>VLOOKUP(Table2[[#This Row],[Course Title]],'TSD-Data'!$A$1:$E$56,3,FALSE)</f>
        <v>12x3</v>
      </c>
      <c r="E349" s="185" t="s">
        <v>125</v>
      </c>
      <c r="F349" s="380">
        <v>45817</v>
      </c>
      <c r="G349" s="380">
        <v>45821</v>
      </c>
      <c r="H349" s="158">
        <v>0.33333333333333331</v>
      </c>
      <c r="I349" s="158"/>
      <c r="J349" s="155"/>
      <c r="K349" s="155"/>
      <c r="L349" s="155"/>
      <c r="M349" s="155"/>
      <c r="N349" s="155"/>
      <c r="O349" s="157" t="s">
        <v>94</v>
      </c>
      <c r="P349" s="157"/>
      <c r="Q349" s="182">
        <f>VLOOKUP(Table2[[#This Row],[Course Title]],'TSD-Data'!$A$1:$E$56,4,FALSE)</f>
        <v>25</v>
      </c>
      <c r="R349" s="157">
        <f>VLOOKUP(Table2[[#This Row],[Course Title]],'TSD-Data'!$A$1:$F$53,6,FALSE)</f>
        <v>40</v>
      </c>
      <c r="S349" s="381">
        <f>VLOOKUP(Table2[[#This Row],[Course Title]],'TSD-Data'!$A$1:$E$56,5,FALSE)</f>
        <v>5</v>
      </c>
      <c r="T349" s="381">
        <v>0</v>
      </c>
      <c r="U349" s="381"/>
      <c r="V349" s="381"/>
      <c r="W349" s="182"/>
      <c r="X349" s="182"/>
      <c r="Y349" s="157"/>
      <c r="Z349" s="157"/>
      <c r="AA349" s="157"/>
      <c r="AB349" s="152"/>
      <c r="AC349" s="183">
        <f ca="1">Table2[[#This Row],[End Date]]+2-TODAY()</f>
        <v>291</v>
      </c>
      <c r="AD349" s="157">
        <f>IF(ISBLANK(Table2[[#This Row],[Roster Received By]]),1,0)</f>
        <v>1</v>
      </c>
      <c r="AE349" s="157">
        <f ca="1">IF(Table2[[#This Row],[Start Date]]&gt;TODAY(),1,)</f>
        <v>1</v>
      </c>
      <c r="AF349" s="62"/>
    </row>
    <row r="350" spans="1:32" x14ac:dyDescent="0.25">
      <c r="A350" s="62"/>
      <c r="B350" s="117" t="s">
        <v>57</v>
      </c>
      <c r="C350" s="100" t="str">
        <f>VLOOKUP(Table2[[#This Row],[Course Title]],'TSD-Data'!$A$1:$E$56,2,FALSE)</f>
        <v>A-493-0099</v>
      </c>
      <c r="D350" s="100" t="str">
        <f>VLOOKUP(Table2[[#This Row],[Course Title]],'TSD-Data'!$A$1:$E$56,3,FALSE)</f>
        <v>12JW</v>
      </c>
      <c r="E350" s="116" t="s">
        <v>80</v>
      </c>
      <c r="F350" s="110">
        <v>45818</v>
      </c>
      <c r="G350" s="110">
        <v>45820</v>
      </c>
      <c r="H350" s="105"/>
      <c r="I350" s="105">
        <v>0.41666666666666669</v>
      </c>
      <c r="J350" s="101">
        <v>0.29166666666666669</v>
      </c>
      <c r="K350" s="101">
        <v>0.70833333333333337</v>
      </c>
      <c r="L350" s="101">
        <v>0.66666666666666663</v>
      </c>
      <c r="M350" s="101">
        <v>0.16666666666666666</v>
      </c>
      <c r="N350" s="101">
        <v>0.95833333333333337</v>
      </c>
      <c r="O350" s="15" t="s">
        <v>394</v>
      </c>
      <c r="P350" s="15"/>
      <c r="Q350" s="15">
        <f>VLOOKUP(Table2[[#This Row],[Course Title]],'TSD-Data'!$A$1:$E$56,4,FALSE)</f>
        <v>45</v>
      </c>
      <c r="R350" s="15">
        <f>VLOOKUP(Table2[[#This Row],[Course Title]],'TSD-Data'!$A$1:$F$53,6,FALSE)</f>
        <v>24</v>
      </c>
      <c r="S350" s="15">
        <f>VLOOKUP(Table2[[#This Row],[Course Title]],'TSD-Data'!$A$1:$E$56,5,FALSE)</f>
        <v>3</v>
      </c>
      <c r="T350" s="15"/>
      <c r="U350" s="15"/>
      <c r="V350" s="15"/>
      <c r="W350" s="103"/>
      <c r="X350" s="103"/>
      <c r="Y350" s="15"/>
      <c r="Z350" s="15"/>
      <c r="AA350" s="15"/>
      <c r="AB350" s="99"/>
      <c r="AC350" s="71">
        <f ca="1">Table2[[#This Row],[End Date]]+2-TODAY()</f>
        <v>290</v>
      </c>
      <c r="AD350" s="15">
        <f>IF(ISBLANK(Table2[[#This Row],[Roster Received By]]),1,0)</f>
        <v>1</v>
      </c>
      <c r="AE350" s="15">
        <f ca="1">IF(Table2[[#This Row],[Start Date]]&gt;TODAY(),1,)</f>
        <v>1</v>
      </c>
      <c r="AF350" s="62"/>
    </row>
    <row r="351" spans="1:32" x14ac:dyDescent="0.25">
      <c r="A351" s="62"/>
      <c r="B351" s="117" t="s">
        <v>58</v>
      </c>
      <c r="C351" s="100" t="str">
        <f>VLOOKUP(Table2[[#This Row],[Course Title]],'TSD-Data'!$A$1:$E$56,2,FALSE)</f>
        <v xml:space="preserve">A-493-0075 </v>
      </c>
      <c r="D351" s="100" t="str">
        <f>VLOOKUP(Table2[[#This Row],[Course Title]],'TSD-Data'!$A$1:$E$56,3,FALSE)</f>
        <v>714U</v>
      </c>
      <c r="E351" s="116" t="s">
        <v>241</v>
      </c>
      <c r="F351" s="98">
        <v>45818</v>
      </c>
      <c r="G351" s="110">
        <v>45821</v>
      </c>
      <c r="H351" s="105">
        <v>0.33333333333333331</v>
      </c>
      <c r="I351" s="101"/>
      <c r="J351" s="101"/>
      <c r="K351" s="101"/>
      <c r="L351" s="101"/>
      <c r="M351" s="101"/>
      <c r="N351" s="101"/>
      <c r="O351" s="15" t="s">
        <v>160</v>
      </c>
      <c r="P351" s="15"/>
      <c r="Q351" s="15">
        <f>VLOOKUP(Table2[[#This Row],[Course Title]],'TSD-Data'!$A$1:$E$56,4,FALSE)</f>
        <v>30</v>
      </c>
      <c r="R351" s="15">
        <f>VLOOKUP(Table2[[#This Row],[Course Title]],'TSD-Data'!$A$1:$F$53,6,FALSE)</f>
        <v>32</v>
      </c>
      <c r="S351" s="15">
        <f>VLOOKUP(Table2[[#This Row],[Course Title]],'TSD-Data'!$A$1:$E$56,5,FALSE)</f>
        <v>4</v>
      </c>
      <c r="T351" s="15">
        <v>11</v>
      </c>
      <c r="U351" s="15"/>
      <c r="V351" s="15"/>
      <c r="W351" s="15"/>
      <c r="X351" s="103"/>
      <c r="Y351" s="15"/>
      <c r="Z351" s="15"/>
      <c r="AA351" s="15"/>
      <c r="AB351" s="99"/>
      <c r="AC351" s="71">
        <f ca="1">Table2[[#This Row],[End Date]]+2-TODAY()</f>
        <v>291</v>
      </c>
      <c r="AD351" s="15">
        <f>IF(ISBLANK(Table2[[#This Row],[Roster Received By]]),1,0)</f>
        <v>1</v>
      </c>
      <c r="AE351" s="15">
        <f ca="1">IF(Table2[[#This Row],[Start Date]]&gt;TODAY(),1,)</f>
        <v>1</v>
      </c>
      <c r="AF351" s="62"/>
    </row>
    <row r="352" spans="1:32" x14ac:dyDescent="0.25">
      <c r="A352" s="62" t="s">
        <v>414</v>
      </c>
      <c r="B352" s="117" t="s">
        <v>31</v>
      </c>
      <c r="C352" s="100" t="str">
        <f>VLOOKUP(Table2[[#This Row],[Course Title]],'TSD-Data'!$A$1:$E$56,2,FALSE)</f>
        <v>A-493-0083</v>
      </c>
      <c r="D352" s="100" t="str">
        <f>VLOOKUP(Table2[[#This Row],[Course Title]],'TSD-Data'!$A$1:$E$56,3,FALSE)</f>
        <v>339E</v>
      </c>
      <c r="E352" s="116" t="s">
        <v>80</v>
      </c>
      <c r="F352" s="110">
        <v>45818</v>
      </c>
      <c r="G352" s="110">
        <v>45818</v>
      </c>
      <c r="H352" s="105"/>
      <c r="I352" s="105">
        <v>0.79166666666666663</v>
      </c>
      <c r="J352" s="101">
        <v>0.66666666666666663</v>
      </c>
      <c r="K352" s="101">
        <v>8.3333333333333329E-2</v>
      </c>
      <c r="L352" s="101">
        <v>0</v>
      </c>
      <c r="M352" s="101">
        <v>0.54166666666666663</v>
      </c>
      <c r="N352" s="101">
        <v>0.33333333333333331</v>
      </c>
      <c r="O352" s="15" t="s">
        <v>94</v>
      </c>
      <c r="P352" s="15"/>
      <c r="Q352" s="15">
        <f>VLOOKUP(Table2[[#This Row],[Course Title]],'TSD-Data'!$A$1:$E$56,4,FALSE)</f>
        <v>30</v>
      </c>
      <c r="R352" s="15">
        <f>VLOOKUP(Table2[[#This Row],[Course Title]],'TSD-Data'!$A$1:$F$53,6,FALSE)</f>
        <v>8</v>
      </c>
      <c r="S352" s="15">
        <f>VLOOKUP(Table2[[#This Row],[Course Title]],'TSD-Data'!$A$1:$E$56,5,FALSE)</f>
        <v>1</v>
      </c>
      <c r="T352" s="15">
        <v>0</v>
      </c>
      <c r="U352" s="15"/>
      <c r="V352" s="15"/>
      <c r="W352" s="15"/>
      <c r="X352" s="103"/>
      <c r="Y352" s="15"/>
      <c r="Z352" s="15"/>
      <c r="AA352" s="15"/>
      <c r="AB352" s="99"/>
      <c r="AC352" s="71">
        <f ca="1">Table2[[#This Row],[End Date]]+2-TODAY()</f>
        <v>288</v>
      </c>
      <c r="AD352" s="15">
        <f>IF(ISBLANK(Table2[[#This Row],[Roster Received By]]),1,0)</f>
        <v>1</v>
      </c>
      <c r="AE352" s="15">
        <f ca="1">IF(Table2[[#This Row],[Start Date]]&gt;TODAY(),1,)</f>
        <v>1</v>
      </c>
      <c r="AF352" s="62"/>
    </row>
    <row r="353" spans="1:32" x14ac:dyDescent="0.25">
      <c r="A353" s="62"/>
      <c r="B353" s="117" t="s">
        <v>50</v>
      </c>
      <c r="C353" s="100" t="str">
        <f>VLOOKUP(Table2[[#This Row],[Course Title]],'TSD-Data'!$A$1:$E$56,2,FALSE)</f>
        <v>A-493-0331</v>
      </c>
      <c r="D353" s="100" t="str">
        <f>VLOOKUP(Table2[[#This Row],[Course Title]],'TSD-Data'!$A$1:$E$56,3,FALSE)</f>
        <v>10UG</v>
      </c>
      <c r="E353" s="116" t="s">
        <v>80</v>
      </c>
      <c r="F353" s="110">
        <v>45818</v>
      </c>
      <c r="G353" s="110">
        <v>45820</v>
      </c>
      <c r="H353" s="105"/>
      <c r="I353" s="101">
        <v>0.5</v>
      </c>
      <c r="J353" s="101">
        <v>0.375</v>
      </c>
      <c r="K353" s="101">
        <v>0.79166666666666663</v>
      </c>
      <c r="L353" s="101">
        <v>0.75</v>
      </c>
      <c r="M353" s="101">
        <v>0.25</v>
      </c>
      <c r="N353" s="101">
        <v>4.1666666666666664E-2</v>
      </c>
      <c r="O353" s="15" t="s">
        <v>394</v>
      </c>
      <c r="P353" s="15"/>
      <c r="Q353" s="15">
        <f>VLOOKUP(Table2[[#This Row],[Course Title]],'TSD-Data'!$A$1:$E$56,4,FALSE)</f>
        <v>45</v>
      </c>
      <c r="R353" s="15">
        <f>VLOOKUP(Table2[[#This Row],[Course Title]],'TSD-Data'!$A$1:$F$53,6,FALSE)</f>
        <v>24</v>
      </c>
      <c r="S353" s="15">
        <f>VLOOKUP(Table2[[#This Row],[Course Title]],'TSD-Data'!$A$1:$E$56,5,FALSE)</f>
        <v>3</v>
      </c>
      <c r="T353" s="15"/>
      <c r="U353" s="15"/>
      <c r="V353" s="15"/>
      <c r="W353" s="15"/>
      <c r="X353" s="103"/>
      <c r="Y353" s="15"/>
      <c r="Z353" s="15"/>
      <c r="AA353" s="15"/>
      <c r="AB353" s="99"/>
      <c r="AC353" s="71">
        <f ca="1">Table2[[#This Row],[End Date]]+2-TODAY()</f>
        <v>290</v>
      </c>
      <c r="AD353" s="15">
        <f>IF(ISBLANK(Table2[[#This Row],[Roster Received By]]),1,0)</f>
        <v>1</v>
      </c>
      <c r="AE353" s="15">
        <f ca="1">IF(Table2[[#This Row],[Start Date]]&gt;TODAY(),1,)</f>
        <v>1</v>
      </c>
      <c r="AF353" s="62"/>
    </row>
    <row r="354" spans="1:32" x14ac:dyDescent="0.25">
      <c r="A354" s="62"/>
      <c r="B354" s="117" t="s">
        <v>35</v>
      </c>
      <c r="C354" s="100" t="str">
        <f>VLOOKUP(Table2[[#This Row],[Course Title]],'TSD-Data'!$A$1:$E$56,2,FALSE)</f>
        <v>A-493-2501</v>
      </c>
      <c r="D354" s="100" t="str">
        <f>VLOOKUP(Table2[[#This Row],[Course Title]],'TSD-Data'!$A$1:$E$56,3,FALSE)</f>
        <v>05ZE</v>
      </c>
      <c r="E354" s="116" t="s">
        <v>267</v>
      </c>
      <c r="F354" s="110">
        <v>45818</v>
      </c>
      <c r="G354" s="110">
        <v>45818</v>
      </c>
      <c r="H354" s="105">
        <v>0.33333333333333331</v>
      </c>
      <c r="I354" s="105"/>
      <c r="J354" s="105"/>
      <c r="K354" s="105"/>
      <c r="L354" s="105"/>
      <c r="M354" s="105"/>
      <c r="N354" s="105"/>
      <c r="O354" s="15" t="s">
        <v>94</v>
      </c>
      <c r="P354" s="15"/>
      <c r="Q354" s="15">
        <f>VLOOKUP(Table2[[#This Row],[Course Title]],'TSD-Data'!$A$1:$E$56,4,FALSE)</f>
        <v>30</v>
      </c>
      <c r="R354" s="15">
        <f>VLOOKUP(Table2[[#This Row],[Course Title]],'TSD-Data'!$A$1:$F$53,6,FALSE)</f>
        <v>8</v>
      </c>
      <c r="S354" s="15">
        <f>VLOOKUP(Table2[[#This Row],[Course Title]],'TSD-Data'!$A$1:$E$56,5,FALSE)</f>
        <v>1</v>
      </c>
      <c r="T354" s="15">
        <v>78</v>
      </c>
      <c r="U354" s="15"/>
      <c r="V354" s="15"/>
      <c r="W354" s="15"/>
      <c r="X354" s="103"/>
      <c r="Y354" s="15"/>
      <c r="Z354" s="15"/>
      <c r="AA354" s="15"/>
      <c r="AB354" s="99"/>
      <c r="AC354" s="71">
        <f ca="1">Table2[[#This Row],[End Date]]+2-TODAY()</f>
        <v>288</v>
      </c>
      <c r="AD354" s="15">
        <f>IF(ISBLANK(Table2[[#This Row],[Roster Received By]]),1,0)</f>
        <v>1</v>
      </c>
      <c r="AE354" s="15">
        <f ca="1">IF(Table2[[#This Row],[Start Date]]&gt;TODAY(),1,)</f>
        <v>1</v>
      </c>
      <c r="AF354" s="62"/>
    </row>
    <row r="355" spans="1:32" x14ac:dyDescent="0.25">
      <c r="A355" s="62"/>
      <c r="B355" s="117" t="s">
        <v>35</v>
      </c>
      <c r="C355" s="100" t="str">
        <f>VLOOKUP(Table2[[#This Row],[Course Title]],'TSD-Data'!$A$1:$E$56,2,FALSE)</f>
        <v>A-493-2501</v>
      </c>
      <c r="D355" s="100" t="str">
        <f>VLOOKUP(Table2[[#This Row],[Course Title]],'TSD-Data'!$A$1:$E$56,3,FALSE)</f>
        <v>05ZE</v>
      </c>
      <c r="E355" s="99" t="s">
        <v>224</v>
      </c>
      <c r="F355" s="110">
        <v>45819</v>
      </c>
      <c r="G355" s="110">
        <v>45819</v>
      </c>
      <c r="H355" s="105">
        <v>0.33333333333333331</v>
      </c>
      <c r="I355" s="105"/>
      <c r="J355" s="105"/>
      <c r="K355" s="105"/>
      <c r="L355" s="105"/>
      <c r="M355" s="105"/>
      <c r="N355" s="105"/>
      <c r="O355" s="15" t="s">
        <v>94</v>
      </c>
      <c r="P355" s="15"/>
      <c r="Q355" s="15">
        <f>VLOOKUP(Table2[[#This Row],[Course Title]],'TSD-Data'!$A$1:$E$56,4,FALSE)</f>
        <v>30</v>
      </c>
      <c r="R355" s="15">
        <f>VLOOKUP(Table2[[#This Row],[Course Title]],'TSD-Data'!$A$1:$F$53,6,FALSE)</f>
        <v>8</v>
      </c>
      <c r="S355" s="15">
        <f>VLOOKUP(Table2[[#This Row],[Course Title]],'TSD-Data'!$A$1:$E$56,5,FALSE)</f>
        <v>1</v>
      </c>
      <c r="T355" s="15">
        <v>2</v>
      </c>
      <c r="U355" s="15"/>
      <c r="V355" s="15"/>
      <c r="W355" s="15"/>
      <c r="X355" s="103"/>
      <c r="Y355" s="15"/>
      <c r="Z355" s="15"/>
      <c r="AA355" s="15"/>
      <c r="AB355" s="99"/>
      <c r="AC355" s="71">
        <f ca="1">Table2[[#This Row],[End Date]]+2-TODAY()</f>
        <v>289</v>
      </c>
      <c r="AD355" s="15">
        <f>IF(ISBLANK(Table2[[#This Row],[Roster Received By]]),1,0)</f>
        <v>1</v>
      </c>
      <c r="AE355" s="15">
        <f ca="1">IF(Table2[[#This Row],[Start Date]]&gt;TODAY(),1,)</f>
        <v>1</v>
      </c>
      <c r="AF355" s="62"/>
    </row>
    <row r="356" spans="1:32" x14ac:dyDescent="0.25">
      <c r="A356" s="99"/>
      <c r="B356" s="117" t="s">
        <v>31</v>
      </c>
      <c r="C356" s="100" t="str">
        <f>VLOOKUP(Table2[[#This Row],[Course Title]],'TSD-Data'!$A$1:$E$56,2,FALSE)</f>
        <v>A-493-0083</v>
      </c>
      <c r="D356" s="100" t="str">
        <f>VLOOKUP(Table2[[#This Row],[Course Title]],'TSD-Data'!$A$1:$E$56,3,FALSE)</f>
        <v>339E</v>
      </c>
      <c r="E356" s="116" t="s">
        <v>299</v>
      </c>
      <c r="F356" s="110">
        <v>45820</v>
      </c>
      <c r="G356" s="110">
        <v>45820</v>
      </c>
      <c r="H356" s="105">
        <v>0.33333333333333331</v>
      </c>
      <c r="I356" s="105"/>
      <c r="J356" s="105"/>
      <c r="K356" s="105"/>
      <c r="L356" s="105"/>
      <c r="M356" s="105"/>
      <c r="N356" s="105"/>
      <c r="O356" s="15" t="s">
        <v>94</v>
      </c>
      <c r="P356" s="15"/>
      <c r="Q356" s="15">
        <f>VLOOKUP(Table2[[#This Row],[Course Title]],'TSD-Data'!$A$1:$E$56,4,FALSE)</f>
        <v>30</v>
      </c>
      <c r="R356" s="15">
        <f>VLOOKUP(Table2[[#This Row],[Course Title]],'TSD-Data'!$A$1:$F$53,6,FALSE)</f>
        <v>8</v>
      </c>
      <c r="S356" s="15">
        <f>VLOOKUP(Table2[[#This Row],[Course Title]],'TSD-Data'!$A$1:$E$56,5,FALSE)</f>
        <v>1</v>
      </c>
      <c r="T356" s="15">
        <v>19</v>
      </c>
      <c r="U356" s="15"/>
      <c r="V356" s="15"/>
      <c r="W356" s="15"/>
      <c r="X356" s="103"/>
      <c r="Y356" s="15"/>
      <c r="Z356" s="15"/>
      <c r="AA356" s="15"/>
      <c r="AB356" s="99"/>
      <c r="AC356" s="71">
        <f ca="1">Table2[[#This Row],[End Date]]+2-TODAY()</f>
        <v>290</v>
      </c>
      <c r="AD356" s="15">
        <f>IF(ISBLANK(Table2[[#This Row],[Roster Received By]]),1,0)</f>
        <v>1</v>
      </c>
      <c r="AE356" s="15">
        <f ca="1">IF(Table2[[#This Row],[Start Date]]&gt;TODAY(),1,)</f>
        <v>1</v>
      </c>
      <c r="AF356" s="62"/>
    </row>
    <row r="357" spans="1:32" x14ac:dyDescent="0.25">
      <c r="A357" s="99"/>
      <c r="B357" s="117" t="s">
        <v>35</v>
      </c>
      <c r="C357" s="100" t="str">
        <f>VLOOKUP(Table2[[#This Row],[Course Title]],'TSD-Data'!$A$1:$E$56,2,FALSE)</f>
        <v>A-493-2501</v>
      </c>
      <c r="D357" s="100" t="str">
        <f>VLOOKUP(Table2[[#This Row],[Course Title]],'TSD-Data'!$A$1:$E$56,3,FALSE)</f>
        <v>05ZE</v>
      </c>
      <c r="E357" s="116" t="s">
        <v>415</v>
      </c>
      <c r="F357" s="110">
        <v>45820</v>
      </c>
      <c r="G357" s="110">
        <v>45820</v>
      </c>
      <c r="H357" s="105">
        <v>0.33333333333333331</v>
      </c>
      <c r="I357" s="105"/>
      <c r="J357" s="102"/>
      <c r="K357" s="102"/>
      <c r="L357" s="102"/>
      <c r="M357" s="102"/>
      <c r="N357" s="102"/>
      <c r="O357" s="15" t="s">
        <v>94</v>
      </c>
      <c r="P357" s="15"/>
      <c r="Q357" s="103">
        <f>VLOOKUP(Table2[[#This Row],[Course Title]],'TSD-Data'!$A$1:$E$56,4,FALSE)</f>
        <v>30</v>
      </c>
      <c r="R357" s="15">
        <f>VLOOKUP(Table2[[#This Row],[Course Title]],'TSD-Data'!$A$1:$F$53,6,FALSE)</f>
        <v>8</v>
      </c>
      <c r="S357" s="104">
        <f>VLOOKUP(Table2[[#This Row],[Course Title]],'TSD-Data'!$A$1:$E$56,5,FALSE)</f>
        <v>1</v>
      </c>
      <c r="T357" s="104">
        <v>0</v>
      </c>
      <c r="U357" s="104"/>
      <c r="V357" s="104"/>
      <c r="W357" s="103"/>
      <c r="X357" s="103"/>
      <c r="Y357" s="15"/>
      <c r="Z357" s="15"/>
      <c r="AA357" s="15"/>
      <c r="AB357" s="99"/>
      <c r="AC357" s="71">
        <f ca="1">Table2[[#This Row],[End Date]]+2-TODAY()</f>
        <v>290</v>
      </c>
      <c r="AD357" s="15">
        <f>IF(ISBLANK(Table2[[#This Row],[Roster Received By]]),1,0)</f>
        <v>1</v>
      </c>
      <c r="AE357" s="15">
        <f ca="1">IF(Table2[[#This Row],[Start Date]]&gt;TODAY(),1,)</f>
        <v>1</v>
      </c>
      <c r="AF357" s="62"/>
    </row>
    <row r="358" spans="1:32" x14ac:dyDescent="0.25">
      <c r="A358" s="62" t="s">
        <v>416</v>
      </c>
      <c r="B358" s="117" t="s">
        <v>35</v>
      </c>
      <c r="C358" s="100" t="str">
        <f>VLOOKUP(Table2[[#This Row],[Course Title]],'TSD-Data'!$A$1:$E$56,2,FALSE)</f>
        <v>A-493-2501</v>
      </c>
      <c r="D358" s="100" t="str">
        <f>VLOOKUP(Table2[[#This Row],[Course Title]],'TSD-Data'!$A$1:$E$56,3,FALSE)</f>
        <v>05ZE</v>
      </c>
      <c r="E358" s="65" t="s">
        <v>310</v>
      </c>
      <c r="F358" s="98">
        <v>45821</v>
      </c>
      <c r="G358" s="98">
        <v>45821</v>
      </c>
      <c r="H358" s="105">
        <v>0.33333333333333331</v>
      </c>
      <c r="I358" s="105"/>
      <c r="J358" s="105"/>
      <c r="K358" s="105"/>
      <c r="L358" s="105"/>
      <c r="M358" s="105"/>
      <c r="N358" s="105"/>
      <c r="O358" s="15" t="s">
        <v>94</v>
      </c>
      <c r="P358" s="15"/>
      <c r="Q358" s="15">
        <f>VLOOKUP(Table2[[#This Row],[Course Title]],'TSD-Data'!$A$1:$E$56,4,FALSE)</f>
        <v>30</v>
      </c>
      <c r="R358" s="15">
        <f>VLOOKUP(Table2[[#This Row],[Course Title]],'TSD-Data'!$A$1:$F$53,6,FALSE)</f>
        <v>8</v>
      </c>
      <c r="S358" s="15">
        <f>VLOOKUP(Table2[[#This Row],[Course Title]],'TSD-Data'!$A$1:$E$56,5,FALSE)</f>
        <v>1</v>
      </c>
      <c r="T358" s="15">
        <v>30</v>
      </c>
      <c r="U358" s="15"/>
      <c r="V358" s="15"/>
      <c r="W358" s="15"/>
      <c r="X358" s="103"/>
      <c r="Y358" s="15"/>
      <c r="Z358" s="15"/>
      <c r="AA358" s="15"/>
      <c r="AB358" s="99"/>
      <c r="AC358" s="71">
        <f ca="1">Table2[[#This Row],[End Date]]+2-TODAY()</f>
        <v>291</v>
      </c>
      <c r="AD358" s="15">
        <f>IF(ISBLANK(Table2[[#This Row],[Roster Received By]]),1,0)</f>
        <v>1</v>
      </c>
      <c r="AE358" s="15">
        <f ca="1">IF(Table2[[#This Row],[Start Date]]&gt;TODAY(),1,)</f>
        <v>1</v>
      </c>
      <c r="AF358" s="62"/>
    </row>
    <row r="359" spans="1:32" x14ac:dyDescent="0.25">
      <c r="A359" s="62"/>
      <c r="B359" s="117" t="s">
        <v>49</v>
      </c>
      <c r="C359" s="100" t="str">
        <f>VLOOKUP(Table2[[#This Row],[Course Title]],'TSD-Data'!$A$1:$E$56,2,FALSE)</f>
        <v>A-493-0092</v>
      </c>
      <c r="D359" s="100">
        <f>VLOOKUP(Table2[[#This Row],[Course Title]],'TSD-Data'!$A$1:$E$56,3,FALSE)</f>
        <v>5891</v>
      </c>
      <c r="E359" s="118" t="s">
        <v>267</v>
      </c>
      <c r="F359" s="110">
        <v>45824</v>
      </c>
      <c r="G359" s="110">
        <v>45826</v>
      </c>
      <c r="H359" s="105">
        <v>0.33333333333333331</v>
      </c>
      <c r="I359" s="105"/>
      <c r="J359" s="105"/>
      <c r="K359" s="105"/>
      <c r="L359" s="105"/>
      <c r="M359" s="105"/>
      <c r="N359" s="105"/>
      <c r="O359" s="15" t="s">
        <v>394</v>
      </c>
      <c r="P359" s="15"/>
      <c r="Q359" s="15">
        <f>VLOOKUP(Table2[[#This Row],[Course Title]],'TSD-Data'!$A$1:$E$56,4,FALSE)</f>
        <v>25</v>
      </c>
      <c r="R359" s="15">
        <f>VLOOKUP(Table2[[#This Row],[Course Title]],'TSD-Data'!$A$1:$F$53,6,FALSE)</f>
        <v>24</v>
      </c>
      <c r="S359" s="15">
        <f>VLOOKUP(Table2[[#This Row],[Course Title]],'TSD-Data'!$A$1:$E$56,5,FALSE)</f>
        <v>3</v>
      </c>
      <c r="T359" s="15"/>
      <c r="U359" s="15"/>
      <c r="V359" s="15"/>
      <c r="W359" s="103"/>
      <c r="X359" s="103"/>
      <c r="Y359" s="15"/>
      <c r="Z359" s="15"/>
      <c r="AA359" s="15"/>
      <c r="AB359" s="99"/>
      <c r="AC359" s="71">
        <f ca="1">Table2[[#This Row],[End Date]]+2-TODAY()</f>
        <v>296</v>
      </c>
      <c r="AD359" s="15">
        <f>IF(ISBLANK(Table2[[#This Row],[Roster Received By]]),1,0)</f>
        <v>1</v>
      </c>
      <c r="AE359" s="15">
        <f ca="1">IF(Table2[[#This Row],[Start Date]]&gt;TODAY(),1,)</f>
        <v>1</v>
      </c>
      <c r="AF359" s="62"/>
    </row>
    <row r="360" spans="1:32" x14ac:dyDescent="0.25">
      <c r="A360" s="62" t="s">
        <v>417</v>
      </c>
      <c r="B360" s="117" t="s">
        <v>258</v>
      </c>
      <c r="C360" s="100" t="str">
        <f>VLOOKUP(Table2[[#This Row],[Course Title]],'TSD-Data'!$A$1:$E$56,2,FALSE)</f>
        <v>Holiday</v>
      </c>
      <c r="D360" s="100" t="str">
        <f>VLOOKUP(Table2[[#This Row],[Course Title]],'TSD-Data'!$A$1:$E$56,3,FALSE)</f>
        <v>Holiday</v>
      </c>
      <c r="E360" s="129"/>
      <c r="F360" s="110">
        <v>45827</v>
      </c>
      <c r="G360" s="110">
        <v>45827</v>
      </c>
      <c r="H360" s="108"/>
      <c r="I360" s="108"/>
      <c r="J360" s="102"/>
      <c r="K360" s="102"/>
      <c r="L360" s="102"/>
      <c r="M360" s="102"/>
      <c r="N360" s="102"/>
      <c r="O360" s="15"/>
      <c r="P360" s="15"/>
      <c r="Q360" s="15">
        <f>VLOOKUP(Table2[[#This Row],[Course Title]],'TSD-Data'!$A$1:$E$56,4,FALSE)</f>
        <v>0</v>
      </c>
      <c r="R360" s="15">
        <f>VLOOKUP(Table2[[#This Row],[Course Title]],'TSD-Data'!$A$1:$F$53,6,FALSE)</f>
        <v>0</v>
      </c>
      <c r="S360" s="15">
        <f>VLOOKUP(Table2[[#This Row],[Course Title]],'TSD-Data'!$A$1:$E$56,5,FALSE)</f>
        <v>0</v>
      </c>
      <c r="T360" s="15">
        <v>0</v>
      </c>
      <c r="U360" s="15"/>
      <c r="V360" s="15"/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99" t="s">
        <v>100</v>
      </c>
      <c r="AC360" s="71">
        <f ca="1">Table2[[#This Row],[End Date]]+2-TODAY()</f>
        <v>297</v>
      </c>
      <c r="AD360" s="15">
        <f>IF(ISBLANK(Table2[[#This Row],[Roster Received By]]),1,0)</f>
        <v>0</v>
      </c>
      <c r="AE360" s="15">
        <f ca="1">IF(Table2[[#This Row],[Start Date]]&gt;TODAY(),1,)</f>
        <v>1</v>
      </c>
      <c r="AF360" s="62"/>
    </row>
    <row r="361" spans="1:32" x14ac:dyDescent="0.25">
      <c r="A361" s="62"/>
      <c r="B361" s="118" t="s">
        <v>37</v>
      </c>
      <c r="C361" s="100" t="str">
        <f>VLOOKUP(Table2[[#This Row],[Course Title]],'TSD-Data'!$A$1:$E$56,2,FALSE)</f>
        <v>A-493-0665</v>
      </c>
      <c r="D361" s="100" t="str">
        <f>VLOOKUP(Table2[[#This Row],[Course Title]],'TSD-Data'!$A$1:$E$56,3,FALSE)</f>
        <v>10KW</v>
      </c>
      <c r="E361" s="118" t="s">
        <v>80</v>
      </c>
      <c r="F361" s="98">
        <v>45830</v>
      </c>
      <c r="G361" s="110">
        <v>45834</v>
      </c>
      <c r="H361" s="102"/>
      <c r="I361" s="101">
        <v>0.79166666666666663</v>
      </c>
      <c r="J361" s="101">
        <v>0.66666666666666663</v>
      </c>
      <c r="K361" s="101">
        <v>8.3333333333333329E-2</v>
      </c>
      <c r="L361" s="101">
        <v>0</v>
      </c>
      <c r="M361" s="101">
        <v>0.54166666666666663</v>
      </c>
      <c r="N361" s="101">
        <v>0.33333333333333331</v>
      </c>
      <c r="O361" s="15" t="s">
        <v>394</v>
      </c>
      <c r="P361" s="15"/>
      <c r="Q361" s="15">
        <f>VLOOKUP(Table2[[#This Row],[Course Title]],'TSD-Data'!$A$1:$E$56,4,FALSE)</f>
        <v>45</v>
      </c>
      <c r="R361" s="15">
        <f>VLOOKUP(Table2[[#This Row],[Course Title]],'TSD-Data'!$A$1:$F$53,6,FALSE)</f>
        <v>24</v>
      </c>
      <c r="S361" s="15">
        <f>VLOOKUP(Table2[[#This Row],[Course Title]],'TSD-Data'!$A$1:$E$56,5,FALSE)</f>
        <v>3</v>
      </c>
      <c r="T361" s="15"/>
      <c r="U361" s="15"/>
      <c r="V361" s="15"/>
      <c r="W361" s="15"/>
      <c r="X361" s="103"/>
      <c r="Y361" s="15"/>
      <c r="Z361" s="15"/>
      <c r="AA361" s="100"/>
      <c r="AB361" s="99"/>
      <c r="AC361" s="71">
        <f ca="1">Table2[[#This Row],[End Date]]+2-TODAY()</f>
        <v>304</v>
      </c>
      <c r="AD361" s="15">
        <f>IF(ISBLANK(Table2[[#This Row],[Roster Received By]]),1,0)</f>
        <v>1</v>
      </c>
      <c r="AE361" s="15">
        <f ca="1">IF(Table2[[#This Row],[Start Date]]&gt;TODAY(),1,)</f>
        <v>1</v>
      </c>
      <c r="AF361" s="62"/>
    </row>
    <row r="362" spans="1:32" x14ac:dyDescent="0.25">
      <c r="A362" s="99"/>
      <c r="B362" s="118" t="s">
        <v>15</v>
      </c>
      <c r="C362" s="100" t="str">
        <f>VLOOKUP(Table2[[#This Row],[Course Title]],'TSD-Data'!$A$1:$E$56,2,FALSE)</f>
        <v>A-4J-0022</v>
      </c>
      <c r="D362" s="100" t="str">
        <f>VLOOKUP(Table2[[#This Row],[Course Title]],'TSD-Data'!$A$1:$E$56,3,FALSE)</f>
        <v>09ER</v>
      </c>
      <c r="E362" s="118" t="s">
        <v>80</v>
      </c>
      <c r="F362" s="110">
        <v>45831</v>
      </c>
      <c r="G362" s="110">
        <v>45835</v>
      </c>
      <c r="H362" s="105"/>
      <c r="I362" s="105">
        <v>0.54166666666666663</v>
      </c>
      <c r="J362" s="101">
        <v>0.41666666666666669</v>
      </c>
      <c r="K362" s="101">
        <v>0.83333333333333337</v>
      </c>
      <c r="L362" s="101">
        <v>0.75</v>
      </c>
      <c r="M362" s="101">
        <v>0.29166666666666669</v>
      </c>
      <c r="N362" s="101">
        <v>8.3333333333333329E-2</v>
      </c>
      <c r="O362" s="15" t="s">
        <v>394</v>
      </c>
      <c r="P362" s="15"/>
      <c r="Q362" s="15">
        <f>VLOOKUP(Table2[[#This Row],[Course Title]],'TSD-Data'!$A$1:$E$56,4,FALSE)</f>
        <v>45</v>
      </c>
      <c r="R362" s="15">
        <f>VLOOKUP(Table2[[#This Row],[Course Title]],'TSD-Data'!$A$1:$F$53,6,FALSE)</f>
        <v>16</v>
      </c>
      <c r="S362" s="15">
        <f>VLOOKUP(Table2[[#This Row],[Course Title]],'TSD-Data'!$A$1:$E$56,5,FALSE)</f>
        <v>2</v>
      </c>
      <c r="T362" s="15"/>
      <c r="U362" s="15"/>
      <c r="V362" s="15"/>
      <c r="W362" s="15"/>
      <c r="X362" s="103"/>
      <c r="Y362" s="15"/>
      <c r="Z362" s="15"/>
      <c r="AA362" s="15"/>
      <c r="AB362" s="99"/>
      <c r="AC362" s="71">
        <f ca="1">Table2[[#This Row],[End Date]]+2-TODAY()</f>
        <v>305</v>
      </c>
      <c r="AD362" s="15">
        <f>IF(ISBLANK(Table2[[#This Row],[Roster Received By]]),1,0)</f>
        <v>1</v>
      </c>
      <c r="AE362" s="15">
        <f ca="1">IF(Table2[[#This Row],[Start Date]]&gt;TODAY(),1,)</f>
        <v>1</v>
      </c>
      <c r="AF362" s="106"/>
    </row>
    <row r="363" spans="1:32" x14ac:dyDescent="0.25">
      <c r="A363" s="62"/>
      <c r="B363" s="118" t="s">
        <v>17</v>
      </c>
      <c r="C363" s="100" t="str">
        <f>VLOOKUP(Table2[[#This Row],[Course Title]],'TSD-Data'!$A$1:$E$56,2,FALSE)</f>
        <v>A-493-0012</v>
      </c>
      <c r="D363" s="100">
        <f>VLOOKUP(Table2[[#This Row],[Course Title]],'TSD-Data'!$A$1:$E$56,3,FALSE)</f>
        <v>3682</v>
      </c>
      <c r="E363" s="118" t="s">
        <v>102</v>
      </c>
      <c r="F363" s="110">
        <v>45831</v>
      </c>
      <c r="G363" s="110">
        <v>45835</v>
      </c>
      <c r="H363" s="105">
        <v>0.33333333333333331</v>
      </c>
      <c r="I363" s="101"/>
      <c r="J363" s="101"/>
      <c r="K363" s="101"/>
      <c r="L363" s="101"/>
      <c r="M363" s="101"/>
      <c r="N363" s="101"/>
      <c r="O363" s="15" t="s">
        <v>94</v>
      </c>
      <c r="P363" s="15"/>
      <c r="Q363" s="15">
        <f>VLOOKUP(Table2[[#This Row],[Course Title]],'TSD-Data'!$A$1:$E$56,4,FALSE)</f>
        <v>40</v>
      </c>
      <c r="R363" s="15">
        <f>VLOOKUP(Table2[[#This Row],[Course Title]],'TSD-Data'!$A$1:$F$53,6,FALSE)</f>
        <v>40</v>
      </c>
      <c r="S363" s="15">
        <f>VLOOKUP(Table2[[#This Row],[Course Title]],'TSD-Data'!$A$1:$E$56,5,FALSE)</f>
        <v>5</v>
      </c>
      <c r="T363" s="15">
        <v>15</v>
      </c>
      <c r="U363" s="15"/>
      <c r="V363" s="15"/>
      <c r="W363" s="15"/>
      <c r="X363" s="103"/>
      <c r="Y363" s="15"/>
      <c r="Z363" s="15"/>
      <c r="AA363" s="100"/>
      <c r="AB363" s="99"/>
      <c r="AC363" s="71">
        <f ca="1">Table2[[#This Row],[End Date]]+2-TODAY()</f>
        <v>305</v>
      </c>
      <c r="AD363" s="15">
        <f>IF(ISBLANK(Table2[[#This Row],[Roster Received By]]),1,0)</f>
        <v>1</v>
      </c>
      <c r="AE363" s="15">
        <f ca="1">IF(Table2[[#This Row],[Start Date]]&gt;TODAY(),1,)</f>
        <v>1</v>
      </c>
      <c r="AF363" s="106"/>
    </row>
    <row r="364" spans="1:32" x14ac:dyDescent="0.25">
      <c r="A364" s="62"/>
      <c r="B364" s="118" t="s">
        <v>38</v>
      </c>
      <c r="C364" s="100" t="str">
        <f>VLOOKUP(Table2[[#This Row],[Course Title]],'TSD-Data'!$A$1:$E$56,2,FALSE)</f>
        <v>A-493-0061</v>
      </c>
      <c r="D364" s="100" t="str">
        <f>VLOOKUP(Table2[[#This Row],[Course Title]],'TSD-Data'!$A$1:$E$56,3,FALSE)</f>
        <v>288E</v>
      </c>
      <c r="E364" s="118" t="s">
        <v>80</v>
      </c>
      <c r="F364" s="110">
        <v>45831</v>
      </c>
      <c r="G364" s="110">
        <v>45834</v>
      </c>
      <c r="H364" s="105"/>
      <c r="I364" s="105">
        <v>0.79166666666666663</v>
      </c>
      <c r="J364" s="101">
        <v>0.66666666666666663</v>
      </c>
      <c r="K364" s="101">
        <v>8.3333333333333329E-2</v>
      </c>
      <c r="L364" s="101">
        <v>0</v>
      </c>
      <c r="M364" s="101">
        <v>0.54166666666666663</v>
      </c>
      <c r="N364" s="101">
        <v>0.33333333333333331</v>
      </c>
      <c r="O364" s="15" t="s">
        <v>394</v>
      </c>
      <c r="P364" s="15"/>
      <c r="Q364" s="103">
        <f>VLOOKUP(Table2[[#This Row],[Course Title]],'TSD-Data'!$A$1:$E$56,4,FALSE)</f>
        <v>45</v>
      </c>
      <c r="R364" s="15">
        <f>VLOOKUP(Table2[[#This Row],[Course Title]],'TSD-Data'!$A$1:$F$53,6,FALSE)</f>
        <v>30</v>
      </c>
      <c r="S364" s="15">
        <f>VLOOKUP(Table2[[#This Row],[Course Title]],'TSD-Data'!$A$1:$E$56,5,FALSE)</f>
        <v>4</v>
      </c>
      <c r="T364" s="15"/>
      <c r="U364" s="15"/>
      <c r="V364" s="15"/>
      <c r="W364" s="103"/>
      <c r="X364" s="103"/>
      <c r="Y364" s="15"/>
      <c r="Z364" s="15"/>
      <c r="AA364" s="15"/>
      <c r="AB364" s="99"/>
      <c r="AC364" s="71">
        <f ca="1">Table2[[#This Row],[End Date]]+2-TODAY()</f>
        <v>304</v>
      </c>
      <c r="AD364" s="15">
        <f>IF(ISBLANK(Table2[[#This Row],[Roster Received By]]),1,0)</f>
        <v>1</v>
      </c>
      <c r="AE364" s="15">
        <f ca="1">IF(Table2[[#This Row],[Start Date]]&gt;TODAY(),1,)</f>
        <v>1</v>
      </c>
      <c r="AF364" s="106"/>
    </row>
    <row r="365" spans="1:32" x14ac:dyDescent="0.25">
      <c r="A365" s="62"/>
      <c r="B365" s="118" t="s">
        <v>165</v>
      </c>
      <c r="C365" s="100" t="str">
        <f>VLOOKUP(Table2[[#This Row],[Course Title]],'TSD-Data'!$A$1:$E$56,2,FALSE)</f>
        <v>A-322-2604</v>
      </c>
      <c r="D365" s="100" t="str">
        <f>VLOOKUP(Table2[[#This Row],[Course Title]],'TSD-Data'!$A$1:$E$56,3,FALSE)</f>
        <v>10ZZ</v>
      </c>
      <c r="E365" s="118" t="s">
        <v>80</v>
      </c>
      <c r="F365" s="110">
        <v>45831</v>
      </c>
      <c r="G365" s="110">
        <v>45835</v>
      </c>
      <c r="H365" s="105"/>
      <c r="I365" s="105">
        <v>0.54166666666666663</v>
      </c>
      <c r="J365" s="101">
        <v>0.41666666666666669</v>
      </c>
      <c r="K365" s="101">
        <v>0.83333333333333337</v>
      </c>
      <c r="L365" s="101">
        <v>0.75</v>
      </c>
      <c r="M365" s="101">
        <v>0.29166666666666669</v>
      </c>
      <c r="N365" s="101">
        <v>8.3333333333333329E-2</v>
      </c>
      <c r="O365" s="15" t="s">
        <v>394</v>
      </c>
      <c r="P365" s="15"/>
      <c r="Q365" s="15">
        <f>VLOOKUP(Table2[[#This Row],[Course Title]],'TSD-Data'!$A$1:$E$56,4,FALSE)</f>
        <v>45</v>
      </c>
      <c r="R365" s="15">
        <f>VLOOKUP(Table2[[#This Row],[Course Title]],'TSD-Data'!$A$1:$F$53,6,FALSE)</f>
        <v>24</v>
      </c>
      <c r="S365" s="15">
        <f>VLOOKUP(Table2[[#This Row],[Course Title]],'TSD-Data'!$A$1:$E$56,5,FALSE)</f>
        <v>3</v>
      </c>
      <c r="T365" s="15"/>
      <c r="U365" s="15"/>
      <c r="V365" s="15"/>
      <c r="W365" s="15"/>
      <c r="X365" s="103"/>
      <c r="Y365" s="15"/>
      <c r="Z365" s="15"/>
      <c r="AA365" s="15"/>
      <c r="AB365" s="99"/>
      <c r="AC365" s="71">
        <f ca="1">Table2[[#This Row],[End Date]]+2-TODAY()</f>
        <v>305</v>
      </c>
      <c r="AD365" s="15">
        <f>IF(ISBLANK(Table2[[#This Row],[Roster Received By]]),1,0)</f>
        <v>1</v>
      </c>
      <c r="AE365" s="15">
        <f ca="1">IF(Table2[[#This Row],[Start Date]]&gt;TODAY(),1,)</f>
        <v>1</v>
      </c>
      <c r="AF365" s="106"/>
    </row>
    <row r="366" spans="1:32" x14ac:dyDescent="0.25">
      <c r="A366" s="62"/>
      <c r="B366" s="118" t="s">
        <v>31</v>
      </c>
      <c r="C366" s="100" t="str">
        <f>VLOOKUP(Table2[[#This Row],[Course Title]],'TSD-Data'!$A$1:$E$56,2,FALSE)</f>
        <v>A-493-0083</v>
      </c>
      <c r="D366" s="100" t="str">
        <f>VLOOKUP(Table2[[#This Row],[Course Title]],'TSD-Data'!$A$1:$E$56,3,FALSE)</f>
        <v>339E</v>
      </c>
      <c r="E366" s="118" t="s">
        <v>80</v>
      </c>
      <c r="F366" s="110">
        <v>45831</v>
      </c>
      <c r="G366" s="110">
        <v>45831</v>
      </c>
      <c r="H366" s="105"/>
      <c r="I366" s="105">
        <v>0.45833333333333331</v>
      </c>
      <c r="J366" s="105">
        <v>0.33333333333333331</v>
      </c>
      <c r="K366" s="105">
        <v>0.75</v>
      </c>
      <c r="L366" s="105">
        <v>0.66666666666666663</v>
      </c>
      <c r="M366" s="105">
        <v>0.20833333333333334</v>
      </c>
      <c r="N366" s="105">
        <v>0</v>
      </c>
      <c r="O366" s="15" t="s">
        <v>94</v>
      </c>
      <c r="P366" s="15"/>
      <c r="Q366" s="103">
        <f>VLOOKUP(Table2[[#This Row],[Course Title]],'TSD-Data'!$A$1:$E$56,4,FALSE)</f>
        <v>30</v>
      </c>
      <c r="R366" s="15">
        <f>VLOOKUP(Table2[[#This Row],[Course Title]],'TSD-Data'!$A$1:$F$53,6,FALSE)</f>
        <v>8</v>
      </c>
      <c r="S366" s="104">
        <f>VLOOKUP(Table2[[#This Row],[Course Title]],'TSD-Data'!$A$1:$E$56,5,FALSE)</f>
        <v>1</v>
      </c>
      <c r="T366" s="104">
        <v>0</v>
      </c>
      <c r="U366" s="104"/>
      <c r="V366" s="104"/>
      <c r="W366" s="103"/>
      <c r="X366" s="103"/>
      <c r="Y366" s="15"/>
      <c r="Z366" s="15"/>
      <c r="AA366" s="100"/>
      <c r="AB366" s="99"/>
      <c r="AC366" s="71">
        <f ca="1">Table2[[#This Row],[End Date]]+2-TODAY()</f>
        <v>301</v>
      </c>
      <c r="AD366" s="15">
        <f>IF(ISBLANK(Table2[[#This Row],[Roster Received By]]),1,0)</f>
        <v>1</v>
      </c>
      <c r="AE366" s="15">
        <f ca="1">IF(Table2[[#This Row],[Start Date]]&gt;TODAY(),1,)</f>
        <v>1</v>
      </c>
      <c r="AF366" s="106"/>
    </row>
    <row r="367" spans="1:32" x14ac:dyDescent="0.25">
      <c r="A367" s="62"/>
      <c r="B367" s="118" t="s">
        <v>51</v>
      </c>
      <c r="C367" s="100" t="str">
        <f>VLOOKUP(Table2[[#This Row],[Course Title]],'TSD-Data'!$A$1:$E$56,2,FALSE)</f>
        <v>A-493-0335</v>
      </c>
      <c r="D367" s="100" t="str">
        <f>VLOOKUP(Table2[[#This Row],[Course Title]],'TSD-Data'!$A$1:$E$56,3,FALSE)</f>
        <v>09ND</v>
      </c>
      <c r="E367" s="116" t="s">
        <v>80</v>
      </c>
      <c r="F367" s="110">
        <v>45831</v>
      </c>
      <c r="G367" s="110">
        <v>45834</v>
      </c>
      <c r="H367" s="102"/>
      <c r="I367" s="105">
        <v>0.79166666666666663</v>
      </c>
      <c r="J367" s="101">
        <v>0.66666666666666663</v>
      </c>
      <c r="K367" s="101">
        <v>8.3333333333333329E-2</v>
      </c>
      <c r="L367" s="101">
        <v>0</v>
      </c>
      <c r="M367" s="101">
        <v>0.54166666666666663</v>
      </c>
      <c r="N367" s="101">
        <v>0.33333333333333331</v>
      </c>
      <c r="O367" s="15" t="s">
        <v>394</v>
      </c>
      <c r="P367" s="15"/>
      <c r="Q367" s="15">
        <f>VLOOKUP(Table2[[#This Row],[Course Title]],'TSD-Data'!$A$1:$E$56,4,FALSE)</f>
        <v>45</v>
      </c>
      <c r="R367" s="15">
        <f>VLOOKUP(Table2[[#This Row],[Course Title]],'TSD-Data'!$A$1:$F$53,6,FALSE)</f>
        <v>32</v>
      </c>
      <c r="S367" s="15">
        <f>VLOOKUP(Table2[[#This Row],[Course Title]],'TSD-Data'!$A$1:$E$56,5,FALSE)</f>
        <v>4</v>
      </c>
      <c r="T367" s="15"/>
      <c r="U367" s="15"/>
      <c r="V367" s="15"/>
      <c r="W367" s="15"/>
      <c r="X367" s="103"/>
      <c r="Y367" s="15"/>
      <c r="Z367" s="15"/>
      <c r="AA367" s="15"/>
      <c r="AB367" s="99"/>
      <c r="AC367" s="71">
        <f ca="1">Table2[[#This Row],[End Date]]+2-TODAY()</f>
        <v>304</v>
      </c>
      <c r="AD367" s="15">
        <f>IF(ISBLANK(Table2[[#This Row],[Roster Received By]]),1,0)</f>
        <v>1</v>
      </c>
      <c r="AE367" s="15">
        <f ca="1">IF(Table2[[#This Row],[Start Date]]&gt;TODAY(),1,)</f>
        <v>1</v>
      </c>
      <c r="AF367" s="106"/>
    </row>
    <row r="368" spans="1:32" x14ac:dyDescent="0.25">
      <c r="A368" s="62" t="s">
        <v>418</v>
      </c>
      <c r="B368" s="118" t="s">
        <v>59</v>
      </c>
      <c r="C368" s="100" t="str">
        <f>VLOOKUP(Table2[[#This Row],[Course Title]],'TSD-Data'!$A$1:$E$56,2,FALSE)</f>
        <v>A-493-0550</v>
      </c>
      <c r="D368" s="100" t="str">
        <f>VLOOKUP(Table2[[#This Row],[Course Title]],'TSD-Data'!$A$1:$E$56,3,FALSE)</f>
        <v>09K5</v>
      </c>
      <c r="E368" s="99" t="s">
        <v>80</v>
      </c>
      <c r="F368" s="110">
        <v>45831</v>
      </c>
      <c r="G368" s="110">
        <v>45834</v>
      </c>
      <c r="H368" s="102"/>
      <c r="I368" s="101">
        <v>0.79166666666666663</v>
      </c>
      <c r="J368" s="101">
        <v>0.66666666666666663</v>
      </c>
      <c r="K368" s="101">
        <v>8.3333333333333329E-2</v>
      </c>
      <c r="L368" s="101">
        <v>0</v>
      </c>
      <c r="M368" s="101">
        <v>0.54166666666666663</v>
      </c>
      <c r="N368" s="101">
        <v>0.33333333333333331</v>
      </c>
      <c r="O368" s="15" t="s">
        <v>394</v>
      </c>
      <c r="P368" s="15"/>
      <c r="Q368" s="15">
        <f>VLOOKUP(Table2[[#This Row],[Course Title]],'TSD-Data'!$A$1:$E$56,4,FALSE)</f>
        <v>45</v>
      </c>
      <c r="R368" s="15">
        <f>VLOOKUP(Table2[[#This Row],[Course Title]],'TSD-Data'!$A$1:$F$53,6,FALSE)</f>
        <v>32</v>
      </c>
      <c r="S368" s="15">
        <f>VLOOKUP(Table2[[#This Row],[Course Title]],'TSD-Data'!$A$1:$E$56,5,FALSE)</f>
        <v>4</v>
      </c>
      <c r="T368" s="15"/>
      <c r="U368" s="15"/>
      <c r="V368" s="15"/>
      <c r="W368" s="15"/>
      <c r="X368" s="103"/>
      <c r="Y368" s="15"/>
      <c r="Z368" s="15"/>
      <c r="AA368" s="15"/>
      <c r="AB368" s="99"/>
      <c r="AC368" s="71">
        <f ca="1">Table2[[#This Row],[End Date]]+2-TODAY()</f>
        <v>304</v>
      </c>
      <c r="AD368" s="15">
        <f>IF(ISBLANK(Table2[[#This Row],[Roster Received By]]),1,0)</f>
        <v>1</v>
      </c>
      <c r="AE368" s="15">
        <f ca="1">IF(Table2[[#This Row],[Start Date]]&gt;TODAY(),1,)</f>
        <v>1</v>
      </c>
      <c r="AF368" s="106"/>
    </row>
    <row r="369" spans="1:32" x14ac:dyDescent="0.25">
      <c r="A369" s="65"/>
      <c r="B369" s="118" t="s">
        <v>61</v>
      </c>
      <c r="C369" s="100" t="str">
        <f>VLOOKUP(Table2[[#This Row],[Course Title]],'TSD-Data'!$A$1:$E$56,2,FALSE)</f>
        <v>A-493-0078</v>
      </c>
      <c r="D369" s="100">
        <f>VLOOKUP(Table2[[#This Row],[Course Title]],'TSD-Data'!$A$1:$E$56,3,FALSE)</f>
        <v>1228</v>
      </c>
      <c r="E369" s="99" t="s">
        <v>80</v>
      </c>
      <c r="F369" s="110">
        <v>45831</v>
      </c>
      <c r="G369" s="110">
        <v>45834</v>
      </c>
      <c r="H369" s="105"/>
      <c r="I369" s="105">
        <v>0.79166666666666663</v>
      </c>
      <c r="J369" s="101">
        <v>0.66666666666666663</v>
      </c>
      <c r="K369" s="101">
        <v>8.3333333333333329E-2</v>
      </c>
      <c r="L369" s="101">
        <v>0</v>
      </c>
      <c r="M369" s="101">
        <v>0.54166666666666663</v>
      </c>
      <c r="N369" s="101">
        <v>0.33333333333333331</v>
      </c>
      <c r="O369" s="15" t="s">
        <v>394</v>
      </c>
      <c r="P369" s="15"/>
      <c r="Q369" s="15">
        <f>VLOOKUP(Table2[[#This Row],[Course Title]],'TSD-Data'!$A$1:$E$56,4,FALSE)</f>
        <v>45</v>
      </c>
      <c r="R369" s="15">
        <f>VLOOKUP(Table2[[#This Row],[Course Title]],'TSD-Data'!$A$1:$F$53,6,FALSE)</f>
        <v>32</v>
      </c>
      <c r="S369" s="15">
        <f>VLOOKUP(Table2[[#This Row],[Course Title]],'TSD-Data'!$A$1:$E$56,5,FALSE)</f>
        <v>4</v>
      </c>
      <c r="T369" s="15"/>
      <c r="U369" s="15"/>
      <c r="V369" s="15"/>
      <c r="W369" s="103"/>
      <c r="X369" s="103"/>
      <c r="Y369" s="15"/>
      <c r="Z369" s="15"/>
      <c r="AA369" s="100"/>
      <c r="AB369" s="99"/>
      <c r="AC369" s="71">
        <f ca="1">Table2[[#This Row],[End Date]]+2-TODAY()</f>
        <v>304</v>
      </c>
      <c r="AD369" s="15">
        <f>IF(ISBLANK(Table2[[#This Row],[Roster Received By]]),1,0)</f>
        <v>1</v>
      </c>
      <c r="AE369" s="15">
        <f ca="1">IF(Table2[[#This Row],[Start Date]]&gt;TODAY(),1,)</f>
        <v>1</v>
      </c>
      <c r="AF369" s="106"/>
    </row>
    <row r="370" spans="1:32" x14ac:dyDescent="0.25">
      <c r="A370" s="62"/>
      <c r="B370" s="118" t="s">
        <v>52</v>
      </c>
      <c r="C370" s="100" t="str">
        <f>VLOOKUP(Table2[[#This Row],[Course Title]],'TSD-Data'!$A$1:$E$56,2,FALSE)</f>
        <v>A-493-0085</v>
      </c>
      <c r="D370" s="100">
        <f>VLOOKUP(Table2[[#This Row],[Course Title]],'TSD-Data'!$A$1:$E$56,3,FALSE)</f>
        <v>3555</v>
      </c>
      <c r="E370" s="116" t="s">
        <v>80</v>
      </c>
      <c r="F370" s="110">
        <v>45831</v>
      </c>
      <c r="G370" s="110">
        <v>45834</v>
      </c>
      <c r="H370" s="105"/>
      <c r="I370" s="101">
        <v>0.5</v>
      </c>
      <c r="J370" s="101">
        <v>0.375</v>
      </c>
      <c r="K370" s="101">
        <v>0.79166666666666663</v>
      </c>
      <c r="L370" s="101">
        <v>0.75</v>
      </c>
      <c r="M370" s="101">
        <v>0.25</v>
      </c>
      <c r="N370" s="101">
        <v>4.1666666666666664E-2</v>
      </c>
      <c r="O370" s="15" t="s">
        <v>394</v>
      </c>
      <c r="P370" s="15"/>
      <c r="Q370" s="15">
        <f>VLOOKUP(Table2[[#This Row],[Course Title]],'TSD-Data'!$A$1:$E$56,4,FALSE)</f>
        <v>45</v>
      </c>
      <c r="R370" s="15">
        <f>VLOOKUP(Table2[[#This Row],[Course Title]],'TSD-Data'!$A$1:$F$53,6,FALSE)</f>
        <v>32</v>
      </c>
      <c r="S370" s="15">
        <f>VLOOKUP(Table2[[#This Row],[Course Title]],'TSD-Data'!$A$1:$E$56,5,FALSE)</f>
        <v>4</v>
      </c>
      <c r="T370" s="15"/>
      <c r="U370" s="15"/>
      <c r="V370" s="15"/>
      <c r="W370" s="15"/>
      <c r="X370" s="103"/>
      <c r="Y370" s="15"/>
      <c r="Z370" s="15"/>
      <c r="AA370" s="15"/>
      <c r="AB370" s="99"/>
      <c r="AC370" s="71">
        <f ca="1">Table2[[#This Row],[End Date]]+2-TODAY()</f>
        <v>304</v>
      </c>
      <c r="AD370" s="15">
        <f>IF(ISBLANK(Table2[[#This Row],[Roster Received By]]),1,0)</f>
        <v>1</v>
      </c>
      <c r="AE370" s="15">
        <f ca="1">IF(Table2[[#This Row],[Start Date]]&gt;TODAY(),1,)</f>
        <v>1</v>
      </c>
      <c r="AF370" s="106"/>
    </row>
    <row r="371" spans="1:32" x14ac:dyDescent="0.25">
      <c r="A371" s="62"/>
      <c r="B371" s="118" t="s">
        <v>28</v>
      </c>
      <c r="C371" s="100" t="str">
        <f>VLOOKUP(Table2[[#This Row],[Course Title]],'TSD-Data'!$A$1:$E$56,2,FALSE)</f>
        <v>A-493-0013</v>
      </c>
      <c r="D371" s="100">
        <f>VLOOKUP(Table2[[#This Row],[Course Title]],'TSD-Data'!$A$1:$E$56,3,FALSE)</f>
        <v>3683</v>
      </c>
      <c r="E371" s="116" t="s">
        <v>259</v>
      </c>
      <c r="F371" s="120">
        <v>45832</v>
      </c>
      <c r="G371" s="121">
        <v>45834</v>
      </c>
      <c r="H371" s="105">
        <v>0.33333333333333331</v>
      </c>
      <c r="I371" s="101"/>
      <c r="J371" s="101"/>
      <c r="K371" s="101"/>
      <c r="L371" s="101"/>
      <c r="M371" s="101"/>
      <c r="N371" s="101"/>
      <c r="O371" s="15" t="s">
        <v>94</v>
      </c>
      <c r="P371" s="15"/>
      <c r="Q371" s="15">
        <f>VLOOKUP(Table2[[#This Row],[Course Title]],'TSD-Data'!$A$1:$E$56,4,FALSE)</f>
        <v>40</v>
      </c>
      <c r="R371" s="15">
        <f>VLOOKUP(Table2[[#This Row],[Course Title]],'TSD-Data'!$A$1:$F$53,6,FALSE)</f>
        <v>24</v>
      </c>
      <c r="S371" s="15">
        <f>VLOOKUP(Table2[[#This Row],[Course Title]],'TSD-Data'!$A$1:$E$56,5,FALSE)</f>
        <v>3</v>
      </c>
      <c r="T371" s="15">
        <v>30</v>
      </c>
      <c r="U371" s="15"/>
      <c r="V371" s="15"/>
      <c r="W371" s="15"/>
      <c r="X371" s="103"/>
      <c r="Y371" s="15"/>
      <c r="Z371" s="15"/>
      <c r="AA371" s="100"/>
      <c r="AB371" s="99"/>
      <c r="AC371" s="71">
        <f ca="1">Table2[[#This Row],[End Date]]+2-TODAY()</f>
        <v>304</v>
      </c>
      <c r="AD371" s="15">
        <f>IF(ISBLANK(Table2[[#This Row],[Roster Received By]]),1,0)</f>
        <v>1</v>
      </c>
      <c r="AE371" s="15">
        <f ca="1">IF(Table2[[#This Row],[Start Date]]&gt;TODAY(),1,)</f>
        <v>1</v>
      </c>
      <c r="AF371" s="106"/>
    </row>
    <row r="372" spans="1:32" x14ac:dyDescent="0.25">
      <c r="A372" s="62"/>
      <c r="B372" s="118" t="s">
        <v>57</v>
      </c>
      <c r="C372" s="100" t="str">
        <f>VLOOKUP(Table2[[#This Row],[Course Title]],'TSD-Data'!$A$1:$E$56,2,FALSE)</f>
        <v>A-493-0099</v>
      </c>
      <c r="D372" s="100" t="str">
        <f>VLOOKUP(Table2[[#This Row],[Course Title]],'TSD-Data'!$A$1:$E$56,3,FALSE)</f>
        <v>12JW</v>
      </c>
      <c r="E372" s="116" t="s">
        <v>80</v>
      </c>
      <c r="F372" s="132">
        <v>45832</v>
      </c>
      <c r="G372" s="132">
        <v>45469</v>
      </c>
      <c r="H372" s="105"/>
      <c r="I372" s="105">
        <v>0.29166666666666669</v>
      </c>
      <c r="J372" s="105">
        <v>0.16666666666666666</v>
      </c>
      <c r="K372" s="105">
        <v>0.58333333333333337</v>
      </c>
      <c r="L372" s="105">
        <v>0.5</v>
      </c>
      <c r="M372" s="105">
        <v>4.1666666666666664E-2</v>
      </c>
      <c r="N372" s="105">
        <v>0.83333333333333337</v>
      </c>
      <c r="O372" s="15" t="s">
        <v>394</v>
      </c>
      <c r="P372" s="15"/>
      <c r="Q372" s="103">
        <f>VLOOKUP(Table2[[#This Row],[Course Title]],'TSD-Data'!$A$1:$E$56,4,FALSE)</f>
        <v>45</v>
      </c>
      <c r="R372" s="15">
        <f>VLOOKUP(Table2[[#This Row],[Course Title]],'TSD-Data'!$A$1:$F$53,6,FALSE)</f>
        <v>24</v>
      </c>
      <c r="S372" s="15">
        <f>VLOOKUP(Table2[[#This Row],[Course Title]],'TSD-Data'!$A$1:$E$56,5,FALSE)</f>
        <v>3</v>
      </c>
      <c r="T372" s="15"/>
      <c r="U372" s="15"/>
      <c r="V372" s="15"/>
      <c r="W372" s="103"/>
      <c r="X372" s="103"/>
      <c r="Y372" s="15"/>
      <c r="Z372" s="15"/>
      <c r="AA372" s="15"/>
      <c r="AB372" s="99"/>
      <c r="AC372" s="71">
        <f ca="1">Table2[[#This Row],[End Date]]+2-TODAY()</f>
        <v>-61</v>
      </c>
      <c r="AD372" s="15">
        <f>IF(ISBLANK(Table2[[#This Row],[Roster Received By]]),1,0)</f>
        <v>1</v>
      </c>
      <c r="AE372" s="15">
        <f ca="1">IF(Table2[[#This Row],[Start Date]]&gt;TODAY(),1,)</f>
        <v>1</v>
      </c>
      <c r="AF372" s="106"/>
    </row>
    <row r="373" spans="1:32" x14ac:dyDescent="0.25">
      <c r="A373" s="62"/>
      <c r="B373" s="116" t="s">
        <v>28</v>
      </c>
      <c r="C373" s="100" t="str">
        <f>VLOOKUP(Table2[[#This Row],[Course Title]],'TSD-Data'!$A$1:$E$56,2,FALSE)</f>
        <v>A-493-0013</v>
      </c>
      <c r="D373" s="100">
        <f>VLOOKUP(Table2[[#This Row],[Course Title]],'TSD-Data'!$A$1:$E$56,3,FALSE)</f>
        <v>3683</v>
      </c>
      <c r="E373" s="116" t="s">
        <v>275</v>
      </c>
      <c r="F373" s="132">
        <v>45838</v>
      </c>
      <c r="G373" s="132">
        <v>45840</v>
      </c>
      <c r="H373" s="105">
        <v>0.33333333333333331</v>
      </c>
      <c r="I373" s="105"/>
      <c r="J373" s="105"/>
      <c r="K373" s="105"/>
      <c r="L373" s="105"/>
      <c r="M373" s="105"/>
      <c r="N373" s="102"/>
      <c r="O373" s="15" t="s">
        <v>94</v>
      </c>
      <c r="P373" s="15"/>
      <c r="Q373" s="15">
        <f>VLOOKUP(Table2[[#This Row],[Course Title]],'TSD-Data'!$A$1:$E$56,4,FALSE)</f>
        <v>40</v>
      </c>
      <c r="R373" s="15">
        <f>VLOOKUP(Table2[[#This Row],[Course Title]],'TSD-Data'!$A$1:$F$53,6,FALSE)</f>
        <v>24</v>
      </c>
      <c r="S373" s="15">
        <f>VLOOKUP(Table2[[#This Row],[Course Title]],'TSD-Data'!$A$1:$E$56,5,FALSE)</f>
        <v>3</v>
      </c>
      <c r="T373" s="15">
        <v>33</v>
      </c>
      <c r="U373" s="15"/>
      <c r="V373" s="15"/>
      <c r="W373" s="15"/>
      <c r="X373" s="103"/>
      <c r="Y373" s="15"/>
      <c r="Z373" s="15"/>
      <c r="AA373" s="100"/>
      <c r="AB373" s="99"/>
      <c r="AC373" s="71">
        <f ca="1">Table2[[#This Row],[End Date]]+2-TODAY()</f>
        <v>310</v>
      </c>
      <c r="AD373" s="15">
        <f>IF(ISBLANK(Table2[[#This Row],[Roster Received By]]),1,0)</f>
        <v>1</v>
      </c>
      <c r="AE373" s="15">
        <f ca="1">IF(Table2[[#This Row],[Start Date]]&gt;TODAY(),1,)</f>
        <v>1</v>
      </c>
      <c r="AF373" s="106"/>
    </row>
    <row r="374" spans="1:32" x14ac:dyDescent="0.25">
      <c r="A374" s="99"/>
      <c r="B374" s="116" t="s">
        <v>33</v>
      </c>
      <c r="C374" s="100" t="str">
        <f>VLOOKUP(Table2[[#This Row],[Course Title]],'TSD-Data'!$A$1:$E$56,2,FALSE)</f>
        <v>A-493-2301</v>
      </c>
      <c r="D374" s="100" t="str">
        <f>VLOOKUP(Table2[[#This Row],[Course Title]],'TSD-Data'!$A$1:$E$56,3,FALSE)</f>
        <v>05ZD</v>
      </c>
      <c r="E374" s="116" t="s">
        <v>121</v>
      </c>
      <c r="F374" s="132">
        <v>45838</v>
      </c>
      <c r="G374" s="132">
        <v>45838</v>
      </c>
      <c r="H374" s="105">
        <v>0.33333333333333331</v>
      </c>
      <c r="I374" s="105"/>
      <c r="J374" s="105"/>
      <c r="K374" s="105"/>
      <c r="L374" s="105"/>
      <c r="M374" s="105"/>
      <c r="N374" s="105"/>
      <c r="O374" s="15" t="s">
        <v>94</v>
      </c>
      <c r="P374" s="15"/>
      <c r="Q374" s="15">
        <f>VLOOKUP(Table2[[#This Row],[Course Title]],'TSD-Data'!$A$1:$E$56,4,FALSE)</f>
        <v>30</v>
      </c>
      <c r="R374" s="15">
        <f>VLOOKUP(Table2[[#This Row],[Course Title]],'TSD-Data'!$A$1:$F$53,6,FALSE)</f>
        <v>8</v>
      </c>
      <c r="S374" s="15">
        <f>VLOOKUP(Table2[[#This Row],[Course Title]],'TSD-Data'!$A$1:$E$56,5,FALSE)</f>
        <v>1</v>
      </c>
      <c r="T374" s="15">
        <v>10</v>
      </c>
      <c r="U374" s="15"/>
      <c r="V374" s="15"/>
      <c r="W374" s="15"/>
      <c r="X374" s="103"/>
      <c r="Y374" s="15"/>
      <c r="Z374" s="15"/>
      <c r="AA374" s="15"/>
      <c r="AB374" s="99"/>
      <c r="AC374" s="71">
        <f ca="1">Table2[[#This Row],[End Date]]+2-TODAY()</f>
        <v>308</v>
      </c>
      <c r="AD374" s="15">
        <f>IF(ISBLANK(Table2[[#This Row],[Roster Received By]]),1,0)</f>
        <v>1</v>
      </c>
      <c r="AE374" s="15">
        <f ca="1">IF(Table2[[#This Row],[Start Date]]&gt;TODAY(),1,)</f>
        <v>1</v>
      </c>
      <c r="AF374" s="106"/>
    </row>
    <row r="375" spans="1:32" x14ac:dyDescent="0.25">
      <c r="A375" s="99"/>
      <c r="B375" s="116" t="s">
        <v>50</v>
      </c>
      <c r="C375" s="100" t="str">
        <f>VLOOKUP(Table2[[#This Row],[Course Title]],'TSD-Data'!$A$1:$E$56,2,FALSE)</f>
        <v>A-493-0331</v>
      </c>
      <c r="D375" s="100" t="str">
        <f>VLOOKUP(Table2[[#This Row],[Course Title]],'TSD-Data'!$A$1:$E$56,3,FALSE)</f>
        <v>10UG</v>
      </c>
      <c r="E375" s="116" t="s">
        <v>80</v>
      </c>
      <c r="F375" s="132">
        <v>45838</v>
      </c>
      <c r="G375" s="132">
        <v>45840</v>
      </c>
      <c r="H375" s="105"/>
      <c r="I375" s="101">
        <v>0.33333333333333331</v>
      </c>
      <c r="J375" s="105">
        <v>0.20833333333333334</v>
      </c>
      <c r="K375" s="105">
        <v>0.625</v>
      </c>
      <c r="L375" s="105">
        <v>0.54166666666666663</v>
      </c>
      <c r="M375" s="105">
        <v>8.3333333333333329E-2</v>
      </c>
      <c r="N375" s="105">
        <v>0.875</v>
      </c>
      <c r="O375" s="15" t="s">
        <v>394</v>
      </c>
      <c r="P375" s="15"/>
      <c r="Q375" s="15">
        <f>VLOOKUP(Table2[[#This Row],[Course Title]],'TSD-Data'!$A$1:$E$56,4,FALSE)</f>
        <v>45</v>
      </c>
      <c r="R375" s="15">
        <f>VLOOKUP(Table2[[#This Row],[Course Title]],'TSD-Data'!$A$1:$F$53,6,FALSE)</f>
        <v>24</v>
      </c>
      <c r="S375" s="15">
        <f>VLOOKUP(Table2[[#This Row],[Course Title]],'TSD-Data'!$A$1:$E$56,5,FALSE)</f>
        <v>3</v>
      </c>
      <c r="T375" s="15"/>
      <c r="U375" s="15"/>
      <c r="V375" s="15"/>
      <c r="W375" s="15"/>
      <c r="X375" s="103"/>
      <c r="Y375" s="15"/>
      <c r="Z375" s="15"/>
      <c r="AA375" s="15"/>
      <c r="AB375" s="99"/>
      <c r="AC375" s="71">
        <f ca="1">Table2[[#This Row],[End Date]]+2-TODAY()</f>
        <v>310</v>
      </c>
      <c r="AD375" s="15">
        <f>IF(ISBLANK(Table2[[#This Row],[Roster Received By]]),1,0)</f>
        <v>1</v>
      </c>
      <c r="AE375" s="15">
        <f ca="1">IF(Table2[[#This Row],[Start Date]]&gt;TODAY(),1,)</f>
        <v>1</v>
      </c>
      <c r="AF375" s="106"/>
    </row>
    <row r="376" spans="1:32" x14ac:dyDescent="0.25">
      <c r="A376" s="62" t="s">
        <v>419</v>
      </c>
      <c r="B376" s="116" t="s">
        <v>264</v>
      </c>
      <c r="C376" s="100" t="str">
        <f>VLOOKUP(Table2[[#This Row],[Course Title]],'TSD-Data'!$A$1:$E$56,2,FALSE)</f>
        <v>Function</v>
      </c>
      <c r="D376" s="100" t="str">
        <f>VLOOKUP(Table2[[#This Row],[Course Title]],'TSD-Data'!$A$1:$E$56,3,FALSE)</f>
        <v>Function</v>
      </c>
      <c r="E376" s="116" t="s">
        <v>267</v>
      </c>
      <c r="F376" s="132">
        <v>45839</v>
      </c>
      <c r="G376" s="132">
        <v>45839</v>
      </c>
      <c r="H376" s="105"/>
      <c r="I376" s="105"/>
      <c r="J376" s="105"/>
      <c r="K376" s="105"/>
      <c r="L376" s="105"/>
      <c r="M376" s="105"/>
      <c r="N376" s="105"/>
      <c r="O376" s="15"/>
      <c r="P376" s="15"/>
      <c r="Q376" s="15">
        <f>VLOOKUP(Table2[[#This Row],[Course Title]],'TSD-Data'!$A$1:$E$56,4,FALSE)</f>
        <v>0</v>
      </c>
      <c r="R376" s="15">
        <f>VLOOKUP(Table2[[#This Row],[Course Title]],'TSD-Data'!$A$1:$F$53,6,FALSE)</f>
        <v>0</v>
      </c>
      <c r="S376" s="15">
        <f>VLOOKUP(Table2[[#This Row],[Course Title]],'TSD-Data'!$A$1:$E$56,5,FALSE)</f>
        <v>0</v>
      </c>
      <c r="T376" s="15">
        <v>0</v>
      </c>
      <c r="U376" s="15"/>
      <c r="V376" s="15"/>
      <c r="W376" s="15">
        <v>0</v>
      </c>
      <c r="X376" s="15">
        <v>0</v>
      </c>
      <c r="Y376" s="15">
        <v>0</v>
      </c>
      <c r="Z376" s="15">
        <v>0</v>
      </c>
      <c r="AA376" s="15">
        <v>0</v>
      </c>
      <c r="AB376" s="99" t="s">
        <v>100</v>
      </c>
      <c r="AC376" s="71">
        <f ca="1">Table2[[#This Row],[End Date]]+2-TODAY()</f>
        <v>309</v>
      </c>
      <c r="AD376" s="15">
        <f>IF(ISBLANK(Table2[[#This Row],[Roster Received By]]),1,0)</f>
        <v>0</v>
      </c>
      <c r="AE376" s="15">
        <f ca="1">IF(Table2[[#This Row],[Start Date]]&gt;TODAY(),1,)</f>
        <v>1</v>
      </c>
      <c r="AF376" s="106"/>
    </row>
    <row r="377" spans="1:32" x14ac:dyDescent="0.25">
      <c r="A377" s="62"/>
      <c r="B377" s="116" t="s">
        <v>31</v>
      </c>
      <c r="C377" s="100" t="str">
        <f>VLOOKUP(Table2[[#This Row],[Course Title]],'TSD-Data'!$A$1:$E$56,2,FALSE)</f>
        <v>A-493-0083</v>
      </c>
      <c r="D377" s="100" t="str">
        <f>VLOOKUP(Table2[[#This Row],[Course Title]],'TSD-Data'!$A$1:$E$56,3,FALSE)</f>
        <v>339E</v>
      </c>
      <c r="E377" s="116" t="s">
        <v>80</v>
      </c>
      <c r="F377" s="132">
        <v>45839</v>
      </c>
      <c r="G377" s="132">
        <v>45839</v>
      </c>
      <c r="H377" s="105"/>
      <c r="I377" s="105">
        <v>0.33333333333333331</v>
      </c>
      <c r="J377" s="105">
        <v>0.20833333333333334</v>
      </c>
      <c r="K377" s="105">
        <v>0.625</v>
      </c>
      <c r="L377" s="105">
        <v>0.54166666666666663</v>
      </c>
      <c r="M377" s="105">
        <v>8.3333333333333329E-2</v>
      </c>
      <c r="N377" s="105">
        <v>0.875</v>
      </c>
      <c r="O377" s="15" t="s">
        <v>94</v>
      </c>
      <c r="P377" s="15"/>
      <c r="Q377" s="103">
        <f>VLOOKUP(Table2[[#This Row],[Course Title]],'TSD-Data'!$A$1:$E$56,4,FALSE)</f>
        <v>30</v>
      </c>
      <c r="R377" s="15">
        <f>VLOOKUP(Table2[[#This Row],[Course Title]],'TSD-Data'!$A$1:$F$53,6,FALSE)</f>
        <v>8</v>
      </c>
      <c r="S377" s="104">
        <f>VLOOKUP(Table2[[#This Row],[Course Title]],'TSD-Data'!$A$1:$E$56,5,FALSE)</f>
        <v>1</v>
      </c>
      <c r="T377" s="104">
        <v>0</v>
      </c>
      <c r="U377" s="104"/>
      <c r="V377" s="104"/>
      <c r="W377" s="103"/>
      <c r="X377" s="103"/>
      <c r="Y377" s="15"/>
      <c r="Z377" s="15"/>
      <c r="AA377" s="15"/>
      <c r="AB377" s="99"/>
      <c r="AC377" s="71">
        <f ca="1">Table2[[#This Row],[End Date]]+2-TODAY()</f>
        <v>309</v>
      </c>
      <c r="AD377" s="15">
        <f>IF(ISBLANK(Table2[[#This Row],[Roster Received By]]),1,0)</f>
        <v>1</v>
      </c>
      <c r="AE377" s="15">
        <f ca="1">IF(Table2[[#This Row],[Start Date]]&gt;TODAY(),1,)</f>
        <v>1</v>
      </c>
      <c r="AF377" s="106"/>
    </row>
    <row r="378" spans="1:32" x14ac:dyDescent="0.25">
      <c r="A378" s="62"/>
      <c r="B378" s="116" t="s">
        <v>49</v>
      </c>
      <c r="C378" s="100" t="str">
        <f>VLOOKUP(Table2[[#This Row],[Course Title]],'TSD-Data'!$A$1:$E$56,2,FALSE)</f>
        <v>A-493-0092</v>
      </c>
      <c r="D378" s="100">
        <f>VLOOKUP(Table2[[#This Row],[Course Title]],'TSD-Data'!$A$1:$E$56,3,FALSE)</f>
        <v>5891</v>
      </c>
      <c r="E378" s="116" t="s">
        <v>206</v>
      </c>
      <c r="F378" s="102">
        <v>45839</v>
      </c>
      <c r="G378" s="102">
        <v>45841</v>
      </c>
      <c r="H378" s="105">
        <v>0.33333333333333331</v>
      </c>
      <c r="I378" s="105"/>
      <c r="J378" s="102"/>
      <c r="K378" s="102"/>
      <c r="L378" s="102"/>
      <c r="M378" s="102"/>
      <c r="N378" s="102"/>
      <c r="O378" s="15" t="s">
        <v>394</v>
      </c>
      <c r="P378" s="15"/>
      <c r="Q378" s="15">
        <f>VLOOKUP(Table2[[#This Row],[Course Title]],'TSD-Data'!$A$1:$E$56,4,FALSE)</f>
        <v>25</v>
      </c>
      <c r="R378" s="15">
        <f>VLOOKUP(Table2[[#This Row],[Course Title]],'TSD-Data'!$A$1:$F$53,6,FALSE)</f>
        <v>24</v>
      </c>
      <c r="S378" s="15">
        <f>VLOOKUP(Table2[[#This Row],[Course Title]],'TSD-Data'!$A$1:$E$56,5,FALSE)</f>
        <v>3</v>
      </c>
      <c r="T378" s="15"/>
      <c r="U378" s="15"/>
      <c r="V378" s="15"/>
      <c r="W378" s="15"/>
      <c r="X378" s="103"/>
      <c r="Y378" s="15"/>
      <c r="Z378" s="15"/>
      <c r="AA378" s="15"/>
      <c r="AB378" s="99"/>
      <c r="AC378" s="71">
        <f ca="1">Table2[[#This Row],[End Date]]+2-TODAY()</f>
        <v>311</v>
      </c>
      <c r="AD378" s="15">
        <f>IF(ISBLANK(Table2[[#This Row],[Roster Received By]]),1,0)</f>
        <v>1</v>
      </c>
      <c r="AE378" s="15">
        <f ca="1">IF(Table2[[#This Row],[Start Date]]&gt;TODAY(),1,)</f>
        <v>1</v>
      </c>
      <c r="AF378" s="106"/>
    </row>
    <row r="379" spans="1:32" x14ac:dyDescent="0.25">
      <c r="A379" s="62"/>
      <c r="B379" s="116" t="s">
        <v>35</v>
      </c>
      <c r="C379" s="100" t="str">
        <f>VLOOKUP(Table2[[#This Row],[Course Title]],'TSD-Data'!$A$1:$E$56,2,FALSE)</f>
        <v>A-493-2501</v>
      </c>
      <c r="D379" s="100" t="str">
        <f>VLOOKUP(Table2[[#This Row],[Course Title]],'TSD-Data'!$A$1:$E$56,3,FALSE)</f>
        <v>05ZE</v>
      </c>
      <c r="E379" s="66" t="s">
        <v>121</v>
      </c>
      <c r="F379" s="102">
        <v>45839</v>
      </c>
      <c r="G379" s="102">
        <v>45839</v>
      </c>
      <c r="H379" s="105">
        <v>0.33333333333333331</v>
      </c>
      <c r="I379" s="105"/>
      <c r="J379" s="105"/>
      <c r="K379" s="105"/>
      <c r="L379" s="105"/>
      <c r="M379" s="105"/>
      <c r="N379" s="105"/>
      <c r="O379" s="15" t="s">
        <v>94</v>
      </c>
      <c r="P379" s="15"/>
      <c r="Q379" s="15">
        <f>VLOOKUP(Table2[[#This Row],[Course Title]],'TSD-Data'!$A$1:$E$56,4,FALSE)</f>
        <v>30</v>
      </c>
      <c r="R379" s="15">
        <f>VLOOKUP(Table2[[#This Row],[Course Title]],'TSD-Data'!$A$1:$F$53,6,FALSE)</f>
        <v>8</v>
      </c>
      <c r="S379" s="15">
        <f>VLOOKUP(Table2[[#This Row],[Course Title]],'TSD-Data'!$A$1:$E$56,5,FALSE)</f>
        <v>1</v>
      </c>
      <c r="T379" s="15">
        <v>25</v>
      </c>
      <c r="U379" s="15"/>
      <c r="V379" s="15"/>
      <c r="W379" s="15"/>
      <c r="X379" s="103"/>
      <c r="Y379" s="15"/>
      <c r="Z379" s="15"/>
      <c r="AA379" s="15"/>
      <c r="AB379" s="99"/>
      <c r="AC379" s="71">
        <f ca="1">Table2[[#This Row],[End Date]]+2-TODAY()</f>
        <v>309</v>
      </c>
      <c r="AD379" s="15">
        <f>IF(ISBLANK(Table2[[#This Row],[Roster Received By]]),1,0)</f>
        <v>1</v>
      </c>
      <c r="AE379" s="15">
        <f ca="1">IF(Table2[[#This Row],[Start Date]]&gt;TODAY(),1,)</f>
        <v>1</v>
      </c>
      <c r="AF379" s="106"/>
    </row>
    <row r="380" spans="1:32" x14ac:dyDescent="0.25">
      <c r="A380" s="62" t="s">
        <v>420</v>
      </c>
      <c r="B380" s="116" t="s">
        <v>258</v>
      </c>
      <c r="C380" s="100" t="str">
        <f>VLOOKUP(Table2[[#This Row],[Course Title]],'TSD-Data'!$A$1:$E$56,2,FALSE)</f>
        <v>Holiday</v>
      </c>
      <c r="D380" s="100" t="str">
        <f>VLOOKUP(Table2[[#This Row],[Course Title]],'TSD-Data'!$A$1:$E$56,3,FALSE)</f>
        <v>Holiday</v>
      </c>
      <c r="E380" s="66"/>
      <c r="F380" s="102">
        <v>45842</v>
      </c>
      <c r="G380" s="102">
        <v>45842</v>
      </c>
      <c r="H380" s="108"/>
      <c r="I380" s="108"/>
      <c r="J380" s="102"/>
      <c r="K380" s="102"/>
      <c r="L380" s="102"/>
      <c r="M380" s="102"/>
      <c r="N380" s="102"/>
      <c r="O380" s="15"/>
      <c r="P380" s="15"/>
      <c r="Q380" s="15">
        <f>VLOOKUP(Table2[[#This Row],[Course Title]],'TSD-Data'!$A$1:$E$56,4,FALSE)</f>
        <v>0</v>
      </c>
      <c r="R380" s="15">
        <f>VLOOKUP(Table2[[#This Row],[Course Title]],'TSD-Data'!$A$1:$F$53,6,FALSE)</f>
        <v>0</v>
      </c>
      <c r="S380" s="15">
        <f>VLOOKUP(Table2[[#This Row],[Course Title]],'TSD-Data'!$A$1:$E$56,5,FALSE)</f>
        <v>0</v>
      </c>
      <c r="T380" s="15">
        <v>0</v>
      </c>
      <c r="U380" s="15"/>
      <c r="V380" s="15"/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99" t="s">
        <v>100</v>
      </c>
      <c r="AC380" s="71">
        <f ca="1">Table2[[#This Row],[End Date]]+2-TODAY()</f>
        <v>312</v>
      </c>
      <c r="AD380" s="15">
        <f>IF(ISBLANK(Table2[[#This Row],[Roster Received By]]),1,0)</f>
        <v>0</v>
      </c>
      <c r="AE380" s="15">
        <f ca="1">IF(Table2[[#This Row],[Start Date]]&gt;TODAY(),1,)</f>
        <v>1</v>
      </c>
      <c r="AF380" s="106"/>
    </row>
    <row r="381" spans="1:32" x14ac:dyDescent="0.25">
      <c r="A381" s="99"/>
      <c r="B381" s="116" t="s">
        <v>45</v>
      </c>
      <c r="C381" s="100" t="str">
        <f>VLOOKUP(Table2[[#This Row],[Course Title]],'TSD-Data'!$A$1:$E$56,2,FALSE)</f>
        <v>A-493-0069</v>
      </c>
      <c r="D381" s="100" t="str">
        <f>VLOOKUP(Table2[[#This Row],[Course Title]],'TSD-Data'!$A$1:$E$56,3,FALSE)</f>
        <v>450U</v>
      </c>
      <c r="E381" s="116" t="s">
        <v>276</v>
      </c>
      <c r="F381" s="102">
        <v>45845</v>
      </c>
      <c r="G381" s="102">
        <v>45849</v>
      </c>
      <c r="H381" s="105">
        <v>0.33333333333333331</v>
      </c>
      <c r="I381" s="101"/>
      <c r="J381" s="105"/>
      <c r="K381" s="105"/>
      <c r="L381" s="105"/>
      <c r="M381" s="105"/>
      <c r="N381" s="105"/>
      <c r="O381" s="15" t="s">
        <v>394</v>
      </c>
      <c r="P381" s="15"/>
      <c r="Q381" s="15">
        <f>VLOOKUP(Table2[[#This Row],[Course Title]],'TSD-Data'!$A$1:$E$56,4,FALSE)</f>
        <v>25</v>
      </c>
      <c r="R381" s="15">
        <f>VLOOKUP(Table2[[#This Row],[Course Title]],'TSD-Data'!$A$1:$F$53,6,FALSE)</f>
        <v>40</v>
      </c>
      <c r="S381" s="15">
        <f>VLOOKUP(Table2[[#This Row],[Course Title]],'TSD-Data'!$A$1:$E$56,5,FALSE)</f>
        <v>5</v>
      </c>
      <c r="T381" s="15"/>
      <c r="U381" s="15"/>
      <c r="V381" s="15"/>
      <c r="W381" s="103"/>
      <c r="X381" s="103"/>
      <c r="Y381" s="15"/>
      <c r="Z381" s="15"/>
      <c r="AA381" s="103"/>
      <c r="AB381" s="99"/>
      <c r="AC381" s="71">
        <f ca="1">Table2[[#This Row],[End Date]]+2-TODAY()</f>
        <v>319</v>
      </c>
      <c r="AD381" s="15">
        <f>IF(ISBLANK(Table2[[#This Row],[Roster Received By]]),1,0)</f>
        <v>1</v>
      </c>
      <c r="AE381" s="15">
        <f ca="1">IF(Table2[[#This Row],[Start Date]]&gt;TODAY(),1,)</f>
        <v>1</v>
      </c>
      <c r="AF381" s="100"/>
    </row>
    <row r="382" spans="1:32" x14ac:dyDescent="0.25">
      <c r="A382" s="62"/>
      <c r="B382" s="116" t="s">
        <v>55</v>
      </c>
      <c r="C382" s="100" t="str">
        <f>VLOOKUP(Table2[[#This Row],[Course Title]],'TSD-Data'!$A$1:$E$56,2,FALSE)</f>
        <v>A-493-0103</v>
      </c>
      <c r="D382" s="100" t="str">
        <f>VLOOKUP(Table2[[#This Row],[Course Title]],'TSD-Data'!$A$1:$E$56,3,FALSE)</f>
        <v>12JY</v>
      </c>
      <c r="E382" s="116" t="s">
        <v>267</v>
      </c>
      <c r="F382" s="102">
        <v>45845</v>
      </c>
      <c r="G382" s="102">
        <v>45849</v>
      </c>
      <c r="H382" s="105">
        <v>0.33333333333333331</v>
      </c>
      <c r="I382" s="101"/>
      <c r="J382" s="101"/>
      <c r="K382" s="101"/>
      <c r="L382" s="101"/>
      <c r="M382" s="101"/>
      <c r="N382" s="101"/>
      <c r="O382" s="15" t="s">
        <v>160</v>
      </c>
      <c r="P382" s="15"/>
      <c r="Q382" s="15">
        <f>VLOOKUP(Table2[[#This Row],[Course Title]],'TSD-Data'!$A$1:$E$56,4,FALSE)</f>
        <v>25</v>
      </c>
      <c r="R382" s="15">
        <f>VLOOKUP(Table2[[#This Row],[Course Title]],'TSD-Data'!$A$1:$F$53,6,FALSE)</f>
        <v>40</v>
      </c>
      <c r="S382" s="15">
        <f>VLOOKUP(Table2[[#This Row],[Course Title]],'TSD-Data'!$A$1:$E$56,5,FALSE)</f>
        <v>5</v>
      </c>
      <c r="T382" s="15">
        <v>332</v>
      </c>
      <c r="U382" s="15"/>
      <c r="V382" s="15"/>
      <c r="W382" s="15"/>
      <c r="X382" s="103"/>
      <c r="Y382" s="15"/>
      <c r="Z382" s="15"/>
      <c r="AA382" s="15"/>
      <c r="AB382" s="99"/>
      <c r="AC382" s="71">
        <f ca="1">Table2[[#This Row],[End Date]]+2-TODAY()</f>
        <v>319</v>
      </c>
      <c r="AD382" s="15">
        <f>IF(ISBLANK(Table2[[#This Row],[Roster Received By]]),1,0)</f>
        <v>1</v>
      </c>
      <c r="AE382" s="15">
        <f ca="1">IF(Table2[[#This Row],[Start Date]]&gt;TODAY(),1,)</f>
        <v>1</v>
      </c>
      <c r="AF382" s="62"/>
    </row>
    <row r="383" spans="1:32" x14ac:dyDescent="0.25">
      <c r="A383" s="62"/>
      <c r="B383" s="116" t="s">
        <v>55</v>
      </c>
      <c r="C383" s="100" t="str">
        <f>VLOOKUP(Table2[[#This Row],[Course Title]],'TSD-Data'!$A$1:$E$56,2,FALSE)</f>
        <v>A-493-0103</v>
      </c>
      <c r="D383" s="100" t="str">
        <f>VLOOKUP(Table2[[#This Row],[Course Title]],'TSD-Data'!$A$1:$E$56,3,FALSE)</f>
        <v>12JY</v>
      </c>
      <c r="E383" s="116" t="s">
        <v>306</v>
      </c>
      <c r="F383" s="102">
        <v>45845</v>
      </c>
      <c r="G383" s="102">
        <v>45849</v>
      </c>
      <c r="H383" s="105">
        <v>0.33333333333333331</v>
      </c>
      <c r="I383" s="101"/>
      <c r="J383" s="101"/>
      <c r="K383" s="101"/>
      <c r="L383" s="101"/>
      <c r="M383" s="101"/>
      <c r="N383" s="101"/>
      <c r="O383" s="15" t="s">
        <v>160</v>
      </c>
      <c r="P383" s="15"/>
      <c r="Q383" s="15">
        <f>VLOOKUP(Table2[[#This Row],[Course Title]],'TSD-Data'!$A$1:$E$56,4,FALSE)</f>
        <v>25</v>
      </c>
      <c r="R383" s="15">
        <f>VLOOKUP(Table2[[#This Row],[Course Title]],'TSD-Data'!$A$1:$F$53,6,FALSE)</f>
        <v>40</v>
      </c>
      <c r="S383" s="15">
        <f>VLOOKUP(Table2[[#This Row],[Course Title]],'TSD-Data'!$A$1:$E$56,5,FALSE)</f>
        <v>5</v>
      </c>
      <c r="T383" s="15">
        <v>48</v>
      </c>
      <c r="U383" s="15"/>
      <c r="V383" s="15"/>
      <c r="W383" s="15"/>
      <c r="X383" s="103"/>
      <c r="Y383" s="15"/>
      <c r="Z383" s="15"/>
      <c r="AA383" s="15"/>
      <c r="AB383" s="99"/>
      <c r="AC383" s="71">
        <f ca="1">Table2[[#This Row],[End Date]]+2-TODAY()</f>
        <v>319</v>
      </c>
      <c r="AD383" s="15">
        <f>IF(ISBLANK(Table2[[#This Row],[Roster Received By]]),1,0)</f>
        <v>1</v>
      </c>
      <c r="AE383" s="15">
        <f ca="1">IF(Table2[[#This Row],[Start Date]]&gt;TODAY(),1,)</f>
        <v>1</v>
      </c>
      <c r="AF383" s="62"/>
    </row>
    <row r="384" spans="1:32" s="391" customFormat="1" x14ac:dyDescent="0.25">
      <c r="A384" s="151" t="s">
        <v>421</v>
      </c>
      <c r="B384" s="185" t="s">
        <v>17</v>
      </c>
      <c r="C384" s="154" t="str">
        <f>VLOOKUP(Table2[[#This Row],[Course Title]],'TSD-Data'!$A$1:$E$56,2,FALSE)</f>
        <v>A-493-0012</v>
      </c>
      <c r="D384" s="154">
        <f>VLOOKUP(Table2[[#This Row],[Course Title]],'TSD-Data'!$A$1:$E$56,3,FALSE)</f>
        <v>3682</v>
      </c>
      <c r="E384" s="387" t="s">
        <v>289</v>
      </c>
      <c r="F384" s="155">
        <v>45845</v>
      </c>
      <c r="G384" s="155">
        <v>45849</v>
      </c>
      <c r="H384" s="158">
        <v>0.33333333333333331</v>
      </c>
      <c r="I384" s="158"/>
      <c r="J384" s="155"/>
      <c r="K384" s="155"/>
      <c r="L384" s="155"/>
      <c r="M384" s="155"/>
      <c r="N384" s="155"/>
      <c r="O384" s="157" t="s">
        <v>94</v>
      </c>
      <c r="P384" s="157"/>
      <c r="Q384" s="157">
        <f>VLOOKUP(Table2[[#This Row],[Course Title]],'TSD-Data'!$A$1:$E$56,4,FALSE)</f>
        <v>40</v>
      </c>
      <c r="R384" s="157">
        <f>VLOOKUP(Table2[[#This Row],[Course Title]],'TSD-Data'!$A$1:$F$53,6,FALSE)</f>
        <v>40</v>
      </c>
      <c r="S384" s="157">
        <f>VLOOKUP(Table2[[#This Row],[Course Title]],'TSD-Data'!$A$1:$E$56,5,FALSE)</f>
        <v>5</v>
      </c>
      <c r="T384" s="157">
        <v>30</v>
      </c>
      <c r="U384" s="157"/>
      <c r="V384" s="157"/>
      <c r="W384" s="157"/>
      <c r="X384" s="182"/>
      <c r="Y384" s="157"/>
      <c r="Z384" s="157"/>
      <c r="AA384" s="157"/>
      <c r="AB384" s="152"/>
      <c r="AC384" s="183">
        <f ca="1">Table2[[#This Row],[End Date]]+2-TODAY()</f>
        <v>319</v>
      </c>
      <c r="AD384" s="157">
        <f>IF(ISBLANK(Table2[[#This Row],[Roster Received By]]),1,0)</f>
        <v>1</v>
      </c>
      <c r="AE384" s="157">
        <f ca="1">IF(Table2[[#This Row],[Start Date]]&gt;TODAY(),1,)</f>
        <v>1</v>
      </c>
      <c r="AF384" s="392"/>
    </row>
    <row r="385" spans="1:32" x14ac:dyDescent="0.25">
      <c r="A385" s="62"/>
      <c r="B385" s="116" t="s">
        <v>165</v>
      </c>
      <c r="C385" s="100" t="str">
        <f>VLOOKUP(Table2[[#This Row],[Course Title]],'TSD-Data'!$A$1:$E$56,2,FALSE)</f>
        <v>A-322-2604</v>
      </c>
      <c r="D385" s="100" t="str">
        <f>VLOOKUP(Table2[[#This Row],[Course Title]],'TSD-Data'!$A$1:$E$56,3,FALSE)</f>
        <v>10ZZ</v>
      </c>
      <c r="E385" s="116" t="s">
        <v>80</v>
      </c>
      <c r="F385" s="102">
        <v>45845</v>
      </c>
      <c r="G385" s="102">
        <v>45849</v>
      </c>
      <c r="H385" s="105"/>
      <c r="I385" s="105">
        <v>0.54166666666666663</v>
      </c>
      <c r="J385" s="101">
        <v>0.41666666666666669</v>
      </c>
      <c r="K385" s="101">
        <v>0.83333333333333337</v>
      </c>
      <c r="L385" s="101">
        <v>0.75</v>
      </c>
      <c r="M385" s="101">
        <v>0.29166666666666669</v>
      </c>
      <c r="N385" s="101">
        <v>8.3333333333333329E-2</v>
      </c>
      <c r="O385" s="15" t="s">
        <v>394</v>
      </c>
      <c r="P385" s="15"/>
      <c r="Q385" s="15">
        <f>VLOOKUP(Table2[[#This Row],[Course Title]],'TSD-Data'!$A$1:$E$56,4,FALSE)</f>
        <v>45</v>
      </c>
      <c r="R385" s="15">
        <f>VLOOKUP(Table2[[#This Row],[Course Title]],'TSD-Data'!$A$1:$F$53,6,FALSE)</f>
        <v>24</v>
      </c>
      <c r="S385" s="15">
        <f>VLOOKUP(Table2[[#This Row],[Course Title]],'TSD-Data'!$A$1:$E$56,5,FALSE)</f>
        <v>3</v>
      </c>
      <c r="T385" s="15"/>
      <c r="U385" s="15"/>
      <c r="V385" s="15"/>
      <c r="W385" s="15"/>
      <c r="X385" s="103"/>
      <c r="Y385" s="15"/>
      <c r="Z385" s="15"/>
      <c r="AA385" s="100"/>
      <c r="AB385" s="99"/>
      <c r="AC385" s="71">
        <f ca="1">Table2[[#This Row],[End Date]]+2-TODAY()</f>
        <v>319</v>
      </c>
      <c r="AD385" s="15">
        <f>IF(ISBLANK(Table2[[#This Row],[Roster Received By]]),1,0)</f>
        <v>1</v>
      </c>
      <c r="AE385" s="15">
        <f ca="1">IF(Table2[[#This Row],[Start Date]]&gt;TODAY(),1,)</f>
        <v>1</v>
      </c>
      <c r="AF385" s="62"/>
    </row>
    <row r="386" spans="1:32" x14ac:dyDescent="0.25">
      <c r="A386" s="62"/>
      <c r="B386" s="116" t="s">
        <v>32</v>
      </c>
      <c r="C386" s="100" t="str">
        <f>VLOOKUP(Table2[[#This Row],[Course Title]],'TSD-Data'!$A$1:$E$56,2,FALSE)</f>
        <v>A-493-2300</v>
      </c>
      <c r="D386" s="100" t="str">
        <f>VLOOKUP(Table2[[#This Row],[Course Title]],'TSD-Data'!$A$1:$E$56,3,FALSE)</f>
        <v>993F</v>
      </c>
      <c r="E386" s="66" t="s">
        <v>146</v>
      </c>
      <c r="F386" s="67">
        <v>45845</v>
      </c>
      <c r="G386" s="67">
        <v>45846</v>
      </c>
      <c r="H386" s="105">
        <v>0.33333333333333331</v>
      </c>
      <c r="I386" s="105"/>
      <c r="J386" s="105"/>
      <c r="K386" s="105"/>
      <c r="L386" s="105"/>
      <c r="M386" s="105"/>
      <c r="N386" s="105"/>
      <c r="O386" s="15" t="s">
        <v>94</v>
      </c>
      <c r="P386" s="15"/>
      <c r="Q386" s="15">
        <f>VLOOKUP(Table2[[#This Row],[Course Title]],'TSD-Data'!$A$1:$E$56,4,FALSE)</f>
        <v>30</v>
      </c>
      <c r="R386" s="15">
        <f>VLOOKUP(Table2[[#This Row],[Course Title]],'TSD-Data'!$A$1:$F$53,6,FALSE)</f>
        <v>16</v>
      </c>
      <c r="S386" s="15">
        <f>VLOOKUP(Table2[[#This Row],[Course Title]],'TSD-Data'!$A$1:$E$56,5,FALSE)</f>
        <v>2</v>
      </c>
      <c r="T386" s="15">
        <v>25</v>
      </c>
      <c r="U386" s="15"/>
      <c r="V386" s="15"/>
      <c r="W386" s="15"/>
      <c r="X386" s="103"/>
      <c r="Y386" s="15"/>
      <c r="Z386" s="15"/>
      <c r="AA386" s="15"/>
      <c r="AB386" s="99"/>
      <c r="AC386" s="71">
        <f ca="1">Table2[[#This Row],[End Date]]+2-TODAY()</f>
        <v>316</v>
      </c>
      <c r="AD386" s="15">
        <f>IF(ISBLANK(Table2[[#This Row],[Roster Received By]]),1,0)</f>
        <v>1</v>
      </c>
      <c r="AE386" s="15">
        <f ca="1">IF(Table2[[#This Row],[Start Date]]&gt;TODAY(),1,)</f>
        <v>1</v>
      </c>
      <c r="AF386" s="62"/>
    </row>
    <row r="387" spans="1:32" x14ac:dyDescent="0.25">
      <c r="A387" s="62"/>
      <c r="B387" s="116" t="s">
        <v>33</v>
      </c>
      <c r="C387" s="100" t="str">
        <f>VLOOKUP(Table2[[#This Row],[Course Title]],'TSD-Data'!$A$1:$E$56,2,FALSE)</f>
        <v>A-493-2301</v>
      </c>
      <c r="D387" s="100" t="str">
        <f>VLOOKUP(Table2[[#This Row],[Course Title]],'TSD-Data'!$A$1:$E$56,3,FALSE)</f>
        <v>05ZD</v>
      </c>
      <c r="E387" s="116" t="s">
        <v>86</v>
      </c>
      <c r="F387" s="102">
        <v>45845</v>
      </c>
      <c r="G387" s="102">
        <v>45845</v>
      </c>
      <c r="H387" s="105">
        <v>0.33333333333333331</v>
      </c>
      <c r="I387" s="105"/>
      <c r="J387" s="105"/>
      <c r="K387" s="105"/>
      <c r="L387" s="105"/>
      <c r="M387" s="105"/>
      <c r="N387" s="105"/>
      <c r="O387" s="15" t="s">
        <v>94</v>
      </c>
      <c r="P387" s="15"/>
      <c r="Q387" s="15">
        <f>VLOOKUP(Table2[[#This Row],[Course Title]],'TSD-Data'!$A$1:$E$56,4,FALSE)</f>
        <v>30</v>
      </c>
      <c r="R387" s="15">
        <f>VLOOKUP(Table2[[#This Row],[Course Title]],'TSD-Data'!$A$1:$F$53,6,FALSE)</f>
        <v>8</v>
      </c>
      <c r="S387" s="15">
        <f>VLOOKUP(Table2[[#This Row],[Course Title]],'TSD-Data'!$A$1:$E$56,5,FALSE)</f>
        <v>1</v>
      </c>
      <c r="T387" s="15">
        <v>33</v>
      </c>
      <c r="U387" s="15"/>
      <c r="V387" s="15"/>
      <c r="W387" s="15"/>
      <c r="X387" s="103"/>
      <c r="Y387" s="15"/>
      <c r="Z387" s="15"/>
      <c r="AA387" s="15"/>
      <c r="AB387" s="99"/>
      <c r="AC387" s="71">
        <f ca="1">Table2[[#This Row],[End Date]]+2-TODAY()</f>
        <v>315</v>
      </c>
      <c r="AD387" s="15">
        <f>IF(ISBLANK(Table2[[#This Row],[Roster Received By]]),1,0)</f>
        <v>1</v>
      </c>
      <c r="AE387" s="15">
        <f ca="1">IF(Table2[[#This Row],[Start Date]]&gt;TODAY(),1,)</f>
        <v>1</v>
      </c>
      <c r="AF387" s="62"/>
    </row>
    <row r="388" spans="1:32" x14ac:dyDescent="0.25">
      <c r="B388" s="375" t="s">
        <v>51</v>
      </c>
      <c r="C388" s="2" t="str">
        <f>VLOOKUP(Table2[[#This Row],[Course Title]],'TSD-Data'!$A$1:$E$56,2,FALSE)</f>
        <v>A-493-0335</v>
      </c>
      <c r="D388" s="2" t="str">
        <f>VLOOKUP(Table2[[#This Row],[Course Title]],'TSD-Data'!$A$1:$E$56,3,FALSE)</f>
        <v>09ND</v>
      </c>
      <c r="E388" s="375" t="s">
        <v>80</v>
      </c>
      <c r="F388" s="11">
        <v>45845</v>
      </c>
      <c r="G388" s="11">
        <v>45848</v>
      </c>
      <c r="H388" s="11"/>
      <c r="I388" s="233">
        <v>0.5</v>
      </c>
      <c r="J388" s="101">
        <v>0.375</v>
      </c>
      <c r="K388" s="101">
        <v>0.79166666666666663</v>
      </c>
      <c r="L388" s="101">
        <v>0.75</v>
      </c>
      <c r="M388" s="101">
        <v>0.25</v>
      </c>
      <c r="N388" s="101">
        <v>4.1666666666666664E-2</v>
      </c>
      <c r="O388" s="15" t="s">
        <v>394</v>
      </c>
      <c r="Q388" s="69">
        <f>VLOOKUP(Table2[[#This Row],[Course Title]],'TSD-Data'!$A$1:$E$56,4,FALSE)</f>
        <v>45</v>
      </c>
      <c r="R388" s="69">
        <f>VLOOKUP(Table2[[#This Row],[Course Title]],'TSD-Data'!$A$1:$F$53,6,FALSE)</f>
        <v>32</v>
      </c>
      <c r="S388" s="15">
        <f>VLOOKUP(Table2[[#This Row],[Course Title]],'TSD-Data'!$A$1:$E$56,5,FALSE)</f>
        <v>4</v>
      </c>
      <c r="T388" s="15"/>
      <c r="U388" s="15"/>
      <c r="V388" s="15"/>
      <c r="W388" s="69"/>
      <c r="X388" s="13"/>
      <c r="Y388" s="69"/>
      <c r="Z388" s="69"/>
      <c r="AA388" s="69"/>
      <c r="AB388" s="10"/>
      <c r="AC388" s="234">
        <f ca="1">Table2[[#This Row],[End Date]]+2-TODAY()</f>
        <v>318</v>
      </c>
      <c r="AD388" s="69">
        <f>IF(ISBLANK(Table2[[#This Row],[Roster Received By]]),1,0)</f>
        <v>1</v>
      </c>
      <c r="AE388" s="69">
        <f ca="1">IF(Table2[[#This Row],[Start Date]]&gt;TODAY(),1,)</f>
        <v>1</v>
      </c>
      <c r="AF388" s="62"/>
    </row>
    <row r="389" spans="1:32" x14ac:dyDescent="0.25">
      <c r="A389" s="62"/>
      <c r="B389" s="116" t="s">
        <v>59</v>
      </c>
      <c r="C389" s="100" t="str">
        <f>VLOOKUP(Table2[[#This Row],[Course Title]],'TSD-Data'!$A$1:$E$56,2,FALSE)</f>
        <v>A-493-0550</v>
      </c>
      <c r="D389" s="100" t="str">
        <f>VLOOKUP(Table2[[#This Row],[Course Title]],'TSD-Data'!$A$1:$E$56,3,FALSE)</f>
        <v>09K5</v>
      </c>
      <c r="E389" s="116" t="s">
        <v>80</v>
      </c>
      <c r="F389" s="102">
        <v>45845</v>
      </c>
      <c r="G389" s="102">
        <v>45848</v>
      </c>
      <c r="H389" s="102"/>
      <c r="I389" s="105">
        <v>0.33333333333333331</v>
      </c>
      <c r="J389" s="105">
        <v>0.20833333333333334</v>
      </c>
      <c r="K389" s="105">
        <v>0.625</v>
      </c>
      <c r="L389" s="105">
        <v>0.54166666666666663</v>
      </c>
      <c r="M389" s="105">
        <v>8.3333333333333329E-2</v>
      </c>
      <c r="N389" s="105">
        <v>0.875</v>
      </c>
      <c r="O389" s="15" t="s">
        <v>394</v>
      </c>
      <c r="P389" s="15"/>
      <c r="Q389" s="15">
        <f>VLOOKUP(Table2[[#This Row],[Course Title]],'TSD-Data'!$A$1:$E$56,4,FALSE)</f>
        <v>45</v>
      </c>
      <c r="R389" s="15">
        <f>VLOOKUP(Table2[[#This Row],[Course Title]],'TSD-Data'!$A$1:$F$53,6,FALSE)</f>
        <v>32</v>
      </c>
      <c r="S389" s="15">
        <f>VLOOKUP(Table2[[#This Row],[Course Title]],'TSD-Data'!$A$1:$E$56,5,FALSE)</f>
        <v>4</v>
      </c>
      <c r="T389" s="15"/>
      <c r="U389" s="15"/>
      <c r="V389" s="15"/>
      <c r="W389" s="15"/>
      <c r="X389" s="103"/>
      <c r="Y389" s="15"/>
      <c r="Z389" s="15"/>
      <c r="AA389" s="15"/>
      <c r="AB389" s="99"/>
      <c r="AC389" s="71">
        <f ca="1">Table2[[#This Row],[End Date]]+2-TODAY()</f>
        <v>318</v>
      </c>
      <c r="AD389" s="15">
        <f>IF(ISBLANK(Table2[[#This Row],[Roster Received By]]),1,0)</f>
        <v>1</v>
      </c>
      <c r="AE389" s="15">
        <f ca="1">IF(Table2[[#This Row],[Start Date]]&gt;TODAY(),1,)</f>
        <v>1</v>
      </c>
      <c r="AF389" s="62"/>
    </row>
    <row r="390" spans="1:32" x14ac:dyDescent="0.25">
      <c r="A390" s="100"/>
      <c r="B390" s="116" t="s">
        <v>39</v>
      </c>
      <c r="C390" s="100" t="str">
        <f>VLOOKUP(Table2[[#This Row],[Course Title]],'TSD-Data'!$A$1:$E$56,2,FALSE)</f>
        <v>A-570-0100</v>
      </c>
      <c r="D390" s="100" t="str">
        <f>VLOOKUP(Table2[[#This Row],[Course Title]],'TSD-Data'!$A$1:$E$56,3,FALSE)</f>
        <v>18B7</v>
      </c>
      <c r="E390" s="116" t="s">
        <v>80</v>
      </c>
      <c r="F390" s="102">
        <v>45845</v>
      </c>
      <c r="G390" s="102">
        <v>45848</v>
      </c>
      <c r="H390" s="105"/>
      <c r="I390" s="105">
        <v>0.54166666666666663</v>
      </c>
      <c r="J390" s="101">
        <v>0.41666666666666669</v>
      </c>
      <c r="K390" s="101">
        <v>0.83333333333333337</v>
      </c>
      <c r="L390" s="101">
        <v>0.75</v>
      </c>
      <c r="M390" s="101">
        <v>0.29166666666666669</v>
      </c>
      <c r="N390" s="101">
        <v>8.3333333333333329E-2</v>
      </c>
      <c r="O390" s="15" t="s">
        <v>394</v>
      </c>
      <c r="P390" s="15"/>
      <c r="Q390" s="15">
        <f>VLOOKUP(Table2[[#This Row],[Course Title]],'TSD-Data'!$A$1:$E$56,4,FALSE)</f>
        <v>45</v>
      </c>
      <c r="R390" s="15">
        <f>VLOOKUP(Table2[[#This Row],[Course Title]],'TSD-Data'!$A$1:$F$53,6,FALSE)</f>
        <v>16</v>
      </c>
      <c r="S390" s="15">
        <f>VLOOKUP(Table2[[#This Row],[Course Title]],'TSD-Data'!$A$1:$E$56,5,FALSE)</f>
        <v>2</v>
      </c>
      <c r="T390" s="15"/>
      <c r="U390" s="15"/>
      <c r="V390" s="15"/>
      <c r="W390" s="104"/>
      <c r="X390" s="104"/>
      <c r="Y390" s="100"/>
      <c r="Z390" s="100"/>
      <c r="AA390" s="104"/>
      <c r="AB390" s="99"/>
      <c r="AC390" s="71">
        <f ca="1">Table2[[#This Row],[End Date]]+2-TODAY()</f>
        <v>318</v>
      </c>
      <c r="AD390" s="15">
        <f>IF(ISBLANK(Table2[[#This Row],[Roster Received By]]),1,0)</f>
        <v>1</v>
      </c>
      <c r="AE390" s="15">
        <f ca="1">IF(Table2[[#This Row],[Start Date]]&gt;TODAY(),1,)</f>
        <v>1</v>
      </c>
      <c r="AF390" s="62"/>
    </row>
    <row r="391" spans="1:32" x14ac:dyDescent="0.25">
      <c r="A391" s="62"/>
      <c r="B391" s="116" t="s">
        <v>53</v>
      </c>
      <c r="C391" s="100" t="str">
        <f>VLOOKUP(Table2[[#This Row],[Course Title]],'TSD-Data'!$A$1:$E$56,2,FALSE)</f>
        <v>A-493-0072</v>
      </c>
      <c r="D391" s="100" t="str">
        <f>VLOOKUP(Table2[[#This Row],[Course Title]],'TSD-Data'!$A$1:$E$56,3,FALSE)</f>
        <v>713U</v>
      </c>
      <c r="E391" s="116" t="s">
        <v>206</v>
      </c>
      <c r="F391" s="102">
        <v>45845</v>
      </c>
      <c r="G391" s="102">
        <v>45849</v>
      </c>
      <c r="H391" s="105">
        <v>0.33333333333333331</v>
      </c>
      <c r="I391" s="105"/>
      <c r="J391" s="105"/>
      <c r="K391" s="105"/>
      <c r="L391" s="105"/>
      <c r="M391" s="105"/>
      <c r="N391" s="102"/>
      <c r="O391" s="15" t="s">
        <v>394</v>
      </c>
      <c r="P391" s="15"/>
      <c r="Q391" s="15">
        <f>VLOOKUP(Table2[[#This Row],[Course Title]],'TSD-Data'!$A$1:$E$56,4,FALSE)</f>
        <v>30</v>
      </c>
      <c r="R391" s="15">
        <f>VLOOKUP(Table2[[#This Row],[Course Title]],'TSD-Data'!$A$1:$F$53,6,FALSE)</f>
        <v>40</v>
      </c>
      <c r="S391" s="15">
        <f>VLOOKUP(Table2[[#This Row],[Course Title]],'TSD-Data'!$A$1:$E$56,5,FALSE)</f>
        <v>5</v>
      </c>
      <c r="T391" s="15"/>
      <c r="U391" s="15"/>
      <c r="V391" s="15"/>
      <c r="W391" s="15"/>
      <c r="X391" s="103"/>
      <c r="Y391" s="15"/>
      <c r="Z391" s="15"/>
      <c r="AA391" s="15"/>
      <c r="AB391" s="99"/>
      <c r="AC391" s="71">
        <f ca="1">Table2[[#This Row],[End Date]]+2-TODAY()</f>
        <v>319</v>
      </c>
      <c r="AD391" s="15">
        <f>IF(ISBLANK(Table2[[#This Row],[Roster Received By]]),1,0)</f>
        <v>1</v>
      </c>
      <c r="AE391" s="15">
        <f ca="1">IF(Table2[[#This Row],[Start Date]]&gt;TODAY(),1,)</f>
        <v>1</v>
      </c>
      <c r="AF391" s="62"/>
    </row>
    <row r="392" spans="1:32" x14ac:dyDescent="0.25">
      <c r="A392" s="62" t="s">
        <v>422</v>
      </c>
      <c r="B392" s="116" t="s">
        <v>28</v>
      </c>
      <c r="C392" s="100" t="str">
        <f>VLOOKUP(Table2[[#This Row],[Course Title]],'TSD-Data'!$A$1:$E$56,2,FALSE)</f>
        <v>A-493-0013</v>
      </c>
      <c r="D392" s="100">
        <f>VLOOKUP(Table2[[#This Row],[Course Title]],'TSD-Data'!$A$1:$E$56,3,FALSE)</f>
        <v>3683</v>
      </c>
      <c r="E392" s="116" t="s">
        <v>86</v>
      </c>
      <c r="F392" s="102">
        <v>45846</v>
      </c>
      <c r="G392" s="102">
        <v>45848</v>
      </c>
      <c r="H392" s="105">
        <v>0.33333333333333331</v>
      </c>
      <c r="I392" s="105"/>
      <c r="J392" s="102"/>
      <c r="K392" s="102"/>
      <c r="L392" s="102"/>
      <c r="M392" s="102"/>
      <c r="N392" s="102"/>
      <c r="O392" s="15" t="s">
        <v>94</v>
      </c>
      <c r="P392" s="15"/>
      <c r="Q392" s="15">
        <f>VLOOKUP(Table2[[#This Row],[Course Title]],'TSD-Data'!$A$1:$E$56,4,FALSE)</f>
        <v>40</v>
      </c>
      <c r="R392" s="15">
        <f>VLOOKUP(Table2[[#This Row],[Course Title]],'TSD-Data'!$A$1:$F$53,6,FALSE)</f>
        <v>24</v>
      </c>
      <c r="S392" s="15">
        <f>VLOOKUP(Table2[[#This Row],[Course Title]],'TSD-Data'!$A$1:$E$56,5,FALSE)</f>
        <v>3</v>
      </c>
      <c r="T392" s="15">
        <v>0</v>
      </c>
      <c r="U392" s="15"/>
      <c r="V392" s="15"/>
      <c r="W392" s="15"/>
      <c r="X392" s="103"/>
      <c r="Y392" s="15"/>
      <c r="Z392" s="15"/>
      <c r="AA392" s="100"/>
      <c r="AB392" s="99"/>
      <c r="AC392" s="71">
        <f ca="1">Table2[[#This Row],[End Date]]+2-TODAY()</f>
        <v>318</v>
      </c>
      <c r="AD392" s="15">
        <f>IF(ISBLANK(Table2[[#This Row],[Roster Received By]]),1,0)</f>
        <v>1</v>
      </c>
      <c r="AE392" s="15">
        <f ca="1">IF(Table2[[#This Row],[Start Date]]&gt;TODAY(),1,)</f>
        <v>1</v>
      </c>
      <c r="AF392" s="62"/>
    </row>
    <row r="393" spans="1:32" x14ac:dyDescent="0.25">
      <c r="A393" s="62"/>
      <c r="B393" s="116" t="s">
        <v>57</v>
      </c>
      <c r="C393" s="100" t="str">
        <f>VLOOKUP(Table2[[#This Row],[Course Title]],'TSD-Data'!$A$1:$E$56,2,FALSE)</f>
        <v>A-493-0099</v>
      </c>
      <c r="D393" s="100" t="str">
        <f>VLOOKUP(Table2[[#This Row],[Course Title]],'TSD-Data'!$A$1:$E$56,3,FALSE)</f>
        <v>12JW</v>
      </c>
      <c r="E393" s="99" t="s">
        <v>80</v>
      </c>
      <c r="F393" s="102">
        <v>45846</v>
      </c>
      <c r="G393" s="102">
        <v>45848</v>
      </c>
      <c r="H393" s="102"/>
      <c r="I393" s="101">
        <v>0.33333333333333331</v>
      </c>
      <c r="J393" s="105">
        <v>0.20833333333333334</v>
      </c>
      <c r="K393" s="105">
        <v>0.625</v>
      </c>
      <c r="L393" s="105">
        <v>0.54166666666666663</v>
      </c>
      <c r="M393" s="105">
        <v>8.3333333333333329E-2</v>
      </c>
      <c r="N393" s="105">
        <v>0.875</v>
      </c>
      <c r="O393" s="15" t="s">
        <v>394</v>
      </c>
      <c r="P393" s="15"/>
      <c r="Q393" s="15">
        <f>VLOOKUP(Table2[[#This Row],[Course Title]],'TSD-Data'!$A$1:$E$56,4,FALSE)</f>
        <v>45</v>
      </c>
      <c r="R393" s="15">
        <f>VLOOKUP(Table2[[#This Row],[Course Title]],'TSD-Data'!$A$1:$F$53,6,FALSE)</f>
        <v>24</v>
      </c>
      <c r="S393" s="15">
        <f>VLOOKUP(Table2[[#This Row],[Course Title]],'TSD-Data'!$A$1:$E$56,5,FALSE)</f>
        <v>3</v>
      </c>
      <c r="T393" s="15"/>
      <c r="U393" s="15"/>
      <c r="V393" s="15"/>
      <c r="W393" s="15"/>
      <c r="X393" s="103"/>
      <c r="Y393" s="15"/>
      <c r="Z393" s="15"/>
      <c r="AA393" s="107"/>
      <c r="AB393" s="99"/>
      <c r="AC393" s="71">
        <f ca="1">Table2[[#This Row],[End Date]]+2-TODAY()</f>
        <v>318</v>
      </c>
      <c r="AD393" s="15">
        <f>IF(ISBLANK(Table2[[#This Row],[Roster Received By]]),1,0)</f>
        <v>1</v>
      </c>
      <c r="AE393" s="15">
        <f ca="1">IF(Table2[[#This Row],[Start Date]]&gt;TODAY(),1,)</f>
        <v>1</v>
      </c>
      <c r="AF393" s="62"/>
    </row>
    <row r="394" spans="1:32" x14ac:dyDescent="0.25">
      <c r="A394" s="62"/>
      <c r="B394" s="116" t="s">
        <v>58</v>
      </c>
      <c r="C394" s="100" t="str">
        <f>VLOOKUP(Table2[[#This Row],[Course Title]],'TSD-Data'!$A$1:$E$56,2,FALSE)</f>
        <v xml:space="preserve">A-493-0075 </v>
      </c>
      <c r="D394" s="100" t="str">
        <f>VLOOKUP(Table2[[#This Row],[Course Title]],'TSD-Data'!$A$1:$E$56,3,FALSE)</f>
        <v>714U</v>
      </c>
      <c r="E394" s="116" t="s">
        <v>268</v>
      </c>
      <c r="F394" s="102">
        <v>45846</v>
      </c>
      <c r="G394" s="102">
        <v>45849</v>
      </c>
      <c r="H394" s="105">
        <v>0.33333333333333331</v>
      </c>
      <c r="I394" s="105"/>
      <c r="J394" s="102"/>
      <c r="K394" s="102"/>
      <c r="L394" s="102"/>
      <c r="M394" s="102"/>
      <c r="N394" s="102"/>
      <c r="O394" s="15" t="s">
        <v>160</v>
      </c>
      <c r="P394" s="15"/>
      <c r="Q394" s="15">
        <f>VLOOKUP(Table2[[#This Row],[Course Title]],'TSD-Data'!$A$1:$E$56,4,FALSE)</f>
        <v>30</v>
      </c>
      <c r="R394" s="15">
        <f>VLOOKUP(Table2[[#This Row],[Course Title]],'TSD-Data'!$A$1:$F$53,6,FALSE)</f>
        <v>32</v>
      </c>
      <c r="S394" s="15">
        <f>VLOOKUP(Table2[[#This Row],[Course Title]],'TSD-Data'!$A$1:$E$56,5,FALSE)</f>
        <v>4</v>
      </c>
      <c r="T394" s="15">
        <v>61</v>
      </c>
      <c r="U394" s="15"/>
      <c r="V394" s="15"/>
      <c r="W394" s="15"/>
      <c r="X394" s="103"/>
      <c r="Y394" s="15"/>
      <c r="Z394" s="15"/>
      <c r="AA394" s="15"/>
      <c r="AB394" s="99"/>
      <c r="AC394" s="71">
        <f ca="1">Table2[[#This Row],[End Date]]+2-TODAY()</f>
        <v>319</v>
      </c>
      <c r="AD394" s="15">
        <f>IF(ISBLANK(Table2[[#This Row],[Roster Received By]]),1,0)</f>
        <v>1</v>
      </c>
      <c r="AE394" s="15">
        <f ca="1">IF(Table2[[#This Row],[Start Date]]&gt;TODAY(),1,)</f>
        <v>1</v>
      </c>
      <c r="AF394" s="62"/>
    </row>
    <row r="395" spans="1:32" x14ac:dyDescent="0.25">
      <c r="A395" s="62"/>
      <c r="B395" s="116" t="s">
        <v>35</v>
      </c>
      <c r="C395" s="100" t="str">
        <f>VLOOKUP(Table2[[#This Row],[Course Title]],'TSD-Data'!$A$1:$E$56,2,FALSE)</f>
        <v>A-493-2501</v>
      </c>
      <c r="D395" s="100" t="str">
        <f>VLOOKUP(Table2[[#This Row],[Course Title]],'TSD-Data'!$A$1:$E$56,3,FALSE)</f>
        <v>05ZE</v>
      </c>
      <c r="E395" s="116" t="s">
        <v>86</v>
      </c>
      <c r="F395" s="102">
        <v>45846</v>
      </c>
      <c r="G395" s="102">
        <v>45846</v>
      </c>
      <c r="H395" s="105">
        <v>0.33333333333333331</v>
      </c>
      <c r="I395" s="105"/>
      <c r="J395" s="105"/>
      <c r="K395" s="105"/>
      <c r="L395" s="105"/>
      <c r="M395" s="105"/>
      <c r="N395" s="105"/>
      <c r="O395" s="15" t="s">
        <v>94</v>
      </c>
      <c r="P395" s="15"/>
      <c r="Q395" s="15">
        <f>VLOOKUP(Table2[[#This Row],[Course Title]],'TSD-Data'!$A$1:$E$56,4,FALSE)</f>
        <v>30</v>
      </c>
      <c r="R395" s="15">
        <f>VLOOKUP(Table2[[#This Row],[Course Title]],'TSD-Data'!$A$1:$F$53,6,FALSE)</f>
        <v>8</v>
      </c>
      <c r="S395" s="15">
        <f>VLOOKUP(Table2[[#This Row],[Course Title]],'TSD-Data'!$A$1:$E$56,5,FALSE)</f>
        <v>1</v>
      </c>
      <c r="T395" s="15">
        <v>31</v>
      </c>
      <c r="U395" s="15"/>
      <c r="V395" s="15"/>
      <c r="W395" s="15"/>
      <c r="X395" s="103"/>
      <c r="Y395" s="15"/>
      <c r="Z395" s="15"/>
      <c r="AA395" s="15"/>
      <c r="AB395" s="99"/>
      <c r="AC395" s="71">
        <f ca="1">Table2[[#This Row],[End Date]]+2-TODAY()</f>
        <v>316</v>
      </c>
      <c r="AD395" s="15">
        <f>IF(ISBLANK(Table2[[#This Row],[Roster Received By]]),1,0)</f>
        <v>1</v>
      </c>
      <c r="AE395" s="15">
        <f ca="1">IF(Table2[[#This Row],[Start Date]]&gt;TODAY(),1,)</f>
        <v>1</v>
      </c>
      <c r="AF395" s="62"/>
    </row>
    <row r="396" spans="1:32" x14ac:dyDescent="0.25">
      <c r="A396" s="62"/>
      <c r="B396" s="116" t="s">
        <v>33</v>
      </c>
      <c r="C396" s="100" t="str">
        <f>VLOOKUP(Table2[[#This Row],[Course Title]],'TSD-Data'!$A$1:$E$56,2,FALSE)</f>
        <v>A-493-2301</v>
      </c>
      <c r="D396" s="100" t="str">
        <f>VLOOKUP(Table2[[#This Row],[Course Title]],'TSD-Data'!$A$1:$E$56,3,FALSE)</f>
        <v>05ZD</v>
      </c>
      <c r="E396" s="66" t="s">
        <v>142</v>
      </c>
      <c r="F396" s="67">
        <v>45847</v>
      </c>
      <c r="G396" s="67">
        <v>45847</v>
      </c>
      <c r="H396" s="105">
        <v>0.33333333333333331</v>
      </c>
      <c r="I396" s="105"/>
      <c r="J396" s="105"/>
      <c r="K396" s="105"/>
      <c r="L396" s="105"/>
      <c r="M396" s="105"/>
      <c r="N396" s="105"/>
      <c r="O396" s="15" t="s">
        <v>94</v>
      </c>
      <c r="P396" s="15"/>
      <c r="Q396" s="15">
        <f>VLOOKUP(Table2[[#This Row],[Course Title]],'TSD-Data'!$A$1:$E$56,4,FALSE)</f>
        <v>30</v>
      </c>
      <c r="R396" s="15">
        <f>VLOOKUP(Table2[[#This Row],[Course Title]],'TSD-Data'!$A$1:$F$53,6,FALSE)</f>
        <v>8</v>
      </c>
      <c r="S396" s="15">
        <f>VLOOKUP(Table2[[#This Row],[Course Title]],'TSD-Data'!$A$1:$E$56,5,FALSE)</f>
        <v>1</v>
      </c>
      <c r="T396" s="15">
        <v>38</v>
      </c>
      <c r="U396" s="15"/>
      <c r="V396" s="15"/>
      <c r="W396" s="15"/>
      <c r="X396" s="103"/>
      <c r="Y396" s="15"/>
      <c r="Z396" s="15"/>
      <c r="AA396" s="100"/>
      <c r="AB396" s="99"/>
      <c r="AC396" s="71">
        <f ca="1">Table2[[#This Row],[End Date]]+2-TODAY()</f>
        <v>317</v>
      </c>
      <c r="AD396" s="15">
        <f>IF(ISBLANK(Table2[[#This Row],[Roster Received By]]),1,0)</f>
        <v>1</v>
      </c>
      <c r="AE396" s="15">
        <f ca="1">IF(Table2[[#This Row],[Start Date]]&gt;TODAY(),1,)</f>
        <v>1</v>
      </c>
      <c r="AF396" s="62"/>
    </row>
    <row r="397" spans="1:32" x14ac:dyDescent="0.25">
      <c r="A397" s="62"/>
      <c r="B397" s="116" t="s">
        <v>35</v>
      </c>
      <c r="C397" s="100" t="str">
        <f>VLOOKUP(Table2[[#This Row],[Course Title]],'TSD-Data'!$A$1:$E$56,2,FALSE)</f>
        <v>A-493-2501</v>
      </c>
      <c r="D397" s="100" t="str">
        <f>VLOOKUP(Table2[[#This Row],[Course Title]],'TSD-Data'!$A$1:$E$56,3,FALSE)</f>
        <v>05ZE</v>
      </c>
      <c r="E397" s="128" t="s">
        <v>146</v>
      </c>
      <c r="F397" s="168">
        <v>45847</v>
      </c>
      <c r="G397" s="168">
        <v>45847</v>
      </c>
      <c r="H397" s="105">
        <v>0.33333333333333331</v>
      </c>
      <c r="I397" s="105"/>
      <c r="J397" s="105"/>
      <c r="K397" s="105"/>
      <c r="L397" s="105"/>
      <c r="M397" s="105"/>
      <c r="N397" s="105"/>
      <c r="O397" s="15" t="s">
        <v>94</v>
      </c>
      <c r="P397" s="15"/>
      <c r="Q397" s="15">
        <f>VLOOKUP(Table2[[#This Row],[Course Title]],'TSD-Data'!$A$1:$E$56,4,FALSE)</f>
        <v>30</v>
      </c>
      <c r="R397" s="15">
        <f>VLOOKUP(Table2[[#This Row],[Course Title]],'TSD-Data'!$A$1:$F$53,6,FALSE)</f>
        <v>8</v>
      </c>
      <c r="S397" s="15">
        <f>VLOOKUP(Table2[[#This Row],[Course Title]],'TSD-Data'!$A$1:$E$56,5,FALSE)</f>
        <v>1</v>
      </c>
      <c r="T397" s="15">
        <v>20</v>
      </c>
      <c r="U397" s="15"/>
      <c r="V397" s="15"/>
      <c r="W397" s="15"/>
      <c r="X397" s="103"/>
      <c r="Y397" s="15"/>
      <c r="Z397" s="15"/>
      <c r="AA397" s="100"/>
      <c r="AB397" s="99"/>
      <c r="AC397" s="71">
        <f ca="1">Table2[[#This Row],[End Date]]+2-TODAY()</f>
        <v>317</v>
      </c>
      <c r="AD397" s="15">
        <f>IF(ISBLANK(Table2[[#This Row],[Roster Received By]]),1,0)</f>
        <v>1</v>
      </c>
      <c r="AE397" s="15">
        <f ca="1">IF(Table2[[#This Row],[Start Date]]&gt;TODAY(),1,)</f>
        <v>1</v>
      </c>
      <c r="AF397" s="62"/>
    </row>
    <row r="398" spans="1:32" x14ac:dyDescent="0.25">
      <c r="A398" s="62"/>
      <c r="B398" s="116" t="s">
        <v>35</v>
      </c>
      <c r="C398" s="100" t="str">
        <f>VLOOKUP(Table2[[#This Row],[Course Title]],'TSD-Data'!$A$1:$E$56,2,FALSE)</f>
        <v>A-493-2501</v>
      </c>
      <c r="D398" s="100" t="str">
        <f>VLOOKUP(Table2[[#This Row],[Course Title]],'TSD-Data'!$A$1:$E$56,3,FALSE)</f>
        <v>05ZE</v>
      </c>
      <c r="E398" s="116" t="s">
        <v>142</v>
      </c>
      <c r="F398" s="102">
        <v>45848</v>
      </c>
      <c r="G398" s="102">
        <v>45848</v>
      </c>
      <c r="H398" s="105">
        <v>0.33333333333333331</v>
      </c>
      <c r="I398" s="105"/>
      <c r="J398" s="105"/>
      <c r="K398" s="105"/>
      <c r="L398" s="105"/>
      <c r="M398" s="105"/>
      <c r="N398" s="105"/>
      <c r="O398" s="15" t="s">
        <v>94</v>
      </c>
      <c r="P398" s="15"/>
      <c r="Q398" s="15">
        <f>VLOOKUP(Table2[[#This Row],[Course Title]],'TSD-Data'!$A$1:$E$56,4,FALSE)</f>
        <v>30</v>
      </c>
      <c r="R398" s="15">
        <f>VLOOKUP(Table2[[#This Row],[Course Title]],'TSD-Data'!$A$1:$F$53,6,FALSE)</f>
        <v>8</v>
      </c>
      <c r="S398" s="15">
        <f>VLOOKUP(Table2[[#This Row],[Course Title]],'TSD-Data'!$A$1:$E$56,5,FALSE)</f>
        <v>1</v>
      </c>
      <c r="T398" s="15">
        <v>36</v>
      </c>
      <c r="U398" s="15"/>
      <c r="V398" s="15"/>
      <c r="W398" s="15"/>
      <c r="X398" s="103"/>
      <c r="Y398" s="15"/>
      <c r="Z398" s="15"/>
      <c r="AA398" s="100"/>
      <c r="AB398" s="99"/>
      <c r="AC398" s="71">
        <f ca="1">Table2[[#This Row],[End Date]]+2-TODAY()</f>
        <v>318</v>
      </c>
      <c r="AD398" s="15">
        <f>IF(ISBLANK(Table2[[#This Row],[Roster Received By]]),1,0)</f>
        <v>1</v>
      </c>
      <c r="AE398" s="15">
        <f ca="1">IF(Table2[[#This Row],[Start Date]]&gt;TODAY(),1,)</f>
        <v>1</v>
      </c>
      <c r="AF398" s="62"/>
    </row>
    <row r="399" spans="1:32" x14ac:dyDescent="0.25">
      <c r="A399" s="100"/>
      <c r="B399" s="116" t="s">
        <v>40</v>
      </c>
      <c r="C399" s="100" t="str">
        <f>VLOOKUP(Table2[[#This Row],[Course Title]],'TSD-Data'!$A$1:$E$56,2,FALSE)</f>
        <v>A-493-2098</v>
      </c>
      <c r="D399" s="100" t="str">
        <f>VLOOKUP(Table2[[#This Row],[Course Title]],'TSD-Data'!$A$1:$E$56,3,FALSE)</f>
        <v>09WW</v>
      </c>
      <c r="E399" s="116" t="s">
        <v>80</v>
      </c>
      <c r="F399" s="102">
        <v>45851</v>
      </c>
      <c r="G399" s="102">
        <v>45855</v>
      </c>
      <c r="H399" s="105"/>
      <c r="I399" s="105">
        <v>0.79166666666666663</v>
      </c>
      <c r="J399" s="101">
        <v>0.66666666666666663</v>
      </c>
      <c r="K399" s="101">
        <v>8.3333333333333329E-2</v>
      </c>
      <c r="L399" s="101">
        <v>0</v>
      </c>
      <c r="M399" s="101">
        <v>0.54166666666666663</v>
      </c>
      <c r="N399" s="101">
        <v>0.33333333333333331</v>
      </c>
      <c r="O399" s="15" t="s">
        <v>394</v>
      </c>
      <c r="P399" s="15"/>
      <c r="Q399" s="15">
        <f>VLOOKUP(Table2[[#This Row],[Course Title]],'TSD-Data'!$A$1:$E$56,4,FALSE)</f>
        <v>100</v>
      </c>
      <c r="R399" s="15">
        <f>VLOOKUP(Table2[[#This Row],[Course Title]],'TSD-Data'!$A$1:$F$53,6,FALSE)</f>
        <v>16</v>
      </c>
      <c r="S399" s="15">
        <f>VLOOKUP(Table2[[#This Row],[Course Title]],'TSD-Data'!$A$1:$E$56,5,FALSE)</f>
        <v>2</v>
      </c>
      <c r="T399" s="15"/>
      <c r="U399" s="15"/>
      <c r="V399" s="15"/>
      <c r="W399" s="104"/>
      <c r="X399" s="104"/>
      <c r="Y399" s="100"/>
      <c r="Z399" s="100"/>
      <c r="AA399" s="104"/>
      <c r="AB399" s="99"/>
      <c r="AC399" s="71">
        <f ca="1">Table2[[#This Row],[End Date]]+2-TODAY()</f>
        <v>325</v>
      </c>
      <c r="AD399" s="15">
        <f>IF(ISBLANK(Table2[[#This Row],[Roster Received By]]),1,0)</f>
        <v>1</v>
      </c>
      <c r="AE399" s="15">
        <f ca="1">IF(Table2[[#This Row],[Start Date]]&gt;TODAY(),1,)</f>
        <v>1</v>
      </c>
      <c r="AF399" s="62"/>
    </row>
    <row r="400" spans="1:32" x14ac:dyDescent="0.25">
      <c r="A400" s="151" t="s">
        <v>397</v>
      </c>
      <c r="B400" s="185" t="s">
        <v>36</v>
      </c>
      <c r="C400" s="154" t="str">
        <f>VLOOKUP(Table2[[#This Row],[Course Title]],'TSD-Data'!$A$1:$E$56,2,FALSE)</f>
        <v>A-493-2017</v>
      </c>
      <c r="D400" s="154" t="str">
        <f>VLOOKUP(Table2[[#This Row],[Course Title]],'TSD-Data'!$A$1:$E$56,3,FALSE)</f>
        <v>12x3</v>
      </c>
      <c r="E400" s="152" t="s">
        <v>132</v>
      </c>
      <c r="F400" s="155">
        <v>45852</v>
      </c>
      <c r="G400" s="155">
        <v>45856</v>
      </c>
      <c r="H400" s="158">
        <v>0.33333333333333331</v>
      </c>
      <c r="I400" s="158"/>
      <c r="J400" s="155"/>
      <c r="K400" s="155"/>
      <c r="L400" s="155"/>
      <c r="M400" s="155"/>
      <c r="N400" s="155"/>
      <c r="O400" s="157" t="s">
        <v>94</v>
      </c>
      <c r="P400" s="157"/>
      <c r="Q400" s="182">
        <f>VLOOKUP(Table2[[#This Row],[Course Title]],'TSD-Data'!$A$1:$E$56,4,FALSE)</f>
        <v>25</v>
      </c>
      <c r="R400" s="157">
        <f>VLOOKUP(Table2[[#This Row],[Course Title]],'TSD-Data'!$A$1:$F$53,6,FALSE)</f>
        <v>40</v>
      </c>
      <c r="S400" s="381">
        <f>VLOOKUP(Table2[[#This Row],[Course Title]],'TSD-Data'!$A$1:$E$56,5,FALSE)</f>
        <v>5</v>
      </c>
      <c r="T400" s="381">
        <v>1</v>
      </c>
      <c r="U400" s="381"/>
      <c r="V400" s="381"/>
      <c r="W400" s="182"/>
      <c r="X400" s="182"/>
      <c r="Y400" s="157"/>
      <c r="Z400" s="157"/>
      <c r="AA400" s="382"/>
      <c r="AB400" s="152"/>
      <c r="AC400" s="183">
        <f ca="1">Table2[[#This Row],[End Date]]+2-TODAY()</f>
        <v>326</v>
      </c>
      <c r="AD400" s="157">
        <f>IF(ISBLANK(Table2[[#This Row],[Roster Received By]]),1,0)</f>
        <v>1</v>
      </c>
      <c r="AE400" s="157">
        <f ca="1">IF(Table2[[#This Row],[Start Date]]&gt;TODAY(),1,)</f>
        <v>1</v>
      </c>
      <c r="AF400" s="62"/>
    </row>
    <row r="401" spans="1:32" x14ac:dyDescent="0.25">
      <c r="A401" s="62"/>
      <c r="B401" s="116" t="s">
        <v>88</v>
      </c>
      <c r="C401" s="100" t="str">
        <f>VLOOKUP(Table2[[#This Row],[Course Title]],'TSD-Data'!$A$1:$E$56,2,FALSE)</f>
        <v>A-493-0014</v>
      </c>
      <c r="D401" s="100">
        <f>VLOOKUP(Table2[[#This Row],[Course Title]],'TSD-Data'!$A$1:$E$56,3,FALSE)</f>
        <v>3878</v>
      </c>
      <c r="E401" s="66" t="s">
        <v>276</v>
      </c>
      <c r="F401" s="102">
        <v>45852</v>
      </c>
      <c r="G401" s="102">
        <v>45854</v>
      </c>
      <c r="H401" s="105">
        <v>0.33333333333333331</v>
      </c>
      <c r="I401" s="101"/>
      <c r="J401" s="105"/>
      <c r="K401" s="105"/>
      <c r="L401" s="105"/>
      <c r="M401" s="105"/>
      <c r="N401" s="105"/>
      <c r="O401" s="15" t="s">
        <v>394</v>
      </c>
      <c r="P401" s="15"/>
      <c r="Q401" s="15">
        <f>VLOOKUP(Table2[[#This Row],[Course Title]],'TSD-Data'!$A$1:$E$56,4,FALSE)</f>
        <v>25</v>
      </c>
      <c r="R401" s="15">
        <f>VLOOKUP(Table2[[#This Row],[Course Title]],'TSD-Data'!$A$1:$F$53,6,FALSE)</f>
        <v>24</v>
      </c>
      <c r="S401" s="15">
        <f>VLOOKUP(Table2[[#This Row],[Course Title]],'TSD-Data'!$A$1:$E$56,5,FALSE)</f>
        <v>3</v>
      </c>
      <c r="T401" s="15"/>
      <c r="U401" s="15"/>
      <c r="V401" s="15"/>
      <c r="W401" s="15"/>
      <c r="X401" s="103"/>
      <c r="Y401" s="15"/>
      <c r="Z401" s="15"/>
      <c r="AA401" s="15"/>
      <c r="AB401" s="99"/>
      <c r="AC401" s="71">
        <f ca="1">Table2[[#This Row],[End Date]]+2-TODAY()</f>
        <v>324</v>
      </c>
      <c r="AD401" s="15">
        <f>IF(ISBLANK(Table2[[#This Row],[Roster Received By]]),1,0)</f>
        <v>1</v>
      </c>
      <c r="AE401" s="15">
        <f ca="1">IF(Table2[[#This Row],[Start Date]]&gt;TODAY(),1,)</f>
        <v>1</v>
      </c>
      <c r="AF401" s="62"/>
    </row>
    <row r="402" spans="1:32" x14ac:dyDescent="0.25">
      <c r="A402" s="99"/>
      <c r="B402" s="116" t="s">
        <v>37</v>
      </c>
      <c r="C402" s="100" t="str">
        <f>VLOOKUP(Table2[[#This Row],[Course Title]],'TSD-Data'!$A$1:$E$56,2,FALSE)</f>
        <v>A-493-0665</v>
      </c>
      <c r="D402" s="100" t="str">
        <f>VLOOKUP(Table2[[#This Row],[Course Title]],'TSD-Data'!$A$1:$E$56,3,FALSE)</f>
        <v>10KW</v>
      </c>
      <c r="E402" s="116" t="s">
        <v>80</v>
      </c>
      <c r="F402" s="102">
        <v>45852</v>
      </c>
      <c r="G402" s="102">
        <v>45856</v>
      </c>
      <c r="H402" s="105"/>
      <c r="I402" s="105">
        <v>0.54166666666666663</v>
      </c>
      <c r="J402" s="101">
        <v>0.41666666666666669</v>
      </c>
      <c r="K402" s="101">
        <v>0.83333333333333337</v>
      </c>
      <c r="L402" s="101">
        <v>0.75</v>
      </c>
      <c r="M402" s="101">
        <v>0.29166666666666669</v>
      </c>
      <c r="N402" s="101">
        <v>8.3333333333333329E-2</v>
      </c>
      <c r="O402" s="15" t="s">
        <v>394</v>
      </c>
      <c r="P402" s="15"/>
      <c r="Q402" s="15">
        <f>VLOOKUP(Table2[[#This Row],[Course Title]],'TSD-Data'!$A$1:$E$56,4,FALSE)</f>
        <v>45</v>
      </c>
      <c r="R402" s="15">
        <f>VLOOKUP(Table2[[#This Row],[Course Title]],'TSD-Data'!$A$1:$F$53,6,FALSE)</f>
        <v>24</v>
      </c>
      <c r="S402" s="15">
        <f>VLOOKUP(Table2[[#This Row],[Course Title]],'TSD-Data'!$A$1:$E$56,5,FALSE)</f>
        <v>3</v>
      </c>
      <c r="T402" s="15"/>
      <c r="U402" s="15"/>
      <c r="V402" s="15"/>
      <c r="W402" s="15"/>
      <c r="X402" s="103"/>
      <c r="Y402" s="15"/>
      <c r="Z402" s="15"/>
      <c r="AA402" s="100"/>
      <c r="AB402" s="99"/>
      <c r="AC402" s="71">
        <f ca="1">Table2[[#This Row],[End Date]]+2-TODAY()</f>
        <v>326</v>
      </c>
      <c r="AD402" s="15">
        <f>IF(ISBLANK(Table2[[#This Row],[Roster Received By]]),1,0)</f>
        <v>1</v>
      </c>
      <c r="AE402" s="15">
        <f ca="1">IF(Table2[[#This Row],[Start Date]]&gt;TODAY(),1,)</f>
        <v>1</v>
      </c>
      <c r="AF402" s="62"/>
    </row>
    <row r="403" spans="1:32" x14ac:dyDescent="0.25">
      <c r="A403" s="62"/>
      <c r="B403" s="116" t="s">
        <v>55</v>
      </c>
      <c r="C403" s="100" t="str">
        <f>VLOOKUP(Table2[[#This Row],[Course Title]],'TSD-Data'!$A$1:$E$56,2,FALSE)</f>
        <v>A-493-0103</v>
      </c>
      <c r="D403" s="100" t="str">
        <f>VLOOKUP(Table2[[#This Row],[Course Title]],'TSD-Data'!$A$1:$E$56,3,FALSE)</f>
        <v>12JY</v>
      </c>
      <c r="E403" s="116" t="s">
        <v>267</v>
      </c>
      <c r="F403" s="102">
        <v>45852</v>
      </c>
      <c r="G403" s="102">
        <v>45856</v>
      </c>
      <c r="H403" s="105">
        <v>0.33333333333333331</v>
      </c>
      <c r="I403" s="105"/>
      <c r="J403" s="102"/>
      <c r="K403" s="102"/>
      <c r="L403" s="102"/>
      <c r="M403" s="102"/>
      <c r="N403" s="102"/>
      <c r="O403" s="15" t="s">
        <v>160</v>
      </c>
      <c r="P403" s="15"/>
      <c r="Q403" s="15">
        <f>VLOOKUP(Table2[[#This Row],[Course Title]],'TSD-Data'!$A$1:$E$56,4,FALSE)</f>
        <v>25</v>
      </c>
      <c r="R403" s="15">
        <f>VLOOKUP(Table2[[#This Row],[Course Title]],'TSD-Data'!$A$1:$F$53,6,FALSE)</f>
        <v>40</v>
      </c>
      <c r="S403" s="15">
        <f>VLOOKUP(Table2[[#This Row],[Course Title]],'TSD-Data'!$A$1:$E$56,5,FALSE)</f>
        <v>5</v>
      </c>
      <c r="T403" s="15">
        <v>332</v>
      </c>
      <c r="U403" s="15"/>
      <c r="V403" s="15"/>
      <c r="W403" s="15"/>
      <c r="X403" s="103"/>
      <c r="Y403" s="15"/>
      <c r="Z403" s="15"/>
      <c r="AA403" s="15"/>
      <c r="AB403" s="99"/>
      <c r="AC403" s="71">
        <f ca="1">Table2[[#This Row],[End Date]]+2-TODAY()</f>
        <v>326</v>
      </c>
      <c r="AD403" s="15">
        <f>IF(ISBLANK(Table2[[#This Row],[Roster Received By]]),1,0)</f>
        <v>1</v>
      </c>
      <c r="AE403" s="15">
        <f ca="1">IF(Table2[[#This Row],[Start Date]]&gt;TODAY(),1,)</f>
        <v>1</v>
      </c>
      <c r="AF403" s="62"/>
    </row>
    <row r="404" spans="1:32" x14ac:dyDescent="0.25">
      <c r="A404" s="62"/>
      <c r="B404" s="116" t="s">
        <v>55</v>
      </c>
      <c r="C404" s="100" t="str">
        <f>VLOOKUP(Table2[[#This Row],[Course Title]],'TSD-Data'!$A$1:$E$56,2,FALSE)</f>
        <v>A-493-0103</v>
      </c>
      <c r="D404" s="100" t="str">
        <f>VLOOKUP(Table2[[#This Row],[Course Title]],'TSD-Data'!$A$1:$E$56,3,FALSE)</f>
        <v>12JY</v>
      </c>
      <c r="E404" s="116" t="s">
        <v>306</v>
      </c>
      <c r="F404" s="102">
        <v>45852</v>
      </c>
      <c r="G404" s="102">
        <v>45856</v>
      </c>
      <c r="H404" s="105">
        <v>0.33333333333333331</v>
      </c>
      <c r="I404" s="101"/>
      <c r="J404" s="101"/>
      <c r="K404" s="101"/>
      <c r="L404" s="101"/>
      <c r="M404" s="101"/>
      <c r="N404" s="101"/>
      <c r="O404" s="15" t="s">
        <v>160</v>
      </c>
      <c r="P404" s="15"/>
      <c r="Q404" s="15">
        <f>VLOOKUP(Table2[[#This Row],[Course Title]],'TSD-Data'!$A$1:$E$56,4,FALSE)</f>
        <v>25</v>
      </c>
      <c r="R404" s="15">
        <f>VLOOKUP(Table2[[#This Row],[Course Title]],'TSD-Data'!$A$1:$F$53,6,FALSE)</f>
        <v>40</v>
      </c>
      <c r="S404" s="15">
        <f>VLOOKUP(Table2[[#This Row],[Course Title]],'TSD-Data'!$A$1:$E$56,5,FALSE)</f>
        <v>5</v>
      </c>
      <c r="T404" s="15">
        <v>48</v>
      </c>
      <c r="U404" s="15"/>
      <c r="V404" s="15"/>
      <c r="W404" s="15"/>
      <c r="X404" s="103"/>
      <c r="Y404" s="15"/>
      <c r="Z404" s="15"/>
      <c r="AA404" s="15"/>
      <c r="AB404" s="99"/>
      <c r="AC404" s="71">
        <f ca="1">Table2[[#This Row],[End Date]]+2-TODAY()</f>
        <v>326</v>
      </c>
      <c r="AD404" s="15">
        <f>IF(ISBLANK(Table2[[#This Row],[Roster Received By]]),1,0)</f>
        <v>1</v>
      </c>
      <c r="AE404" s="15">
        <f ca="1">IF(Table2[[#This Row],[Start Date]]&gt;TODAY(),1,)</f>
        <v>1</v>
      </c>
      <c r="AF404" s="62"/>
    </row>
    <row r="405" spans="1:32" x14ac:dyDescent="0.25">
      <c r="A405" s="99"/>
      <c r="B405" s="116" t="s">
        <v>47</v>
      </c>
      <c r="C405" s="100" t="str">
        <f>VLOOKUP(Table2[[#This Row],[Course Title]],'TSD-Data'!$A$1:$E$56,2,FALSE)</f>
        <v>A-493-0030</v>
      </c>
      <c r="D405" s="100" t="str">
        <f>VLOOKUP(Table2[[#This Row],[Course Title]],'TSD-Data'!$A$1:$E$56,3,FALSE)</f>
        <v>286X</v>
      </c>
      <c r="E405" s="116" t="s">
        <v>80</v>
      </c>
      <c r="F405" s="102">
        <v>45852</v>
      </c>
      <c r="G405" s="102">
        <v>45856</v>
      </c>
      <c r="H405" s="105"/>
      <c r="I405" s="105">
        <v>0.33333333333333331</v>
      </c>
      <c r="J405" s="105">
        <v>0.20833333333333334</v>
      </c>
      <c r="K405" s="105">
        <v>0.625</v>
      </c>
      <c r="L405" s="105">
        <v>0.54166666666666663</v>
      </c>
      <c r="M405" s="105">
        <v>8.3333333333333329E-2</v>
      </c>
      <c r="N405" s="105">
        <v>0.875</v>
      </c>
      <c r="O405" s="15" t="s">
        <v>196</v>
      </c>
      <c r="P405" s="15"/>
      <c r="Q405" s="103">
        <f>VLOOKUP(Table2[[#This Row],[Course Title]],'TSD-Data'!$A$1:$E$56,4,FALSE)</f>
        <v>25</v>
      </c>
      <c r="R405" s="15">
        <f>VLOOKUP(Table2[[#This Row],[Course Title]],'TSD-Data'!$A$1:$F$53,6,FALSE)</f>
        <v>40</v>
      </c>
      <c r="S405" s="15">
        <f>VLOOKUP(Table2[[#This Row],[Course Title]],'TSD-Data'!$A$1:$E$56,5,FALSE)</f>
        <v>5</v>
      </c>
      <c r="T405" s="15">
        <v>0</v>
      </c>
      <c r="U405" s="15"/>
      <c r="V405" s="15"/>
      <c r="W405" s="103"/>
      <c r="X405" s="103"/>
      <c r="Y405" s="15"/>
      <c r="Z405" s="15"/>
      <c r="AA405" s="100"/>
      <c r="AB405" s="99"/>
      <c r="AC405" s="71">
        <f ca="1">Table2[[#This Row],[End Date]]+2-TODAY()</f>
        <v>326</v>
      </c>
      <c r="AD405" s="15">
        <f>IF(ISBLANK(Table2[[#This Row],[Roster Received By]]),1,0)</f>
        <v>1</v>
      </c>
      <c r="AE405" s="15">
        <f ca="1">IF(Table2[[#This Row],[Start Date]]&gt;TODAY(),1,)</f>
        <v>1</v>
      </c>
      <c r="AF405" s="62"/>
    </row>
    <row r="406" spans="1:32" x14ac:dyDescent="0.25">
      <c r="A406" s="62"/>
      <c r="B406" s="116" t="s">
        <v>38</v>
      </c>
      <c r="C406" s="100" t="str">
        <f>VLOOKUP(Table2[[#This Row],[Course Title]],'TSD-Data'!$A$1:$E$56,2,FALSE)</f>
        <v>A-493-0061</v>
      </c>
      <c r="D406" s="100" t="str">
        <f>VLOOKUP(Table2[[#This Row],[Course Title]],'TSD-Data'!$A$1:$E$56,3,FALSE)</f>
        <v>288E</v>
      </c>
      <c r="E406" s="116" t="s">
        <v>80</v>
      </c>
      <c r="F406" s="102">
        <v>45852</v>
      </c>
      <c r="G406" s="102">
        <v>45855</v>
      </c>
      <c r="H406" s="105"/>
      <c r="I406" s="101">
        <v>0.54166666666666663</v>
      </c>
      <c r="J406" s="101">
        <v>0.41666666666666669</v>
      </c>
      <c r="K406" s="101">
        <v>0.83333333333333337</v>
      </c>
      <c r="L406" s="101">
        <v>0.75</v>
      </c>
      <c r="M406" s="101">
        <v>0.29166666666666669</v>
      </c>
      <c r="N406" s="101">
        <v>8.3333333333333329E-2</v>
      </c>
      <c r="O406" s="15" t="s">
        <v>394</v>
      </c>
      <c r="P406" s="15"/>
      <c r="Q406" s="15">
        <f>VLOOKUP(Table2[[#This Row],[Course Title]],'TSD-Data'!$A$1:$E$56,4,FALSE)</f>
        <v>45</v>
      </c>
      <c r="R406" s="15">
        <f>VLOOKUP(Table2[[#This Row],[Course Title]],'TSD-Data'!$A$1:$F$53,6,FALSE)</f>
        <v>30</v>
      </c>
      <c r="S406" s="15">
        <f>VLOOKUP(Table2[[#This Row],[Course Title]],'TSD-Data'!$A$1:$E$56,5,FALSE)</f>
        <v>4</v>
      </c>
      <c r="T406" s="15"/>
      <c r="U406" s="15"/>
      <c r="V406" s="15"/>
      <c r="W406" s="15"/>
      <c r="X406" s="103"/>
      <c r="Y406" s="15"/>
      <c r="Z406" s="15"/>
      <c r="AA406" s="15"/>
      <c r="AB406" s="99"/>
      <c r="AC406" s="71">
        <f ca="1">Table2[[#This Row],[End Date]]+2-TODAY()</f>
        <v>325</v>
      </c>
      <c r="AD406" s="15">
        <f>IF(ISBLANK(Table2[[#This Row],[Roster Received By]]),1,0)</f>
        <v>1</v>
      </c>
      <c r="AE406" s="15">
        <f ca="1">IF(Table2[[#This Row],[Start Date]]&gt;TODAY(),1,)</f>
        <v>1</v>
      </c>
      <c r="AF406" s="62"/>
    </row>
    <row r="407" spans="1:32" x14ac:dyDescent="0.25">
      <c r="A407" s="62"/>
      <c r="B407" s="116" t="s">
        <v>29</v>
      </c>
      <c r="C407" s="100" t="str">
        <f>VLOOKUP(Table2[[#This Row],[Course Title]],'TSD-Data'!$A$1:$E$56,2,FALSE)</f>
        <v>A-493-0077</v>
      </c>
      <c r="D407" s="100" t="str">
        <f>VLOOKUP(Table2[[#This Row],[Course Title]],'TSD-Data'!$A$1:$E$56,3,FALSE)</f>
        <v>0381</v>
      </c>
      <c r="E407" s="116" t="s">
        <v>276</v>
      </c>
      <c r="F407" s="110">
        <v>45852</v>
      </c>
      <c r="G407" s="110">
        <v>45854</v>
      </c>
      <c r="H407" s="105">
        <v>0.33333333333333331</v>
      </c>
      <c r="I407" s="105"/>
      <c r="J407" s="105"/>
      <c r="K407" s="105"/>
      <c r="L407" s="105"/>
      <c r="M407" s="105"/>
      <c r="N407" s="105"/>
      <c r="O407" s="15" t="s">
        <v>94</v>
      </c>
      <c r="P407" s="15"/>
      <c r="Q407" s="15">
        <f>VLOOKUP(Table2[[#This Row],[Course Title]],'TSD-Data'!$A$1:$E$56,4,FALSE)</f>
        <v>25</v>
      </c>
      <c r="R407" s="15">
        <f>VLOOKUP(Table2[[#This Row],[Course Title]],'TSD-Data'!$A$1:$F$53,6,FALSE)</f>
        <v>24</v>
      </c>
      <c r="S407" s="15">
        <f>VLOOKUP(Table2[[#This Row],[Course Title]],'TSD-Data'!$A$1:$E$56,5,FALSE)</f>
        <v>3</v>
      </c>
      <c r="T407" s="15">
        <v>44</v>
      </c>
      <c r="U407" s="15"/>
      <c r="V407" s="15"/>
      <c r="W407" s="15"/>
      <c r="X407" s="103"/>
      <c r="Y407" s="15"/>
      <c r="Z407" s="15"/>
      <c r="AA407" s="100"/>
      <c r="AB407" s="99"/>
      <c r="AC407" s="71">
        <f ca="1">Table2[[#This Row],[End Date]]+2-TODAY()</f>
        <v>324</v>
      </c>
      <c r="AD407" s="15">
        <f>IF(ISBLANK(Table2[[#This Row],[Roster Received By]]),1,0)</f>
        <v>1</v>
      </c>
      <c r="AE407" s="15">
        <f ca="1">IF(Table2[[#This Row],[Start Date]]&gt;TODAY(),1,)</f>
        <v>1</v>
      </c>
      <c r="AF407" s="62"/>
    </row>
    <row r="408" spans="1:32" x14ac:dyDescent="0.25">
      <c r="A408" s="100"/>
      <c r="B408" s="116" t="s">
        <v>61</v>
      </c>
      <c r="C408" s="100" t="str">
        <f>VLOOKUP(Table2[[#This Row],[Course Title]],'TSD-Data'!$A$1:$E$56,2,FALSE)</f>
        <v>A-493-0078</v>
      </c>
      <c r="D408" s="100">
        <f>VLOOKUP(Table2[[#This Row],[Course Title]],'TSD-Data'!$A$1:$E$56,3,FALSE)</f>
        <v>1228</v>
      </c>
      <c r="E408" s="99" t="s">
        <v>80</v>
      </c>
      <c r="F408" s="110">
        <v>45852</v>
      </c>
      <c r="G408" s="110">
        <v>45855</v>
      </c>
      <c r="H408" s="108"/>
      <c r="I408" s="108">
        <v>0.33333333333333331</v>
      </c>
      <c r="J408" s="105">
        <v>0.20833333333333334</v>
      </c>
      <c r="K408" s="105">
        <v>0.625</v>
      </c>
      <c r="L408" s="105">
        <v>0.54166666666666663</v>
      </c>
      <c r="M408" s="105">
        <v>8.3333333333333329E-2</v>
      </c>
      <c r="N408" s="105">
        <v>0.875</v>
      </c>
      <c r="O408" s="15" t="s">
        <v>394</v>
      </c>
      <c r="P408" s="15"/>
      <c r="Q408" s="15">
        <f>VLOOKUP(Table2[[#This Row],[Course Title]],'TSD-Data'!$A$1:$E$56,4,FALSE)</f>
        <v>45</v>
      </c>
      <c r="R408" s="15">
        <f>VLOOKUP(Table2[[#This Row],[Course Title]],'TSD-Data'!$A$1:$F$53,6,FALSE)</f>
        <v>32</v>
      </c>
      <c r="S408" s="15">
        <f>VLOOKUP(Table2[[#This Row],[Course Title]],'TSD-Data'!$A$1:$E$56,5,FALSE)</f>
        <v>4</v>
      </c>
      <c r="T408" s="15"/>
      <c r="U408" s="15"/>
      <c r="V408" s="15"/>
      <c r="W408" s="107"/>
      <c r="X408" s="103"/>
      <c r="Y408" s="15"/>
      <c r="Z408" s="15"/>
      <c r="AA408" s="15"/>
      <c r="AB408" s="99"/>
      <c r="AC408" s="71">
        <f ca="1">Table2[[#This Row],[End Date]]+2-TODAY()</f>
        <v>325</v>
      </c>
      <c r="AD408" s="15">
        <f>IF(ISBLANK(Table2[[#This Row],[Roster Received By]]),1,0)</f>
        <v>1</v>
      </c>
      <c r="AE408" s="15">
        <f ca="1">IF(Table2[[#This Row],[Start Date]]&gt;TODAY(),1,)</f>
        <v>1</v>
      </c>
      <c r="AF408" s="62"/>
    </row>
    <row r="409" spans="1:32" s="391" customFormat="1" x14ac:dyDescent="0.25">
      <c r="A409" s="392"/>
      <c r="B409" s="393" t="s">
        <v>53</v>
      </c>
      <c r="C409" s="394" t="str">
        <f>VLOOKUP(Table2[[#This Row],[Course Title]],'TSD-Data'!$A$1:$E$56,2,FALSE)</f>
        <v>A-493-0072</v>
      </c>
      <c r="D409" s="394" t="str">
        <f>VLOOKUP(Table2[[#This Row],[Course Title]],'TSD-Data'!$A$1:$E$56,3,FALSE)</f>
        <v>713U</v>
      </c>
      <c r="E409" s="393" t="s">
        <v>241</v>
      </c>
      <c r="F409" s="399">
        <v>45852</v>
      </c>
      <c r="G409" s="399">
        <v>45856</v>
      </c>
      <c r="H409" s="388">
        <v>0.33333333333333331</v>
      </c>
      <c r="I409" s="388"/>
      <c r="J409" s="395"/>
      <c r="K409" s="395"/>
      <c r="L409" s="395"/>
      <c r="M409" s="395"/>
      <c r="N409" s="395"/>
      <c r="O409" s="389" t="s">
        <v>394</v>
      </c>
      <c r="P409" s="389"/>
      <c r="Q409" s="389">
        <f>VLOOKUP(Table2[[#This Row],[Course Title]],'TSD-Data'!$A$1:$E$56,4,FALSE)</f>
        <v>30</v>
      </c>
      <c r="R409" s="389">
        <f>VLOOKUP(Table2[[#This Row],[Course Title]],'TSD-Data'!$A$1:$F$53,6,FALSE)</f>
        <v>40</v>
      </c>
      <c r="S409" s="389">
        <f>VLOOKUP(Table2[[#This Row],[Course Title]],'TSD-Data'!$A$1:$E$56,5,FALSE)</f>
        <v>5</v>
      </c>
      <c r="T409" s="389"/>
      <c r="U409" s="389"/>
      <c r="V409" s="389"/>
      <c r="W409" s="389"/>
      <c r="X409" s="396"/>
      <c r="Y409" s="389"/>
      <c r="Z409" s="389"/>
      <c r="AA409" s="389"/>
      <c r="AB409" s="397"/>
      <c r="AC409" s="398">
        <f ca="1">Table2[[#This Row],[End Date]]+2-TODAY()</f>
        <v>326</v>
      </c>
      <c r="AD409" s="389">
        <f>IF(ISBLANK(Table2[[#This Row],[Roster Received By]]),1,0)</f>
        <v>1</v>
      </c>
      <c r="AE409" s="389">
        <f ca="1">IF(Table2[[#This Row],[Start Date]]&gt;TODAY(),1,)</f>
        <v>1</v>
      </c>
      <c r="AF409" s="392"/>
    </row>
    <row r="410" spans="1:32" x14ac:dyDescent="0.25">
      <c r="A410" s="142"/>
      <c r="B410" s="116" t="s">
        <v>28</v>
      </c>
      <c r="C410" s="100" t="str">
        <f>VLOOKUP(Table2[[#This Row],[Course Title]],'TSD-Data'!$A$1:$E$56,2,FALSE)</f>
        <v>A-493-0013</v>
      </c>
      <c r="D410" s="100">
        <f>VLOOKUP(Table2[[#This Row],[Course Title]],'TSD-Data'!$A$1:$E$56,3,FALSE)</f>
        <v>3683</v>
      </c>
      <c r="E410" s="116" t="s">
        <v>142</v>
      </c>
      <c r="F410" s="110">
        <v>45853</v>
      </c>
      <c r="G410" s="110">
        <v>45855</v>
      </c>
      <c r="H410" s="105">
        <v>0.33333333333333331</v>
      </c>
      <c r="I410" s="105"/>
      <c r="J410" s="102"/>
      <c r="K410" s="102"/>
      <c r="L410" s="102"/>
      <c r="M410" s="102"/>
      <c r="N410" s="102"/>
      <c r="O410" s="15" t="s">
        <v>94</v>
      </c>
      <c r="P410" s="15"/>
      <c r="Q410" s="15">
        <f>VLOOKUP(Table2[[#This Row],[Course Title]],'TSD-Data'!$A$1:$E$56,4,FALSE)</f>
        <v>40</v>
      </c>
      <c r="R410" s="15">
        <f>VLOOKUP(Table2[[#This Row],[Course Title]],'TSD-Data'!$A$1:$F$53,6,FALSE)</f>
        <v>24</v>
      </c>
      <c r="S410" s="15">
        <f>VLOOKUP(Table2[[#This Row],[Course Title]],'TSD-Data'!$A$1:$E$56,5,FALSE)</f>
        <v>3</v>
      </c>
      <c r="T410" s="15">
        <v>30</v>
      </c>
      <c r="U410" s="15"/>
      <c r="V410" s="15"/>
      <c r="W410" s="103"/>
      <c r="X410" s="103"/>
      <c r="Y410" s="15"/>
      <c r="Z410" s="15"/>
      <c r="AA410" s="100"/>
      <c r="AB410" s="99"/>
      <c r="AC410" s="71">
        <f ca="1">Table2[[#This Row],[End Date]]+2-TODAY()</f>
        <v>325</v>
      </c>
      <c r="AD410" s="15">
        <f>IF(ISBLANK(Table2[[#This Row],[Roster Received By]]),1,0)</f>
        <v>1</v>
      </c>
      <c r="AE410" s="15">
        <f ca="1">IF(Table2[[#This Row],[Start Date]]&gt;TODAY(),1,)</f>
        <v>1</v>
      </c>
      <c r="AF410" s="62"/>
    </row>
    <row r="411" spans="1:32" x14ac:dyDescent="0.25">
      <c r="A411" s="62" t="s">
        <v>423</v>
      </c>
      <c r="B411" s="116" t="s">
        <v>28</v>
      </c>
      <c r="C411" s="100" t="str">
        <f>VLOOKUP(Table2[[#This Row],[Course Title]],'TSD-Data'!$A$1:$E$56,2,FALSE)</f>
        <v>A-493-0013</v>
      </c>
      <c r="D411" s="100">
        <f>VLOOKUP(Table2[[#This Row],[Course Title]],'TSD-Data'!$A$1:$E$56,3,FALSE)</f>
        <v>3683</v>
      </c>
      <c r="E411" s="66" t="s">
        <v>248</v>
      </c>
      <c r="F411" s="110">
        <v>45853</v>
      </c>
      <c r="G411" s="110">
        <v>45855</v>
      </c>
      <c r="H411" s="105">
        <v>0.33333333333333331</v>
      </c>
      <c r="I411" s="105"/>
      <c r="J411" s="102"/>
      <c r="K411" s="102"/>
      <c r="L411" s="102"/>
      <c r="M411" s="102"/>
      <c r="N411" s="102"/>
      <c r="O411" s="15" t="s">
        <v>94</v>
      </c>
      <c r="P411" s="15"/>
      <c r="Q411" s="15">
        <f>VLOOKUP(Table2[[#This Row],[Course Title]],'TSD-Data'!$A$1:$E$56,4,FALSE)</f>
        <v>40</v>
      </c>
      <c r="R411" s="15">
        <f>VLOOKUP(Table2[[#This Row],[Course Title]],'TSD-Data'!$A$1:$F$53,6,FALSE)</f>
        <v>24</v>
      </c>
      <c r="S411" s="15">
        <f>VLOOKUP(Table2[[#This Row],[Course Title]],'TSD-Data'!$A$1:$E$56,5,FALSE)</f>
        <v>3</v>
      </c>
      <c r="T411" s="15">
        <v>4</v>
      </c>
      <c r="U411" s="15"/>
      <c r="V411" s="15"/>
      <c r="W411" s="15"/>
      <c r="X411" s="103"/>
      <c r="Y411" s="15"/>
      <c r="Z411" s="15"/>
      <c r="AA411" s="100"/>
      <c r="AB411" s="99"/>
      <c r="AC411" s="71">
        <f ca="1">Table2[[#This Row],[End Date]]+2-TODAY()</f>
        <v>325</v>
      </c>
      <c r="AD411" s="15">
        <f>IF(ISBLANK(Table2[[#This Row],[Roster Received By]]),1,0)</f>
        <v>1</v>
      </c>
      <c r="AE411" s="15">
        <f ca="1">IF(Table2[[#This Row],[Start Date]]&gt;TODAY(),1,)</f>
        <v>1</v>
      </c>
      <c r="AF411" s="62"/>
    </row>
    <row r="412" spans="1:32" x14ac:dyDescent="0.25">
      <c r="A412" s="99"/>
      <c r="B412" s="116" t="s">
        <v>50</v>
      </c>
      <c r="C412" s="100" t="str">
        <f>VLOOKUP(Table2[[#This Row],[Course Title]],'TSD-Data'!$A$1:$E$56,2,FALSE)</f>
        <v>A-493-0331</v>
      </c>
      <c r="D412" s="100" t="str">
        <f>VLOOKUP(Table2[[#This Row],[Course Title]],'TSD-Data'!$A$1:$E$56,3,FALSE)</f>
        <v>10UG</v>
      </c>
      <c r="E412" s="116" t="s">
        <v>80</v>
      </c>
      <c r="F412" s="110">
        <v>45853</v>
      </c>
      <c r="G412" s="110">
        <v>45855</v>
      </c>
      <c r="H412" s="108"/>
      <c r="I412" s="101">
        <v>0.5</v>
      </c>
      <c r="J412" s="101">
        <v>0.375</v>
      </c>
      <c r="K412" s="101">
        <v>0.79166666666666663</v>
      </c>
      <c r="L412" s="101">
        <v>0.75</v>
      </c>
      <c r="M412" s="101">
        <v>0.25</v>
      </c>
      <c r="N412" s="101">
        <v>4.1666666666666664E-2</v>
      </c>
      <c r="O412" s="15" t="s">
        <v>394</v>
      </c>
      <c r="P412" s="15"/>
      <c r="Q412" s="15">
        <f>VLOOKUP(Table2[[#This Row],[Course Title]],'TSD-Data'!$A$1:$E$56,4,FALSE)</f>
        <v>45</v>
      </c>
      <c r="R412" s="15">
        <f>VLOOKUP(Table2[[#This Row],[Course Title]],'TSD-Data'!$A$1:$F$53,6,FALSE)</f>
        <v>24</v>
      </c>
      <c r="S412" s="15">
        <f>VLOOKUP(Table2[[#This Row],[Course Title]],'TSD-Data'!$A$1:$E$56,5,FALSE)</f>
        <v>3</v>
      </c>
      <c r="T412" s="15"/>
      <c r="U412" s="15"/>
      <c r="V412" s="15"/>
      <c r="W412" s="15"/>
      <c r="X412" s="103"/>
      <c r="Y412" s="15"/>
      <c r="Z412" s="15"/>
      <c r="AA412" s="15"/>
      <c r="AB412" s="99"/>
      <c r="AC412" s="71">
        <f ca="1">Table2[[#This Row],[End Date]]+2-TODAY()</f>
        <v>325</v>
      </c>
      <c r="AD412" s="15">
        <f>IF(ISBLANK(Table2[[#This Row],[Roster Received By]]),1,0)</f>
        <v>1</v>
      </c>
      <c r="AE412" s="15">
        <f ca="1">IF(Table2[[#This Row],[Start Date]]&gt;TODAY(),1,)</f>
        <v>1</v>
      </c>
      <c r="AF412" s="62"/>
    </row>
    <row r="413" spans="1:32" x14ac:dyDescent="0.25">
      <c r="A413" s="62"/>
      <c r="B413" s="116" t="s">
        <v>97</v>
      </c>
      <c r="C413" s="100" t="str">
        <f>VLOOKUP(Table2[[#This Row],[Course Title]],'TSD-Data'!$A$1:$E$56,2,FALSE)</f>
        <v>A-493-0019</v>
      </c>
      <c r="D413" s="100">
        <f>VLOOKUP(Table2[[#This Row],[Course Title]],'TSD-Data'!$A$1:$E$56,3,FALSE)</f>
        <v>3882</v>
      </c>
      <c r="E413" s="116" t="s">
        <v>276</v>
      </c>
      <c r="F413" s="110">
        <v>45855</v>
      </c>
      <c r="G413" s="110">
        <v>45856</v>
      </c>
      <c r="H413" s="105">
        <v>0.33333333333333331</v>
      </c>
      <c r="I413" s="101"/>
      <c r="J413" s="105"/>
      <c r="K413" s="105"/>
      <c r="L413" s="105"/>
      <c r="M413" s="105"/>
      <c r="N413" s="105"/>
      <c r="O413" s="15" t="s">
        <v>394</v>
      </c>
      <c r="P413" s="15"/>
      <c r="Q413" s="15">
        <f>VLOOKUP(Table2[[#This Row],[Course Title]],'TSD-Data'!$A$1:$E$56,4,FALSE)</f>
        <v>25</v>
      </c>
      <c r="R413" s="15">
        <f>VLOOKUP(Table2[[#This Row],[Course Title]],'TSD-Data'!$A$1:$F$53,6,FALSE)</f>
        <v>16</v>
      </c>
      <c r="S413" s="15">
        <f>VLOOKUP(Table2[[#This Row],[Course Title]],'TSD-Data'!$A$1:$E$56,5,FALSE)</f>
        <v>2</v>
      </c>
      <c r="T413" s="15"/>
      <c r="U413" s="15"/>
      <c r="V413" s="15"/>
      <c r="W413" s="15"/>
      <c r="X413" s="103"/>
      <c r="Y413" s="15"/>
      <c r="Z413" s="15"/>
      <c r="AA413" s="15"/>
      <c r="AB413" s="99"/>
      <c r="AC413" s="71">
        <f ca="1">Table2[[#This Row],[End Date]]+2-TODAY()</f>
        <v>326</v>
      </c>
      <c r="AD413" s="15">
        <f>IF(ISBLANK(Table2[[#This Row],[Roster Received By]]),1,0)</f>
        <v>1</v>
      </c>
      <c r="AE413" s="15">
        <f ca="1">IF(Table2[[#This Row],[Start Date]]&gt;TODAY(),1,)</f>
        <v>1</v>
      </c>
      <c r="AF413" s="62"/>
    </row>
    <row r="414" spans="1:32" x14ac:dyDescent="0.25">
      <c r="A414" s="62"/>
      <c r="B414" s="116" t="s">
        <v>31</v>
      </c>
      <c r="C414" s="100" t="str">
        <f>VLOOKUP(Table2[[#This Row],[Course Title]],'TSD-Data'!$A$1:$E$56,2,FALSE)</f>
        <v>A-493-0083</v>
      </c>
      <c r="D414" s="100" t="str">
        <f>VLOOKUP(Table2[[#This Row],[Course Title]],'TSD-Data'!$A$1:$E$56,3,FALSE)</f>
        <v>339E</v>
      </c>
      <c r="E414" s="99" t="s">
        <v>276</v>
      </c>
      <c r="F414" s="102">
        <v>45855</v>
      </c>
      <c r="G414" s="102">
        <v>45855</v>
      </c>
      <c r="H414" s="105">
        <v>0.33333333333333331</v>
      </c>
      <c r="I414" s="105"/>
      <c r="J414" s="105"/>
      <c r="K414" s="105"/>
      <c r="L414" s="105"/>
      <c r="M414" s="105"/>
      <c r="N414" s="105"/>
      <c r="O414" s="15" t="s">
        <v>94</v>
      </c>
      <c r="P414" s="15"/>
      <c r="Q414" s="15">
        <f>VLOOKUP(Table2[[#This Row],[Course Title]],'TSD-Data'!$A$1:$E$56,4,FALSE)</f>
        <v>30</v>
      </c>
      <c r="R414" s="15">
        <f>VLOOKUP(Table2[[#This Row],[Course Title]],'TSD-Data'!$A$1:$F$53,6,FALSE)</f>
        <v>8</v>
      </c>
      <c r="S414" s="15">
        <f>VLOOKUP(Table2[[#This Row],[Course Title]],'TSD-Data'!$A$1:$E$56,5,FALSE)</f>
        <v>1</v>
      </c>
      <c r="T414" s="15">
        <v>143</v>
      </c>
      <c r="U414" s="15"/>
      <c r="V414" s="15"/>
      <c r="W414" s="15"/>
      <c r="X414" s="103"/>
      <c r="Y414" s="15"/>
      <c r="Z414" s="15"/>
      <c r="AA414" s="100"/>
      <c r="AB414" s="99"/>
      <c r="AC414" s="71">
        <f ca="1">Table2[[#This Row],[End Date]]+2-TODAY()</f>
        <v>325</v>
      </c>
      <c r="AD414" s="15">
        <f>IF(ISBLANK(Table2[[#This Row],[Roster Received By]]),1,0)</f>
        <v>1</v>
      </c>
      <c r="AE414" s="15">
        <f ca="1">IF(Table2[[#This Row],[Start Date]]&gt;TODAY(),1,)</f>
        <v>1</v>
      </c>
      <c r="AF414" s="62"/>
    </row>
    <row r="415" spans="1:32" x14ac:dyDescent="0.25">
      <c r="A415" s="99"/>
      <c r="B415" s="116" t="s">
        <v>15</v>
      </c>
      <c r="C415" s="100" t="str">
        <f>VLOOKUP(Table2[[#This Row],[Course Title]],'TSD-Data'!$A$1:$E$56,2,FALSE)</f>
        <v>A-4J-0022</v>
      </c>
      <c r="D415" s="100" t="str">
        <f>VLOOKUP(Table2[[#This Row],[Course Title]],'TSD-Data'!$A$1:$E$56,3,FALSE)</f>
        <v>09ER</v>
      </c>
      <c r="E415" s="122" t="s">
        <v>80</v>
      </c>
      <c r="F415" s="102">
        <v>45859</v>
      </c>
      <c r="G415" s="102">
        <v>45863</v>
      </c>
      <c r="H415" s="105"/>
      <c r="I415" s="105">
        <v>0.54166666666666663</v>
      </c>
      <c r="J415" s="101">
        <v>0.41666666666666669</v>
      </c>
      <c r="K415" s="101">
        <v>0.83333333333333337</v>
      </c>
      <c r="L415" s="101">
        <v>0.75</v>
      </c>
      <c r="M415" s="101">
        <v>0.29166666666666669</v>
      </c>
      <c r="N415" s="101">
        <v>8.3333333333333329E-2</v>
      </c>
      <c r="O415" s="15" t="s">
        <v>394</v>
      </c>
      <c r="P415" s="15"/>
      <c r="Q415" s="15">
        <f>VLOOKUP(Table2[[#This Row],[Course Title]],'TSD-Data'!$A$1:$E$56,4,FALSE)</f>
        <v>45</v>
      </c>
      <c r="R415" s="15">
        <f>VLOOKUP(Table2[[#This Row],[Course Title]],'TSD-Data'!$A$1:$F$53,6,FALSE)</f>
        <v>16</v>
      </c>
      <c r="S415" s="15">
        <f>VLOOKUP(Table2[[#This Row],[Course Title]],'TSD-Data'!$A$1:$E$56,5,FALSE)</f>
        <v>2</v>
      </c>
      <c r="T415" s="15"/>
      <c r="U415" s="15"/>
      <c r="V415" s="15"/>
      <c r="W415" s="15"/>
      <c r="X415" s="103"/>
      <c r="Y415" s="15"/>
      <c r="Z415" s="15"/>
      <c r="AA415" s="100"/>
      <c r="AB415" s="99"/>
      <c r="AC415" s="71">
        <f ca="1">Table2[[#This Row],[End Date]]+2-TODAY()</f>
        <v>333</v>
      </c>
      <c r="AD415" s="15">
        <f>IF(ISBLANK(Table2[[#This Row],[Roster Received By]]),1,0)</f>
        <v>1</v>
      </c>
      <c r="AE415" s="15">
        <f ca="1">IF(Table2[[#This Row],[Start Date]]&gt;TODAY(),1,)</f>
        <v>1</v>
      </c>
      <c r="AF415" s="62"/>
    </row>
    <row r="416" spans="1:32" x14ac:dyDescent="0.25">
      <c r="A416" s="100"/>
      <c r="B416" s="116" t="s">
        <v>46</v>
      </c>
      <c r="C416" s="100" t="str">
        <f>VLOOKUP(Table2[[#This Row],[Course Title]],'TSD-Data'!$A$1:$E$56,2,FALSE)</f>
        <v>A-493-0070</v>
      </c>
      <c r="D416" s="100" t="str">
        <f>VLOOKUP(Table2[[#This Row],[Course Title]],'TSD-Data'!$A$1:$E$56,3,FALSE)</f>
        <v>450V</v>
      </c>
      <c r="E416" s="122" t="s">
        <v>276</v>
      </c>
      <c r="F416" s="67">
        <v>45859</v>
      </c>
      <c r="G416" s="67">
        <v>45859</v>
      </c>
      <c r="H416" s="105">
        <v>0.33333333333333331</v>
      </c>
      <c r="I416" s="101"/>
      <c r="J416" s="101"/>
      <c r="K416" s="101"/>
      <c r="L416" s="101"/>
      <c r="M416" s="101"/>
      <c r="N416" s="101"/>
      <c r="O416" s="15" t="s">
        <v>394</v>
      </c>
      <c r="P416" s="15"/>
      <c r="Q416" s="15">
        <f>VLOOKUP(Table2[[#This Row],[Course Title]],'TSD-Data'!$A$1:$E$56,4,FALSE)</f>
        <v>30</v>
      </c>
      <c r="R416" s="15">
        <f>VLOOKUP(Table2[[#This Row],[Course Title]],'TSD-Data'!$A$1:$F$53,6,FALSE)</f>
        <v>8</v>
      </c>
      <c r="S416" s="15">
        <f>VLOOKUP(Table2[[#This Row],[Course Title]],'TSD-Data'!$A$1:$E$56,5,FALSE)</f>
        <v>1</v>
      </c>
      <c r="T416" s="15"/>
      <c r="U416" s="15"/>
      <c r="V416" s="15"/>
      <c r="W416" s="107"/>
      <c r="X416" s="103"/>
      <c r="Y416" s="15"/>
      <c r="Z416" s="15"/>
      <c r="AA416" s="15"/>
      <c r="AB416" s="99"/>
      <c r="AC416" s="71">
        <f ca="1">Table2[[#This Row],[End Date]]+2-TODAY()</f>
        <v>329</v>
      </c>
      <c r="AD416" s="15">
        <f>IF(ISBLANK(Table2[[#This Row],[Roster Received By]]),1,0)</f>
        <v>1</v>
      </c>
      <c r="AE416" s="15">
        <f ca="1">IF(Table2[[#This Row],[Start Date]]&gt;TODAY(),1,)</f>
        <v>1</v>
      </c>
      <c r="AF416" s="62"/>
    </row>
    <row r="417" spans="1:32" x14ac:dyDescent="0.25">
      <c r="A417" s="99"/>
      <c r="B417" s="116" t="s">
        <v>48</v>
      </c>
      <c r="C417" s="100" t="str">
        <f>VLOOKUP(Table2[[#This Row],[Course Title]],'TSD-Data'!$A$1:$E$56,2,FALSE)</f>
        <v>A-760-2166</v>
      </c>
      <c r="D417" s="100" t="str">
        <f>VLOOKUP(Table2[[#This Row],[Course Title]],'TSD-Data'!$A$1:$E$56,3,FALSE)</f>
        <v>438J</v>
      </c>
      <c r="E417" s="122" t="s">
        <v>276</v>
      </c>
      <c r="F417" s="102">
        <v>45859</v>
      </c>
      <c r="G417" s="102">
        <v>45860</v>
      </c>
      <c r="H417" s="105">
        <v>0.33333333333333331</v>
      </c>
      <c r="I417" s="108"/>
      <c r="J417" s="102"/>
      <c r="K417" s="102"/>
      <c r="L417" s="102"/>
      <c r="M417" s="102"/>
      <c r="N417" s="102"/>
      <c r="O417" s="15" t="s">
        <v>394</v>
      </c>
      <c r="P417" s="15"/>
      <c r="Q417" s="103">
        <f>VLOOKUP(Table2[[#This Row],[Course Title]],'TSD-Data'!$A$1:$E$56,4,FALSE)</f>
        <v>25</v>
      </c>
      <c r="R417" s="15">
        <f>VLOOKUP(Table2[[#This Row],[Course Title]],'TSD-Data'!$A$1:$F$53,6,FALSE)</f>
        <v>16</v>
      </c>
      <c r="S417" s="15">
        <f>VLOOKUP(Table2[[#This Row],[Course Title]],'TSD-Data'!$A$1:$E$56,5,FALSE)</f>
        <v>2</v>
      </c>
      <c r="T417" s="15"/>
      <c r="U417" s="15"/>
      <c r="V417" s="15"/>
      <c r="W417" s="103"/>
      <c r="X417" s="103"/>
      <c r="Y417" s="15"/>
      <c r="Z417" s="15"/>
      <c r="AA417" s="100"/>
      <c r="AB417" s="99"/>
      <c r="AC417" s="71">
        <f ca="1">Table2[[#This Row],[End Date]]+2-TODAY()</f>
        <v>330</v>
      </c>
      <c r="AD417" s="15">
        <f>IF(ISBLANK(Table2[[#This Row],[Roster Received By]]),1,0)</f>
        <v>1</v>
      </c>
      <c r="AE417" s="15">
        <f ca="1">IF(Table2[[#This Row],[Start Date]]&gt;TODAY(),1,)</f>
        <v>1</v>
      </c>
      <c r="AF417" s="62"/>
    </row>
    <row r="418" spans="1:32" x14ac:dyDescent="0.25">
      <c r="A418" s="62" t="s">
        <v>424</v>
      </c>
      <c r="B418" s="116" t="s">
        <v>17</v>
      </c>
      <c r="C418" s="100" t="str">
        <f>VLOOKUP(Table2[[#This Row],[Course Title]],'TSD-Data'!$A$1:$E$56,2,FALSE)</f>
        <v>A-493-0012</v>
      </c>
      <c r="D418" s="100">
        <f>VLOOKUP(Table2[[#This Row],[Course Title]],'TSD-Data'!$A$1:$E$56,3,FALSE)</f>
        <v>3682</v>
      </c>
      <c r="E418" s="122" t="s">
        <v>299</v>
      </c>
      <c r="F418" s="102">
        <v>45859</v>
      </c>
      <c r="G418" s="102">
        <v>45863</v>
      </c>
      <c r="H418" s="105">
        <v>0.33333333333333331</v>
      </c>
      <c r="I418" s="105"/>
      <c r="J418" s="102"/>
      <c r="K418" s="102"/>
      <c r="L418" s="102"/>
      <c r="M418" s="102"/>
      <c r="N418" s="102"/>
      <c r="O418" s="15" t="s">
        <v>94</v>
      </c>
      <c r="P418" s="15"/>
      <c r="Q418" s="15">
        <f>VLOOKUP(Table2[[#This Row],[Course Title]],'TSD-Data'!$A$1:$E$56,4,FALSE)</f>
        <v>40</v>
      </c>
      <c r="R418" s="15">
        <f>VLOOKUP(Table2[[#This Row],[Course Title]],'TSD-Data'!$A$1:$F$53,6,FALSE)</f>
        <v>40</v>
      </c>
      <c r="S418" s="15">
        <f>VLOOKUP(Table2[[#This Row],[Course Title]],'TSD-Data'!$A$1:$E$56,5,FALSE)</f>
        <v>5</v>
      </c>
      <c r="T418" s="15">
        <v>0</v>
      </c>
      <c r="U418" s="15"/>
      <c r="V418" s="15"/>
      <c r="W418" s="15"/>
      <c r="X418" s="103"/>
      <c r="Y418" s="15"/>
      <c r="Z418" s="15"/>
      <c r="AA418" s="100"/>
      <c r="AB418" s="99"/>
      <c r="AC418" s="71">
        <f ca="1">Table2[[#This Row],[End Date]]+2-TODAY()</f>
        <v>333</v>
      </c>
      <c r="AD418" s="15">
        <f>IF(ISBLANK(Table2[[#This Row],[Roster Received By]]),1,0)</f>
        <v>1</v>
      </c>
      <c r="AE418" s="15">
        <f ca="1">IF(Table2[[#This Row],[Start Date]]&gt;TODAY(),1,)</f>
        <v>1</v>
      </c>
      <c r="AF418" s="62"/>
    </row>
    <row r="419" spans="1:32" x14ac:dyDescent="0.25">
      <c r="A419" s="62"/>
      <c r="B419" s="116" t="s">
        <v>29</v>
      </c>
      <c r="C419" s="100" t="str">
        <f>VLOOKUP(Table2[[#This Row],[Course Title]],'TSD-Data'!$A$1:$E$56,2,FALSE)</f>
        <v>A-493-0077</v>
      </c>
      <c r="D419" s="100" t="str">
        <f>VLOOKUP(Table2[[#This Row],[Course Title]],'TSD-Data'!$A$1:$E$56,3,FALSE)</f>
        <v>0381</v>
      </c>
      <c r="E419" s="122" t="s">
        <v>102</v>
      </c>
      <c r="F419" s="102">
        <v>45859</v>
      </c>
      <c r="G419" s="102">
        <v>45861</v>
      </c>
      <c r="H419" s="105">
        <v>0.33333333333333331</v>
      </c>
      <c r="I419" s="105"/>
      <c r="J419" s="105"/>
      <c r="K419" s="105"/>
      <c r="L419" s="105"/>
      <c r="M419" s="105"/>
      <c r="N419" s="105"/>
      <c r="O419" s="15" t="s">
        <v>94</v>
      </c>
      <c r="P419" s="15"/>
      <c r="Q419" s="15">
        <f>VLOOKUP(Table2[[#This Row],[Course Title]],'TSD-Data'!$A$1:$E$56,4,FALSE)</f>
        <v>25</v>
      </c>
      <c r="R419" s="15">
        <f>VLOOKUP(Table2[[#This Row],[Course Title]],'TSD-Data'!$A$1:$F$53,6,FALSE)</f>
        <v>24</v>
      </c>
      <c r="S419" s="15">
        <f>VLOOKUP(Table2[[#This Row],[Course Title]],'TSD-Data'!$A$1:$E$56,5,FALSE)</f>
        <v>3</v>
      </c>
      <c r="T419" s="15">
        <v>22</v>
      </c>
      <c r="U419" s="15"/>
      <c r="V419" s="15"/>
      <c r="W419" s="103"/>
      <c r="X419" s="103"/>
      <c r="Y419" s="15"/>
      <c r="Z419" s="15"/>
      <c r="AA419" s="100"/>
      <c r="AB419" s="99"/>
      <c r="AC419" s="71">
        <f ca="1">Table2[[#This Row],[End Date]]+2-TODAY()</f>
        <v>331</v>
      </c>
      <c r="AD419" s="15">
        <f>IF(ISBLANK(Table2[[#This Row],[Roster Received By]]),1,0)</f>
        <v>1</v>
      </c>
      <c r="AE419" s="15">
        <f ca="1">IF(Table2[[#This Row],[Start Date]]&gt;TODAY(),1,)</f>
        <v>1</v>
      </c>
      <c r="AF419" s="62"/>
    </row>
    <row r="420" spans="1:32" x14ac:dyDescent="0.25">
      <c r="A420" s="62"/>
      <c r="B420" s="116" t="s">
        <v>51</v>
      </c>
      <c r="C420" s="100" t="str">
        <f>VLOOKUP(Table2[[#This Row],[Course Title]],'TSD-Data'!$A$1:$E$56,2,FALSE)</f>
        <v>A-493-0335</v>
      </c>
      <c r="D420" s="100" t="str">
        <f>VLOOKUP(Table2[[#This Row],[Course Title]],'TSD-Data'!$A$1:$E$56,3,FALSE)</f>
        <v>09ND</v>
      </c>
      <c r="E420" s="99" t="s">
        <v>80</v>
      </c>
      <c r="F420" s="102">
        <v>45859</v>
      </c>
      <c r="G420" s="102">
        <v>45862</v>
      </c>
      <c r="H420" s="102"/>
      <c r="I420" s="101">
        <v>0.5</v>
      </c>
      <c r="J420" s="101">
        <v>0.375</v>
      </c>
      <c r="K420" s="101">
        <v>0.79166666666666663</v>
      </c>
      <c r="L420" s="101">
        <v>0.75</v>
      </c>
      <c r="M420" s="101">
        <v>0.25</v>
      </c>
      <c r="N420" s="101">
        <v>4.1666666666666664E-2</v>
      </c>
      <c r="O420" s="15" t="s">
        <v>394</v>
      </c>
      <c r="P420" s="15"/>
      <c r="Q420" s="15">
        <f>VLOOKUP(Table2[[#This Row],[Course Title]],'TSD-Data'!$A$1:$E$56,4,FALSE)</f>
        <v>45</v>
      </c>
      <c r="R420" s="15">
        <f>VLOOKUP(Table2[[#This Row],[Course Title]],'TSD-Data'!$A$1:$F$53,6,FALSE)</f>
        <v>32</v>
      </c>
      <c r="S420" s="15">
        <f>VLOOKUP(Table2[[#This Row],[Course Title]],'TSD-Data'!$A$1:$E$56,5,FALSE)</f>
        <v>4</v>
      </c>
      <c r="T420" s="15"/>
      <c r="U420" s="15"/>
      <c r="V420" s="15"/>
      <c r="W420" s="15"/>
      <c r="X420" s="103"/>
      <c r="Y420" s="15"/>
      <c r="Z420" s="15"/>
      <c r="AA420" s="15"/>
      <c r="AB420" s="99"/>
      <c r="AC420" s="71">
        <f ca="1">Table2[[#This Row],[End Date]]+2-TODAY()</f>
        <v>332</v>
      </c>
      <c r="AD420" s="15">
        <f>IF(ISBLANK(Table2[[#This Row],[Roster Received By]]),1,0)</f>
        <v>1</v>
      </c>
      <c r="AE420" s="15">
        <f ca="1">IF(Table2[[#This Row],[Start Date]]&gt;TODAY(),1,)</f>
        <v>1</v>
      </c>
      <c r="AF420" s="62"/>
    </row>
    <row r="421" spans="1:32" x14ac:dyDescent="0.25">
      <c r="A421" s="62"/>
      <c r="B421" s="116" t="s">
        <v>59</v>
      </c>
      <c r="C421" s="100" t="str">
        <f>VLOOKUP(Table2[[#This Row],[Course Title]],'TSD-Data'!$A$1:$E$56,2,FALSE)</f>
        <v>A-493-0550</v>
      </c>
      <c r="D421" s="100" t="str">
        <f>VLOOKUP(Table2[[#This Row],[Course Title]],'TSD-Data'!$A$1:$E$56,3,FALSE)</f>
        <v>09K5</v>
      </c>
      <c r="E421" s="116" t="s">
        <v>80</v>
      </c>
      <c r="F421" s="102">
        <v>45859</v>
      </c>
      <c r="G421" s="102">
        <v>45862</v>
      </c>
      <c r="H421" s="105"/>
      <c r="I421" s="105">
        <v>0.45833333333333331</v>
      </c>
      <c r="J421" s="105">
        <v>0.33333333333333331</v>
      </c>
      <c r="K421" s="105">
        <v>0.75</v>
      </c>
      <c r="L421" s="105">
        <v>0.66666666666666663</v>
      </c>
      <c r="M421" s="105">
        <v>0.20833333333333334</v>
      </c>
      <c r="N421" s="105">
        <v>0</v>
      </c>
      <c r="O421" s="15" t="s">
        <v>394</v>
      </c>
      <c r="P421" s="15"/>
      <c r="Q421" s="103">
        <f>VLOOKUP(Table2[[#This Row],[Course Title]],'TSD-Data'!$A$1:$E$56,4,FALSE)</f>
        <v>45</v>
      </c>
      <c r="R421" s="15">
        <f>VLOOKUP(Table2[[#This Row],[Course Title]],'TSD-Data'!$A$1:$F$53,6,FALSE)</f>
        <v>32</v>
      </c>
      <c r="S421" s="15">
        <f>VLOOKUP(Table2[[#This Row],[Course Title]],'TSD-Data'!$A$1:$E$56,5,FALSE)</f>
        <v>4</v>
      </c>
      <c r="T421" s="15"/>
      <c r="U421" s="15"/>
      <c r="V421" s="15"/>
      <c r="W421" s="103"/>
      <c r="X421" s="103"/>
      <c r="Y421" s="15"/>
      <c r="Z421" s="15"/>
      <c r="AA421" s="100"/>
      <c r="AB421" s="99"/>
      <c r="AC421" s="71">
        <f ca="1">Table2[[#This Row],[End Date]]+2-TODAY()</f>
        <v>332</v>
      </c>
      <c r="AD421" s="15">
        <f>IF(ISBLANK(Table2[[#This Row],[Roster Received By]]),1,0)</f>
        <v>1</v>
      </c>
      <c r="AE421" s="15">
        <f ca="1">IF(Table2[[#This Row],[Start Date]]&gt;TODAY(),1,)</f>
        <v>1</v>
      </c>
      <c r="AF421" s="62"/>
    </row>
    <row r="422" spans="1:32" x14ac:dyDescent="0.25">
      <c r="A422" s="62"/>
      <c r="B422" s="116" t="s">
        <v>60</v>
      </c>
      <c r="C422" s="100" t="str">
        <f>VLOOKUP(Table2[[#This Row],[Course Title]],'TSD-Data'!$A$1:$E$56,2,FALSE)</f>
        <v>A-493-0073</v>
      </c>
      <c r="D422" s="100" t="str">
        <f>VLOOKUP(Table2[[#This Row],[Course Title]],'TSD-Data'!$A$1:$E$56,3,FALSE)</f>
        <v>714S</v>
      </c>
      <c r="E422" s="122" t="s">
        <v>80</v>
      </c>
      <c r="F422" s="67">
        <v>45859</v>
      </c>
      <c r="G422" s="67">
        <v>45862</v>
      </c>
      <c r="H422" s="108"/>
      <c r="I422" s="101">
        <v>0.58333333333333337</v>
      </c>
      <c r="J422" s="101">
        <v>0.45833333333333331</v>
      </c>
      <c r="K422" s="101">
        <v>0.875</v>
      </c>
      <c r="L422" s="101">
        <v>0.79166666666666663</v>
      </c>
      <c r="M422" s="101">
        <v>0.33333333333333331</v>
      </c>
      <c r="N422" s="101">
        <v>0.125</v>
      </c>
      <c r="O422" s="15" t="s">
        <v>160</v>
      </c>
      <c r="P422" s="15"/>
      <c r="Q422" s="15">
        <f>VLOOKUP(Table2[[#This Row],[Course Title]],'TSD-Data'!$A$1:$E$56,4,FALSE)</f>
        <v>30</v>
      </c>
      <c r="R422" s="15">
        <f>VLOOKUP(Table2[[#This Row],[Course Title]],'TSD-Data'!$A$1:$F$53,6,FALSE)</f>
        <v>32</v>
      </c>
      <c r="S422" s="15">
        <f>VLOOKUP(Table2[[#This Row],[Course Title]],'TSD-Data'!$A$1:$E$56,5,FALSE)</f>
        <v>4</v>
      </c>
      <c r="T422" s="15">
        <v>194</v>
      </c>
      <c r="U422" s="15"/>
      <c r="V422" s="15"/>
      <c r="W422" s="15"/>
      <c r="X422" s="103"/>
      <c r="Y422" s="15"/>
      <c r="Z422" s="15"/>
      <c r="AA422" s="15"/>
      <c r="AB422" s="99"/>
      <c r="AC422" s="71">
        <f ca="1">Table2[[#This Row],[End Date]]+2-TODAY()</f>
        <v>332</v>
      </c>
      <c r="AD422" s="15">
        <f>IF(ISBLANK(Table2[[#This Row],[Roster Received By]]),1,0)</f>
        <v>1</v>
      </c>
      <c r="AE422" s="15">
        <f ca="1">IF(Table2[[#This Row],[Start Date]]&gt;TODAY(),1,)</f>
        <v>1</v>
      </c>
      <c r="AF422" s="62"/>
    </row>
    <row r="423" spans="1:32" x14ac:dyDescent="0.25">
      <c r="A423" s="62"/>
      <c r="B423" s="116" t="s">
        <v>42</v>
      </c>
      <c r="C423" s="100" t="str">
        <f>VLOOKUP(Table2[[#This Row],[Course Title]],'TSD-Data'!$A$1:$E$56,2,FALSE)</f>
        <v>A-493-0015</v>
      </c>
      <c r="D423" s="100">
        <f>VLOOKUP(Table2[[#This Row],[Course Title]],'TSD-Data'!$A$1:$E$56,3,FALSE)</f>
        <v>3879</v>
      </c>
      <c r="E423" s="68" t="s">
        <v>276</v>
      </c>
      <c r="F423" s="102">
        <v>45860</v>
      </c>
      <c r="G423" s="102">
        <v>45860</v>
      </c>
      <c r="H423" s="105">
        <v>0.33333333333333331</v>
      </c>
      <c r="I423" s="108"/>
      <c r="J423" s="102"/>
      <c r="K423" s="102"/>
      <c r="L423" s="102"/>
      <c r="M423" s="102"/>
      <c r="N423" s="102"/>
      <c r="O423" s="15" t="s">
        <v>394</v>
      </c>
      <c r="P423" s="15"/>
      <c r="Q423" s="15">
        <f>VLOOKUP(Table2[[#This Row],[Course Title]],'TSD-Data'!$A$1:$E$56,4,FALSE)</f>
        <v>30</v>
      </c>
      <c r="R423" s="15">
        <f>VLOOKUP(Table2[[#This Row],[Course Title]],'TSD-Data'!$A$1:$F$53,6,FALSE)</f>
        <v>4</v>
      </c>
      <c r="S423" s="15">
        <f>VLOOKUP(Table2[[#This Row],[Course Title]],'TSD-Data'!$A$1:$E$56,5,FALSE)</f>
        <v>0.5</v>
      </c>
      <c r="T423" s="15"/>
      <c r="U423" s="15"/>
      <c r="V423" s="15"/>
      <c r="W423" s="15"/>
      <c r="X423" s="103"/>
      <c r="Y423" s="15"/>
      <c r="Z423" s="15"/>
      <c r="AA423" s="15"/>
      <c r="AB423" s="99"/>
      <c r="AC423" s="71">
        <f ca="1">Table2[[#This Row],[End Date]]+2-TODAY()</f>
        <v>330</v>
      </c>
      <c r="AD423" s="15">
        <f>IF(ISBLANK(Table2[[#This Row],[Roster Received By]]),1,0)</f>
        <v>1</v>
      </c>
      <c r="AE423" s="15">
        <f ca="1">IF(Table2[[#This Row],[Start Date]]&gt;TODAY(),1,)</f>
        <v>1</v>
      </c>
      <c r="AF423" s="62"/>
    </row>
    <row r="424" spans="1:32" x14ac:dyDescent="0.25">
      <c r="A424" s="62"/>
      <c r="B424" s="116" t="s">
        <v>44</v>
      </c>
      <c r="C424" s="100" t="str">
        <f>VLOOKUP(Table2[[#This Row],[Course Title]],'TSD-Data'!$A$1:$E$56,2,FALSE)</f>
        <v>A-493-0020</v>
      </c>
      <c r="D424" s="100">
        <f>VLOOKUP(Table2[[#This Row],[Course Title]],'TSD-Data'!$A$1:$E$56,3,FALSE)</f>
        <v>3888</v>
      </c>
      <c r="E424" s="122" t="s">
        <v>276</v>
      </c>
      <c r="F424" s="102">
        <v>45860</v>
      </c>
      <c r="G424" s="102">
        <v>45860</v>
      </c>
      <c r="H424" s="105">
        <v>1200.5</v>
      </c>
      <c r="I424" s="101"/>
      <c r="J424" s="105"/>
      <c r="K424" s="105"/>
      <c r="L424" s="105"/>
      <c r="M424" s="105"/>
      <c r="N424" s="105"/>
      <c r="O424" s="15" t="s">
        <v>394</v>
      </c>
      <c r="P424" s="15"/>
      <c r="Q424" s="15">
        <f>VLOOKUP(Table2[[#This Row],[Course Title]],'TSD-Data'!$A$1:$E$56,4,FALSE)</f>
        <v>30</v>
      </c>
      <c r="R424" s="15">
        <f>VLOOKUP(Table2[[#This Row],[Course Title]],'TSD-Data'!$A$1:$F$53,6,FALSE)</f>
        <v>4</v>
      </c>
      <c r="S424" s="15">
        <f>VLOOKUP(Table2[[#This Row],[Course Title]],'TSD-Data'!$A$1:$E$56,5,FALSE)</f>
        <v>0.5</v>
      </c>
      <c r="T424" s="15"/>
      <c r="U424" s="15"/>
      <c r="V424" s="15"/>
      <c r="W424" s="15"/>
      <c r="X424" s="103"/>
      <c r="Y424" s="15"/>
      <c r="Z424" s="15"/>
      <c r="AA424" s="103"/>
      <c r="AB424" s="99"/>
      <c r="AC424" s="71">
        <f ca="1">Table2[[#This Row],[End Date]]+2-TODAY()</f>
        <v>330</v>
      </c>
      <c r="AD424" s="15">
        <f>IF(ISBLANK(Table2[[#This Row],[Roster Received By]]),1,0)</f>
        <v>1</v>
      </c>
      <c r="AE424" s="15">
        <f ca="1">IF(Table2[[#This Row],[Start Date]]&gt;TODAY(),1,)</f>
        <v>1</v>
      </c>
      <c r="AF424" s="62"/>
    </row>
    <row r="425" spans="1:32" x14ac:dyDescent="0.25">
      <c r="A425" s="62"/>
      <c r="B425" s="116" t="s">
        <v>28</v>
      </c>
      <c r="C425" s="100" t="str">
        <f>VLOOKUP(Table2[[#This Row],[Course Title]],'TSD-Data'!$A$1:$E$56,2,FALSE)</f>
        <v>A-493-0013</v>
      </c>
      <c r="D425" s="100">
        <f>VLOOKUP(Table2[[#This Row],[Course Title]],'TSD-Data'!$A$1:$E$56,3,FALSE)</f>
        <v>3683</v>
      </c>
      <c r="E425" s="122" t="s">
        <v>267</v>
      </c>
      <c r="F425" s="115">
        <v>45860</v>
      </c>
      <c r="G425" s="115">
        <v>45862</v>
      </c>
      <c r="H425" s="105">
        <v>0.33333333333333331</v>
      </c>
      <c r="I425" s="101"/>
      <c r="J425" s="101"/>
      <c r="K425" s="101"/>
      <c r="L425" s="101"/>
      <c r="M425" s="101"/>
      <c r="N425" s="101"/>
      <c r="O425" s="15" t="s">
        <v>94</v>
      </c>
      <c r="P425" s="15"/>
      <c r="Q425" s="15">
        <f>VLOOKUP(Table2[[#This Row],[Course Title]],'TSD-Data'!$A$1:$E$56,4,FALSE)</f>
        <v>40</v>
      </c>
      <c r="R425" s="15">
        <f>VLOOKUP(Table2[[#This Row],[Course Title]],'TSD-Data'!$A$1:$F$53,6,FALSE)</f>
        <v>24</v>
      </c>
      <c r="S425" s="15">
        <f>VLOOKUP(Table2[[#This Row],[Course Title]],'TSD-Data'!$A$1:$E$56,5,FALSE)</f>
        <v>3</v>
      </c>
      <c r="T425" s="15">
        <v>43</v>
      </c>
      <c r="U425" s="15"/>
      <c r="V425" s="15"/>
      <c r="W425" s="15"/>
      <c r="X425" s="103"/>
      <c r="Y425" s="15"/>
      <c r="Z425" s="15"/>
      <c r="AA425" s="100"/>
      <c r="AB425" s="99"/>
      <c r="AC425" s="71">
        <f ca="1">Table2[[#This Row],[End Date]]+2-TODAY()</f>
        <v>332</v>
      </c>
      <c r="AD425" s="15">
        <f>IF(ISBLANK(Table2[[#This Row],[Roster Received By]]),1,0)</f>
        <v>1</v>
      </c>
      <c r="AE425" s="15">
        <f ca="1">IF(Table2[[#This Row],[Start Date]]&gt;TODAY(),1,)</f>
        <v>1</v>
      </c>
      <c r="AF425" s="62"/>
    </row>
    <row r="426" spans="1:32" x14ac:dyDescent="0.25">
      <c r="A426" s="62"/>
      <c r="B426" s="116" t="s">
        <v>57</v>
      </c>
      <c r="C426" s="100" t="str">
        <f>VLOOKUP(Table2[[#This Row],[Course Title]],'TSD-Data'!$A$1:$E$56,2,FALSE)</f>
        <v>A-493-0099</v>
      </c>
      <c r="D426" s="100" t="str">
        <f>VLOOKUP(Table2[[#This Row],[Course Title]],'TSD-Data'!$A$1:$E$56,3,FALSE)</f>
        <v>12JW</v>
      </c>
      <c r="E426" s="122" t="s">
        <v>80</v>
      </c>
      <c r="F426" s="102">
        <v>45860</v>
      </c>
      <c r="G426" s="102">
        <v>45862</v>
      </c>
      <c r="H426" s="105"/>
      <c r="I426" s="105">
        <v>0.54166666666666663</v>
      </c>
      <c r="J426" s="101">
        <v>0.41666666666666669</v>
      </c>
      <c r="K426" s="101">
        <v>0.83333333333333337</v>
      </c>
      <c r="L426" s="101">
        <v>0.75</v>
      </c>
      <c r="M426" s="101">
        <v>0.29166666666666669</v>
      </c>
      <c r="N426" s="101">
        <v>8.3333333333333329E-2</v>
      </c>
      <c r="O426" s="15" t="s">
        <v>394</v>
      </c>
      <c r="P426" s="15"/>
      <c r="Q426" s="103">
        <f>VLOOKUP(Table2[[#This Row],[Course Title]],'TSD-Data'!$A$1:$E$56,4,FALSE)</f>
        <v>45</v>
      </c>
      <c r="R426" s="15">
        <f>VLOOKUP(Table2[[#This Row],[Course Title]],'TSD-Data'!$A$1:$F$53,6,FALSE)</f>
        <v>24</v>
      </c>
      <c r="S426" s="15">
        <f>VLOOKUP(Table2[[#This Row],[Course Title]],'TSD-Data'!$A$1:$E$56,5,FALSE)</f>
        <v>3</v>
      </c>
      <c r="T426" s="15"/>
      <c r="U426" s="15"/>
      <c r="V426" s="15"/>
      <c r="W426" s="103"/>
      <c r="X426" s="103"/>
      <c r="Y426" s="15"/>
      <c r="Z426" s="15"/>
      <c r="AA426" s="103"/>
      <c r="AB426" s="99"/>
      <c r="AC426" s="71">
        <f ca="1">Table2[[#This Row],[End Date]]+2-TODAY()</f>
        <v>332</v>
      </c>
      <c r="AD426" s="15">
        <f>IF(ISBLANK(Table2[[#This Row],[Roster Received By]]),1,0)</f>
        <v>1</v>
      </c>
      <c r="AE426" s="15">
        <f ca="1">IF(Table2[[#This Row],[Start Date]]&gt;TODAY(),1,)</f>
        <v>1</v>
      </c>
      <c r="AF426" s="62"/>
    </row>
    <row r="427" spans="1:32" x14ac:dyDescent="0.25">
      <c r="A427" s="62"/>
      <c r="B427" s="116" t="s">
        <v>49</v>
      </c>
      <c r="C427" s="100" t="str">
        <f>VLOOKUP(Table2[[#This Row],[Course Title]],'TSD-Data'!$A$1:$E$56,2,FALSE)</f>
        <v>A-493-0092</v>
      </c>
      <c r="D427" s="100">
        <f>VLOOKUP(Table2[[#This Row],[Course Title]],'TSD-Data'!$A$1:$E$56,3,FALSE)</f>
        <v>5891</v>
      </c>
      <c r="E427" s="122" t="s">
        <v>276</v>
      </c>
      <c r="F427" s="102">
        <v>45861</v>
      </c>
      <c r="G427" s="102">
        <v>45863</v>
      </c>
      <c r="H427" s="105">
        <v>0.33333333333333331</v>
      </c>
      <c r="I427" s="101"/>
      <c r="J427" s="101"/>
      <c r="K427" s="101"/>
      <c r="L427" s="101"/>
      <c r="M427" s="101"/>
      <c r="N427" s="101"/>
      <c r="O427" s="15" t="s">
        <v>394</v>
      </c>
      <c r="P427" s="15"/>
      <c r="Q427" s="15">
        <f>VLOOKUP(Table2[[#This Row],[Course Title]],'TSD-Data'!$A$1:$E$56,4,FALSE)</f>
        <v>25</v>
      </c>
      <c r="R427" s="15">
        <f>VLOOKUP(Table2[[#This Row],[Course Title]],'TSD-Data'!$A$1:$F$53,6,FALSE)</f>
        <v>24</v>
      </c>
      <c r="S427" s="15">
        <f>VLOOKUP(Table2[[#This Row],[Course Title]],'TSD-Data'!$A$1:$E$56,5,FALSE)</f>
        <v>3</v>
      </c>
      <c r="T427" s="15"/>
      <c r="U427" s="15"/>
      <c r="V427" s="15"/>
      <c r="W427" s="15"/>
      <c r="X427" s="103"/>
      <c r="Y427" s="15"/>
      <c r="Z427" s="15"/>
      <c r="AA427" s="15"/>
      <c r="AB427" s="99"/>
      <c r="AC427" s="71">
        <f ca="1">Table2[[#This Row],[End Date]]+2-TODAY()</f>
        <v>333</v>
      </c>
      <c r="AD427" s="15">
        <f>IF(ISBLANK(Table2[[#This Row],[Roster Received By]]),1,0)</f>
        <v>1</v>
      </c>
      <c r="AE427" s="15">
        <f ca="1">IF(Table2[[#This Row],[Start Date]]&gt;TODAY(),1,)</f>
        <v>1</v>
      </c>
      <c r="AF427" s="62"/>
    </row>
    <row r="428" spans="1:32" x14ac:dyDescent="0.25">
      <c r="A428" s="62"/>
      <c r="B428" s="116" t="s">
        <v>31</v>
      </c>
      <c r="C428" s="100" t="str">
        <f>VLOOKUP(Table2[[#This Row],[Course Title]],'TSD-Data'!$A$1:$E$56,2,FALSE)</f>
        <v>A-493-0083</v>
      </c>
      <c r="D428" s="100" t="str">
        <f>VLOOKUP(Table2[[#This Row],[Course Title]],'TSD-Data'!$A$1:$E$56,3,FALSE)</f>
        <v>339E</v>
      </c>
      <c r="E428" s="65" t="s">
        <v>102</v>
      </c>
      <c r="F428" s="102">
        <v>45862</v>
      </c>
      <c r="G428" s="102">
        <v>45862</v>
      </c>
      <c r="H428" s="105">
        <v>0.33333333333333331</v>
      </c>
      <c r="I428" s="105"/>
      <c r="J428" s="105"/>
      <c r="K428" s="105"/>
      <c r="L428" s="105"/>
      <c r="M428" s="105"/>
      <c r="N428" s="105"/>
      <c r="O428" s="15" t="s">
        <v>94</v>
      </c>
      <c r="P428" s="15"/>
      <c r="Q428" s="15">
        <f>VLOOKUP(Table2[[#This Row],[Course Title]],'TSD-Data'!$A$1:$E$56,4,FALSE)</f>
        <v>30</v>
      </c>
      <c r="R428" s="15">
        <f>VLOOKUP(Table2[[#This Row],[Course Title]],'TSD-Data'!$A$1:$F$53,6,FALSE)</f>
        <v>8</v>
      </c>
      <c r="S428" s="15">
        <f>VLOOKUP(Table2[[#This Row],[Course Title]],'TSD-Data'!$A$1:$E$56,5,FALSE)</f>
        <v>1</v>
      </c>
      <c r="T428" s="15">
        <v>84</v>
      </c>
      <c r="U428" s="15"/>
      <c r="V428" s="15"/>
      <c r="W428" s="15"/>
      <c r="X428" s="103"/>
      <c r="Y428" s="15"/>
      <c r="Z428" s="15"/>
      <c r="AA428" s="100"/>
      <c r="AB428" s="99"/>
      <c r="AC428" s="71">
        <f ca="1">Table2[[#This Row],[End Date]]+2-TODAY()</f>
        <v>332</v>
      </c>
      <c r="AD428" s="15">
        <f>IF(ISBLANK(Table2[[#This Row],[Roster Received By]]),1,0)</f>
        <v>1</v>
      </c>
      <c r="AE428" s="15">
        <f ca="1">IF(Table2[[#This Row],[Start Date]]&gt;TODAY(),1,)</f>
        <v>1</v>
      </c>
      <c r="AF428" s="62"/>
    </row>
    <row r="429" spans="1:32" x14ac:dyDescent="0.25">
      <c r="A429" s="100"/>
      <c r="B429" s="116" t="s">
        <v>39</v>
      </c>
      <c r="C429" s="100" t="str">
        <f>VLOOKUP(Table2[[#This Row],[Course Title]],'TSD-Data'!$A$1:$E$56,2,FALSE)</f>
        <v>A-570-0100</v>
      </c>
      <c r="D429" s="100" t="str">
        <f>VLOOKUP(Table2[[#This Row],[Course Title]],'TSD-Data'!$A$1:$E$56,3,FALSE)</f>
        <v>18B7</v>
      </c>
      <c r="E429" s="99" t="s">
        <v>80</v>
      </c>
      <c r="F429" s="102">
        <v>45865</v>
      </c>
      <c r="G429" s="102">
        <v>45869</v>
      </c>
      <c r="H429" s="105"/>
      <c r="I429" s="105">
        <v>0.79166666666666663</v>
      </c>
      <c r="J429" s="101">
        <v>0.66666666666666663</v>
      </c>
      <c r="K429" s="101">
        <v>8.3333333333333329E-2</v>
      </c>
      <c r="L429" s="101">
        <v>0</v>
      </c>
      <c r="M429" s="101">
        <v>0.54166666666666663</v>
      </c>
      <c r="N429" s="101">
        <v>0.33333333333333331</v>
      </c>
      <c r="O429" s="15" t="s">
        <v>394</v>
      </c>
      <c r="P429" s="15"/>
      <c r="Q429" s="15">
        <f>VLOOKUP(Table2[[#This Row],[Course Title]],'TSD-Data'!$A$1:$E$56,4,FALSE)</f>
        <v>45</v>
      </c>
      <c r="R429" s="15">
        <f>VLOOKUP(Table2[[#This Row],[Course Title]],'TSD-Data'!$A$1:$F$53,6,FALSE)</f>
        <v>16</v>
      </c>
      <c r="S429" s="15">
        <f>VLOOKUP(Table2[[#This Row],[Course Title]],'TSD-Data'!$A$1:$E$56,5,FALSE)</f>
        <v>2</v>
      </c>
      <c r="T429" s="15"/>
      <c r="U429" s="15"/>
      <c r="V429" s="15"/>
      <c r="W429" s="104"/>
      <c r="X429" s="104"/>
      <c r="Y429" s="100"/>
      <c r="Z429" s="100"/>
      <c r="AA429" s="104"/>
      <c r="AB429" s="99"/>
      <c r="AC429" s="71">
        <f ca="1">Table2[[#This Row],[End Date]]+2-TODAY()</f>
        <v>339</v>
      </c>
      <c r="AD429" s="15">
        <f>IF(ISBLANK(Table2[[#This Row],[Roster Received By]]),1,0)</f>
        <v>1</v>
      </c>
      <c r="AE429" s="15">
        <f ca="1">IF(Table2[[#This Row],[Start Date]]&gt;TODAY(),1,)</f>
        <v>1</v>
      </c>
      <c r="AF429" s="62"/>
    </row>
    <row r="430" spans="1:32" x14ac:dyDescent="0.25">
      <c r="A430" s="62"/>
      <c r="B430" s="116" t="s">
        <v>55</v>
      </c>
      <c r="C430" s="100" t="str">
        <f>VLOOKUP(Table2[[#This Row],[Course Title]],'TSD-Data'!$A$1:$E$56,2,FALSE)</f>
        <v>A-493-0103</v>
      </c>
      <c r="D430" s="100" t="str">
        <f>VLOOKUP(Table2[[#This Row],[Course Title]],'TSD-Data'!$A$1:$E$56,3,FALSE)</f>
        <v>12JY</v>
      </c>
      <c r="E430" s="122" t="s">
        <v>146</v>
      </c>
      <c r="F430" s="102">
        <v>45866</v>
      </c>
      <c r="G430" s="102">
        <v>45870</v>
      </c>
      <c r="H430" s="105">
        <v>0.33333333333333331</v>
      </c>
      <c r="I430" s="105"/>
      <c r="J430" s="102"/>
      <c r="K430" s="102"/>
      <c r="L430" s="102"/>
      <c r="M430" s="102"/>
      <c r="N430" s="102"/>
      <c r="O430" s="15" t="s">
        <v>160</v>
      </c>
      <c r="P430" s="15"/>
      <c r="Q430" s="15">
        <f>VLOOKUP(Table2[[#This Row],[Course Title]],'TSD-Data'!$A$1:$E$56,4,FALSE)</f>
        <v>25</v>
      </c>
      <c r="R430" s="15">
        <f>VLOOKUP(Table2[[#This Row],[Course Title]],'TSD-Data'!$A$1:$F$53,6,FALSE)</f>
        <v>40</v>
      </c>
      <c r="S430" s="15">
        <f>VLOOKUP(Table2[[#This Row],[Course Title]],'TSD-Data'!$A$1:$E$56,5,FALSE)</f>
        <v>5</v>
      </c>
      <c r="T430" s="15">
        <v>125</v>
      </c>
      <c r="U430" s="15"/>
      <c r="V430" s="15"/>
      <c r="W430" s="103"/>
      <c r="X430" s="103"/>
      <c r="Y430" s="15"/>
      <c r="Z430" s="15"/>
      <c r="AA430" s="15"/>
      <c r="AB430" s="99"/>
      <c r="AC430" s="71">
        <f ca="1">Table2[[#This Row],[End Date]]+2-TODAY()</f>
        <v>340</v>
      </c>
      <c r="AD430" s="15">
        <f>IF(ISBLANK(Table2[[#This Row],[Roster Received By]]),1,0)</f>
        <v>1</v>
      </c>
      <c r="AE430" s="15">
        <f ca="1">IF(Table2[[#This Row],[Start Date]]&gt;TODAY(),1,)</f>
        <v>1</v>
      </c>
      <c r="AF430" s="62"/>
    </row>
    <row r="431" spans="1:32" x14ac:dyDescent="0.25">
      <c r="A431" s="62"/>
      <c r="B431" s="116" t="s">
        <v>55</v>
      </c>
      <c r="C431" s="100" t="str">
        <f>VLOOKUP(Table2[[#This Row],[Course Title]],'TSD-Data'!$A$1:$E$56,2,FALSE)</f>
        <v>A-493-0103</v>
      </c>
      <c r="D431" s="100" t="str">
        <f>VLOOKUP(Table2[[#This Row],[Course Title]],'TSD-Data'!$A$1:$E$56,3,FALSE)</f>
        <v>12JY</v>
      </c>
      <c r="E431" s="122" t="s">
        <v>267</v>
      </c>
      <c r="F431" s="102">
        <v>45866</v>
      </c>
      <c r="G431" s="102">
        <v>45870</v>
      </c>
      <c r="H431" s="105">
        <v>0.33333333333333331</v>
      </c>
      <c r="I431" s="101"/>
      <c r="J431" s="101"/>
      <c r="K431" s="101"/>
      <c r="L431" s="101"/>
      <c r="M431" s="101"/>
      <c r="N431" s="101"/>
      <c r="O431" s="15" t="s">
        <v>160</v>
      </c>
      <c r="P431" s="15"/>
      <c r="Q431" s="15">
        <f>VLOOKUP(Table2[[#This Row],[Course Title]],'TSD-Data'!$A$1:$E$56,4,FALSE)</f>
        <v>25</v>
      </c>
      <c r="R431" s="15">
        <f>VLOOKUP(Table2[[#This Row],[Course Title]],'TSD-Data'!$A$1:$F$53,6,FALSE)</f>
        <v>40</v>
      </c>
      <c r="S431" s="15">
        <f>VLOOKUP(Table2[[#This Row],[Course Title]],'TSD-Data'!$A$1:$E$56,5,FALSE)</f>
        <v>5</v>
      </c>
      <c r="T431" s="15">
        <v>332</v>
      </c>
      <c r="U431" s="15"/>
      <c r="V431" s="15"/>
      <c r="W431" s="15"/>
      <c r="X431" s="103"/>
      <c r="Y431" s="15"/>
      <c r="Z431" s="15"/>
      <c r="AA431" s="15"/>
      <c r="AB431" s="99"/>
      <c r="AC431" s="71">
        <f ca="1">Table2[[#This Row],[End Date]]+2-TODAY()</f>
        <v>340</v>
      </c>
      <c r="AD431" s="15">
        <f>IF(ISBLANK(Table2[[#This Row],[Roster Received By]]),1,0)</f>
        <v>1</v>
      </c>
      <c r="AE431" s="15">
        <f ca="1">IF(Table2[[#This Row],[Start Date]]&gt;TODAY(),1,)</f>
        <v>1</v>
      </c>
      <c r="AF431" s="62"/>
    </row>
    <row r="432" spans="1:32" x14ac:dyDescent="0.25">
      <c r="A432" s="151" t="s">
        <v>418</v>
      </c>
      <c r="B432" s="116" t="s">
        <v>56</v>
      </c>
      <c r="C432" s="100" t="str">
        <f>VLOOKUP(Table2[[#This Row],[Course Title]],'TSD-Data'!$A$1:$E$56,2,FALSE)</f>
        <v>A-493-0021</v>
      </c>
      <c r="D432" s="100" t="str">
        <f>VLOOKUP(Table2[[#This Row],[Course Title]],'TSD-Data'!$A$1:$E$56,3,FALSE)</f>
        <v>18BN</v>
      </c>
      <c r="E432" s="122" t="s">
        <v>282</v>
      </c>
      <c r="F432" s="102">
        <v>45866</v>
      </c>
      <c r="G432" s="102">
        <v>45870</v>
      </c>
      <c r="H432" s="105">
        <v>0.33333333333333331</v>
      </c>
      <c r="I432" s="108"/>
      <c r="J432" s="102"/>
      <c r="K432" s="102"/>
      <c r="L432" s="102"/>
      <c r="M432" s="102"/>
      <c r="N432" s="102"/>
      <c r="O432" s="15" t="s">
        <v>160</v>
      </c>
      <c r="P432" s="15"/>
      <c r="Q432" s="15">
        <f>VLOOKUP(Table2[[#This Row],[Course Title]],'TSD-Data'!$A$1:$E$56,4,FALSE)</f>
        <v>35</v>
      </c>
      <c r="R432" s="15">
        <f>VLOOKUP(Table2[[#This Row],[Course Title]],'TSD-Data'!$A$1:$F$53,6,FALSE)</f>
        <v>30</v>
      </c>
      <c r="S432" s="15">
        <f>VLOOKUP(Table2[[#This Row],[Course Title]],'TSD-Data'!$A$1:$E$56,5,FALSE)</f>
        <v>5</v>
      </c>
      <c r="T432" s="15">
        <v>28</v>
      </c>
      <c r="U432" s="15"/>
      <c r="V432" s="15"/>
      <c r="W432" s="15"/>
      <c r="X432" s="103"/>
      <c r="Y432" s="15"/>
      <c r="Z432" s="15"/>
      <c r="AA432" s="15"/>
      <c r="AB432" s="99"/>
      <c r="AC432" s="71">
        <f ca="1">Table2[[#This Row],[End Date]]+2-TODAY()</f>
        <v>340</v>
      </c>
      <c r="AD432" s="15">
        <f>IF(ISBLANK(Table2[[#This Row],[Roster Received By]]),1,0)</f>
        <v>1</v>
      </c>
      <c r="AE432" s="15">
        <f ca="1">IF(Table2[[#This Row],[Start Date]]&gt;TODAY(),1,)</f>
        <v>1</v>
      </c>
      <c r="AF432" s="62"/>
    </row>
    <row r="433" spans="1:32" x14ac:dyDescent="0.25">
      <c r="A433" s="62"/>
      <c r="B433" s="116" t="s">
        <v>165</v>
      </c>
      <c r="C433" s="100" t="str">
        <f>VLOOKUP(Table2[[#This Row],[Course Title]],'TSD-Data'!$A$1:$E$56,2,FALSE)</f>
        <v>A-322-2604</v>
      </c>
      <c r="D433" s="100" t="str">
        <f>VLOOKUP(Table2[[#This Row],[Course Title]],'TSD-Data'!$A$1:$E$56,3,FALSE)</f>
        <v>10ZZ</v>
      </c>
      <c r="E433" s="116" t="s">
        <v>80</v>
      </c>
      <c r="F433" s="102">
        <v>45866</v>
      </c>
      <c r="G433" s="102">
        <v>45870</v>
      </c>
      <c r="H433" s="105"/>
      <c r="I433" s="105">
        <v>0.54166666666666663</v>
      </c>
      <c r="J433" s="101">
        <v>0.41666666666666669</v>
      </c>
      <c r="K433" s="101">
        <v>0.83333333333333337</v>
      </c>
      <c r="L433" s="101">
        <v>0.75</v>
      </c>
      <c r="M433" s="101">
        <v>0.29166666666666669</v>
      </c>
      <c r="N433" s="101">
        <v>8.3333333333333329E-2</v>
      </c>
      <c r="O433" s="15" t="s">
        <v>394</v>
      </c>
      <c r="P433" s="15"/>
      <c r="Q433" s="15">
        <f>VLOOKUP(Table2[[#This Row],[Course Title]],'TSD-Data'!$A$1:$E$56,4,FALSE)</f>
        <v>45</v>
      </c>
      <c r="R433" s="15">
        <f>VLOOKUP(Table2[[#This Row],[Course Title]],'TSD-Data'!$A$1:$F$53,6,FALSE)</f>
        <v>24</v>
      </c>
      <c r="S433" s="15">
        <f>VLOOKUP(Table2[[#This Row],[Course Title]],'TSD-Data'!$A$1:$E$56,5,FALSE)</f>
        <v>3</v>
      </c>
      <c r="T433" s="15"/>
      <c r="U433" s="15"/>
      <c r="V433" s="15"/>
      <c r="W433" s="15"/>
      <c r="X433" s="103"/>
      <c r="Y433" s="15"/>
      <c r="Z433" s="15"/>
      <c r="AA433" s="100"/>
      <c r="AB433" s="99"/>
      <c r="AC433" s="71">
        <f ca="1">Table2[[#This Row],[End Date]]+2-TODAY()</f>
        <v>340</v>
      </c>
      <c r="AD433" s="15">
        <f>IF(ISBLANK(Table2[[#This Row],[Roster Received By]]),1,0)</f>
        <v>1</v>
      </c>
      <c r="AE433" s="15">
        <f ca="1">IF(Table2[[#This Row],[Start Date]]&gt;TODAY(),1,)</f>
        <v>1</v>
      </c>
      <c r="AF433" s="62"/>
    </row>
    <row r="434" spans="1:32" x14ac:dyDescent="0.25">
      <c r="A434" s="62"/>
      <c r="B434" s="116" t="s">
        <v>61</v>
      </c>
      <c r="C434" s="100" t="str">
        <f>VLOOKUP(Table2[[#This Row],[Course Title]],'TSD-Data'!$A$1:$E$56,2,FALSE)</f>
        <v>A-493-0078</v>
      </c>
      <c r="D434" s="100">
        <f>VLOOKUP(Table2[[#This Row],[Course Title]],'TSD-Data'!$A$1:$E$56,3,FALSE)</f>
        <v>1228</v>
      </c>
      <c r="E434" s="122" t="s">
        <v>80</v>
      </c>
      <c r="F434" s="102">
        <v>45866</v>
      </c>
      <c r="G434" s="102">
        <v>45869</v>
      </c>
      <c r="H434" s="108"/>
      <c r="I434" s="105">
        <v>0.45833333333333331</v>
      </c>
      <c r="J434" s="105">
        <v>0.33333333333333331</v>
      </c>
      <c r="K434" s="105">
        <v>0.75</v>
      </c>
      <c r="L434" s="105">
        <v>0.66666666666666663</v>
      </c>
      <c r="M434" s="105">
        <v>0.20833333333333334</v>
      </c>
      <c r="N434" s="105">
        <v>0</v>
      </c>
      <c r="O434" s="15" t="s">
        <v>394</v>
      </c>
      <c r="P434" s="15"/>
      <c r="Q434" s="15">
        <f>VLOOKUP(Table2[[#This Row],[Course Title]],'TSD-Data'!$A$1:$E$56,4,FALSE)</f>
        <v>45</v>
      </c>
      <c r="R434" s="15">
        <f>VLOOKUP(Table2[[#This Row],[Course Title]],'TSD-Data'!$A$1:$F$53,6,FALSE)</f>
        <v>32</v>
      </c>
      <c r="S434" s="15">
        <f>VLOOKUP(Table2[[#This Row],[Course Title]],'TSD-Data'!$A$1:$E$56,5,FALSE)</f>
        <v>4</v>
      </c>
      <c r="T434" s="15"/>
      <c r="U434" s="15"/>
      <c r="V434" s="15"/>
      <c r="W434" s="15"/>
      <c r="X434" s="103"/>
      <c r="Y434" s="15"/>
      <c r="Z434" s="15"/>
      <c r="AA434" s="15"/>
      <c r="AB434" s="99"/>
      <c r="AC434" s="71">
        <f ca="1">Table2[[#This Row],[End Date]]+2-TODAY()</f>
        <v>339</v>
      </c>
      <c r="AD434" s="15">
        <f>IF(ISBLANK(Table2[[#This Row],[Roster Received By]]),1,0)</f>
        <v>1</v>
      </c>
      <c r="AE434" s="15">
        <f ca="1">IF(Table2[[#This Row],[Start Date]]&gt;TODAY(),1,)</f>
        <v>1</v>
      </c>
      <c r="AF434" s="62"/>
    </row>
    <row r="435" spans="1:32" x14ac:dyDescent="0.25">
      <c r="A435" s="62"/>
      <c r="B435" s="116" t="s">
        <v>52</v>
      </c>
      <c r="C435" s="100" t="str">
        <f>VLOOKUP(Table2[[#This Row],[Course Title]],'TSD-Data'!$A$1:$E$56,2,FALSE)</f>
        <v>A-493-0085</v>
      </c>
      <c r="D435" s="100">
        <f>VLOOKUP(Table2[[#This Row],[Course Title]],'TSD-Data'!$A$1:$E$56,3,FALSE)</f>
        <v>3555</v>
      </c>
      <c r="E435" s="122" t="s">
        <v>80</v>
      </c>
      <c r="F435" s="102">
        <v>45866</v>
      </c>
      <c r="G435" s="102">
        <v>45869</v>
      </c>
      <c r="H435" s="102"/>
      <c r="I435" s="101">
        <v>0.33333333333333331</v>
      </c>
      <c r="J435" s="105">
        <v>0.20833333333333334</v>
      </c>
      <c r="K435" s="105">
        <v>0.625</v>
      </c>
      <c r="L435" s="105">
        <v>0.54166666666666663</v>
      </c>
      <c r="M435" s="105">
        <v>8.3333333333333329E-2</v>
      </c>
      <c r="N435" s="105">
        <v>0.875</v>
      </c>
      <c r="O435" s="15" t="s">
        <v>394</v>
      </c>
      <c r="P435" s="15"/>
      <c r="Q435" s="15">
        <f>VLOOKUP(Table2[[#This Row],[Course Title]],'TSD-Data'!$A$1:$E$56,4,FALSE)</f>
        <v>45</v>
      </c>
      <c r="R435" s="15">
        <f>VLOOKUP(Table2[[#This Row],[Course Title]],'TSD-Data'!$A$1:$F$53,6,FALSE)</f>
        <v>32</v>
      </c>
      <c r="S435" s="15">
        <f>VLOOKUP(Table2[[#This Row],[Course Title]],'TSD-Data'!$A$1:$E$56,5,FALSE)</f>
        <v>4</v>
      </c>
      <c r="T435" s="15"/>
      <c r="U435" s="15"/>
      <c r="V435" s="15"/>
      <c r="W435" s="15"/>
      <c r="X435" s="103"/>
      <c r="Y435" s="15"/>
      <c r="Z435" s="15"/>
      <c r="AA435" s="15"/>
      <c r="AB435" s="99"/>
      <c r="AC435" s="71">
        <f ca="1">Table2[[#This Row],[End Date]]+2-TODAY()</f>
        <v>339</v>
      </c>
      <c r="AD435" s="15">
        <f>IF(ISBLANK(Table2[[#This Row],[Roster Received By]]),1,0)</f>
        <v>1</v>
      </c>
      <c r="AE435" s="15">
        <f ca="1">IF(Table2[[#This Row],[Start Date]]&gt;TODAY(),1,)</f>
        <v>1</v>
      </c>
      <c r="AF435" s="62"/>
    </row>
    <row r="436" spans="1:32" x14ac:dyDescent="0.25">
      <c r="A436" s="99"/>
      <c r="B436" s="99" t="s">
        <v>15</v>
      </c>
      <c r="C436" s="100" t="str">
        <f>VLOOKUP(Table2[[#This Row],[Course Title]],'TSD-Data'!$A$1:$E$56,2,FALSE)</f>
        <v>A-4J-0022</v>
      </c>
      <c r="D436" s="100" t="str">
        <f>VLOOKUP(Table2[[#This Row],[Course Title]],'TSD-Data'!$A$1:$E$56,3,FALSE)</f>
        <v>09ER</v>
      </c>
      <c r="E436" s="122" t="s">
        <v>80</v>
      </c>
      <c r="F436" s="102">
        <v>45873</v>
      </c>
      <c r="G436" s="102">
        <v>45877</v>
      </c>
      <c r="H436" s="105"/>
      <c r="I436" s="105">
        <v>0.54166666666666663</v>
      </c>
      <c r="J436" s="101">
        <v>0.41666666666666669</v>
      </c>
      <c r="K436" s="101">
        <v>0.83333333333333337</v>
      </c>
      <c r="L436" s="101">
        <v>0.75</v>
      </c>
      <c r="M436" s="101">
        <v>0.29166666666666669</v>
      </c>
      <c r="N436" s="101">
        <v>8.3333333333333329E-2</v>
      </c>
      <c r="O436" s="15" t="s">
        <v>394</v>
      </c>
      <c r="P436" s="15"/>
      <c r="Q436" s="15">
        <f>VLOOKUP(Table2[[#This Row],[Course Title]],'TSD-Data'!$A$1:$E$56,4,FALSE)</f>
        <v>45</v>
      </c>
      <c r="R436" s="15">
        <f>VLOOKUP(Table2[[#This Row],[Course Title]],'TSD-Data'!$A$1:$F$53,6,FALSE)</f>
        <v>16</v>
      </c>
      <c r="S436" s="15">
        <f>VLOOKUP(Table2[[#This Row],[Course Title]],'TSD-Data'!$A$1:$E$56,5,FALSE)</f>
        <v>2</v>
      </c>
      <c r="T436" s="15"/>
      <c r="U436" s="15"/>
      <c r="V436" s="15"/>
      <c r="W436" s="15"/>
      <c r="X436" s="103"/>
      <c r="Y436" s="15"/>
      <c r="Z436" s="15"/>
      <c r="AA436" s="100"/>
      <c r="AB436" s="99"/>
      <c r="AC436" s="71">
        <f ca="1">Table2[[#This Row],[End Date]]+2-TODAY()</f>
        <v>347</v>
      </c>
      <c r="AD436" s="15">
        <f>IF(ISBLANK(Table2[[#This Row],[Roster Received By]]),1,0)</f>
        <v>1</v>
      </c>
      <c r="AE436" s="15">
        <f ca="1">IF(Table2[[#This Row],[Start Date]]&gt;TODAY(),1,)</f>
        <v>1</v>
      </c>
      <c r="AF436" s="62"/>
    </row>
    <row r="437" spans="1:32" x14ac:dyDescent="0.25">
      <c r="A437" s="62"/>
      <c r="B437" s="99" t="s">
        <v>55</v>
      </c>
      <c r="C437" s="100" t="str">
        <f>VLOOKUP(Table2[[#This Row],[Course Title]],'TSD-Data'!$A$1:$E$56,2,FALSE)</f>
        <v>A-493-0103</v>
      </c>
      <c r="D437" s="100" t="str">
        <f>VLOOKUP(Table2[[#This Row],[Course Title]],'TSD-Data'!$A$1:$E$56,3,FALSE)</f>
        <v>12JY</v>
      </c>
      <c r="E437" s="99" t="s">
        <v>146</v>
      </c>
      <c r="F437" s="102">
        <v>45873</v>
      </c>
      <c r="G437" s="102">
        <v>45877</v>
      </c>
      <c r="H437" s="105">
        <v>0.33333333333333331</v>
      </c>
      <c r="I437" s="105"/>
      <c r="J437" s="105"/>
      <c r="K437" s="105"/>
      <c r="L437" s="105"/>
      <c r="M437" s="105"/>
      <c r="N437" s="102"/>
      <c r="O437" s="15" t="s">
        <v>160</v>
      </c>
      <c r="P437" s="15"/>
      <c r="Q437" s="15">
        <f>VLOOKUP(Table2[[#This Row],[Course Title]],'TSD-Data'!$A$1:$E$56,4,FALSE)</f>
        <v>25</v>
      </c>
      <c r="R437" s="15">
        <f>VLOOKUP(Table2[[#This Row],[Course Title]],'TSD-Data'!$A$1:$F$53,6,FALSE)</f>
        <v>40</v>
      </c>
      <c r="S437" s="15">
        <f>VLOOKUP(Table2[[#This Row],[Course Title]],'TSD-Data'!$A$1:$E$56,5,FALSE)</f>
        <v>5</v>
      </c>
      <c r="T437" s="15">
        <v>125</v>
      </c>
      <c r="U437" s="15"/>
      <c r="V437" s="15"/>
      <c r="W437" s="15"/>
      <c r="X437" s="103"/>
      <c r="Y437" s="15"/>
      <c r="Z437" s="15"/>
      <c r="AA437" s="15"/>
      <c r="AB437" s="99"/>
      <c r="AC437" s="71">
        <f ca="1">Table2[[#This Row],[End Date]]+2-TODAY()</f>
        <v>347</v>
      </c>
      <c r="AD437" s="15">
        <f>IF(ISBLANK(Table2[[#This Row],[Roster Received By]]),1,0)</f>
        <v>1</v>
      </c>
      <c r="AE437" s="15">
        <f ca="1">IF(Table2[[#This Row],[Start Date]]&gt;TODAY(),1,)</f>
        <v>1</v>
      </c>
      <c r="AF437" s="62"/>
    </row>
    <row r="438" spans="1:32" x14ac:dyDescent="0.25">
      <c r="A438" s="62"/>
      <c r="B438" s="99" t="s">
        <v>55</v>
      </c>
      <c r="C438" s="100" t="str">
        <f>VLOOKUP(Table2[[#This Row],[Course Title]],'TSD-Data'!$A$1:$E$56,2,FALSE)</f>
        <v>A-493-0103</v>
      </c>
      <c r="D438" s="100" t="str">
        <f>VLOOKUP(Table2[[#This Row],[Course Title]],'TSD-Data'!$A$1:$E$56,3,FALSE)</f>
        <v>12JY</v>
      </c>
      <c r="E438" s="99" t="s">
        <v>267</v>
      </c>
      <c r="F438" s="102">
        <v>45873</v>
      </c>
      <c r="G438" s="102">
        <v>45877</v>
      </c>
      <c r="H438" s="105">
        <v>0.33333333333333331</v>
      </c>
      <c r="I438" s="105"/>
      <c r="J438" s="102"/>
      <c r="K438" s="102"/>
      <c r="L438" s="102"/>
      <c r="M438" s="102"/>
      <c r="N438" s="102"/>
      <c r="O438" s="15" t="s">
        <v>160</v>
      </c>
      <c r="P438" s="15"/>
      <c r="Q438" s="15">
        <f>VLOOKUP(Table2[[#This Row],[Course Title]],'TSD-Data'!$A$1:$E$56,4,FALSE)</f>
        <v>25</v>
      </c>
      <c r="R438" s="15">
        <f>VLOOKUP(Table2[[#This Row],[Course Title]],'TSD-Data'!$A$1:$F$53,6,FALSE)</f>
        <v>40</v>
      </c>
      <c r="S438" s="15">
        <f>VLOOKUP(Table2[[#This Row],[Course Title]],'TSD-Data'!$A$1:$E$56,5,FALSE)</f>
        <v>5</v>
      </c>
      <c r="T438" s="15">
        <v>332</v>
      </c>
      <c r="U438" s="15"/>
      <c r="V438" s="15"/>
      <c r="W438" s="15"/>
      <c r="X438" s="103"/>
      <c r="Y438" s="15"/>
      <c r="Z438" s="15"/>
      <c r="AA438" s="107"/>
      <c r="AB438" s="99"/>
      <c r="AC438" s="71">
        <f ca="1">Table2[[#This Row],[End Date]]+2-TODAY()</f>
        <v>347</v>
      </c>
      <c r="AD438" s="15">
        <f>IF(ISBLANK(Table2[[#This Row],[Roster Received By]]),1,0)</f>
        <v>1</v>
      </c>
      <c r="AE438" s="15">
        <f ca="1">IF(Table2[[#This Row],[Start Date]]&gt;TODAY(),1,)</f>
        <v>1</v>
      </c>
      <c r="AF438" s="62"/>
    </row>
    <row r="439" spans="1:32" x14ac:dyDescent="0.25">
      <c r="A439" s="99"/>
      <c r="B439" s="99" t="s">
        <v>47</v>
      </c>
      <c r="C439" s="100" t="str">
        <f>VLOOKUP(Table2[[#This Row],[Course Title]],'TSD-Data'!$A$1:$E$56,2,FALSE)</f>
        <v>A-493-0030</v>
      </c>
      <c r="D439" s="100" t="str">
        <f>VLOOKUP(Table2[[#This Row],[Course Title]],'TSD-Data'!$A$1:$E$56,3,FALSE)</f>
        <v>286X</v>
      </c>
      <c r="E439" s="99" t="s">
        <v>80</v>
      </c>
      <c r="F439" s="102">
        <v>45873</v>
      </c>
      <c r="G439" s="102">
        <v>45877</v>
      </c>
      <c r="H439" s="105"/>
      <c r="I439" s="105">
        <v>0.33333333333333331</v>
      </c>
      <c r="J439" s="105">
        <v>0.20833333333333334</v>
      </c>
      <c r="K439" s="105">
        <v>0.625</v>
      </c>
      <c r="L439" s="105">
        <v>0.54166666666666663</v>
      </c>
      <c r="M439" s="105">
        <v>8.3333333333333329E-2</v>
      </c>
      <c r="N439" s="105">
        <v>0.875</v>
      </c>
      <c r="O439" s="15" t="s">
        <v>196</v>
      </c>
      <c r="P439" s="15"/>
      <c r="Q439" s="103">
        <f>VLOOKUP(Table2[[#This Row],[Course Title]],'TSD-Data'!$A$1:$E$56,4,FALSE)</f>
        <v>25</v>
      </c>
      <c r="R439" s="15">
        <f>VLOOKUP(Table2[[#This Row],[Course Title]],'TSD-Data'!$A$1:$F$53,6,FALSE)</f>
        <v>40</v>
      </c>
      <c r="S439" s="15">
        <f>VLOOKUP(Table2[[#This Row],[Course Title]],'TSD-Data'!$A$1:$E$56,5,FALSE)</f>
        <v>5</v>
      </c>
      <c r="T439" s="15">
        <v>0</v>
      </c>
      <c r="U439" s="15"/>
      <c r="V439" s="15"/>
      <c r="W439" s="103"/>
      <c r="X439" s="103"/>
      <c r="Y439" s="15"/>
      <c r="Z439" s="15"/>
      <c r="AA439" s="100"/>
      <c r="AB439" s="99"/>
      <c r="AC439" s="71">
        <f ca="1">Table2[[#This Row],[End Date]]+2-TODAY()</f>
        <v>347</v>
      </c>
      <c r="AD439" s="15">
        <f>IF(ISBLANK(Table2[[#This Row],[Roster Received By]]),1,0)</f>
        <v>1</v>
      </c>
      <c r="AE439" s="15">
        <f ca="1">IF(Table2[[#This Row],[Start Date]]&gt;TODAY(),1,)</f>
        <v>1</v>
      </c>
      <c r="AF439" s="62"/>
    </row>
    <row r="440" spans="1:32" x14ac:dyDescent="0.25">
      <c r="A440" s="62"/>
      <c r="B440" s="99" t="s">
        <v>17</v>
      </c>
      <c r="C440" s="100" t="str">
        <f>VLOOKUP(Table2[[#This Row],[Course Title]],'TSD-Data'!$A$1:$E$56,2,FALSE)</f>
        <v>A-493-0012</v>
      </c>
      <c r="D440" s="100">
        <f>VLOOKUP(Table2[[#This Row],[Course Title]],'TSD-Data'!$A$1:$E$56,3,FALSE)</f>
        <v>3682</v>
      </c>
      <c r="E440" s="65" t="s">
        <v>102</v>
      </c>
      <c r="F440" s="102">
        <v>45873</v>
      </c>
      <c r="G440" s="102">
        <v>45877</v>
      </c>
      <c r="H440" s="105">
        <v>0.33333333333333331</v>
      </c>
      <c r="I440" s="105"/>
      <c r="J440" s="102"/>
      <c r="K440" s="102"/>
      <c r="L440" s="102"/>
      <c r="M440" s="102"/>
      <c r="N440" s="102"/>
      <c r="O440" s="15" t="s">
        <v>94</v>
      </c>
      <c r="P440" s="15"/>
      <c r="Q440" s="15">
        <f>VLOOKUP(Table2[[#This Row],[Course Title]],'TSD-Data'!$A$1:$E$56,4,FALSE)</f>
        <v>40</v>
      </c>
      <c r="R440" s="15">
        <f>VLOOKUP(Table2[[#This Row],[Course Title]],'TSD-Data'!$A$1:$F$53,6,FALSE)</f>
        <v>40</v>
      </c>
      <c r="S440" s="15">
        <f>VLOOKUP(Table2[[#This Row],[Course Title]],'TSD-Data'!$A$1:$E$56,5,FALSE)</f>
        <v>5</v>
      </c>
      <c r="T440" s="15">
        <v>15</v>
      </c>
      <c r="U440" s="15"/>
      <c r="V440" s="15"/>
      <c r="W440" s="15"/>
      <c r="X440" s="103"/>
      <c r="Y440" s="15"/>
      <c r="Z440" s="15"/>
      <c r="AA440" s="100"/>
      <c r="AB440" s="99"/>
      <c r="AC440" s="71">
        <f ca="1">Table2[[#This Row],[End Date]]+2-TODAY()</f>
        <v>347</v>
      </c>
      <c r="AD440" s="15">
        <f>IF(ISBLANK(Table2[[#This Row],[Roster Received By]]),1,0)</f>
        <v>1</v>
      </c>
      <c r="AE440" s="15">
        <f ca="1">IF(Table2[[#This Row],[Start Date]]&gt;TODAY(),1,)</f>
        <v>1</v>
      </c>
      <c r="AF440" s="62"/>
    </row>
    <row r="441" spans="1:32" x14ac:dyDescent="0.25">
      <c r="A441" s="62"/>
      <c r="B441" s="99" t="s">
        <v>17</v>
      </c>
      <c r="C441" s="100" t="str">
        <f>VLOOKUP(Table2[[#This Row],[Course Title]],'TSD-Data'!$A$1:$E$56,2,FALSE)</f>
        <v>A-493-0012</v>
      </c>
      <c r="D441" s="100">
        <f>VLOOKUP(Table2[[#This Row],[Course Title]],'TSD-Data'!$A$1:$E$56,3,FALSE)</f>
        <v>3682</v>
      </c>
      <c r="E441" s="99" t="s">
        <v>284</v>
      </c>
      <c r="F441" s="102">
        <v>45873</v>
      </c>
      <c r="G441" s="102">
        <v>45877</v>
      </c>
      <c r="H441" s="105">
        <v>0.33333333333333331</v>
      </c>
      <c r="I441" s="105"/>
      <c r="J441" s="102"/>
      <c r="K441" s="102"/>
      <c r="L441" s="102"/>
      <c r="M441" s="102"/>
      <c r="N441" s="102"/>
      <c r="O441" s="15" t="s">
        <v>94</v>
      </c>
      <c r="P441" s="15"/>
      <c r="Q441" s="15">
        <f>VLOOKUP(Table2[[#This Row],[Course Title]],'TSD-Data'!$A$1:$E$56,4,FALSE)</f>
        <v>40</v>
      </c>
      <c r="R441" s="15">
        <f>VLOOKUP(Table2[[#This Row],[Course Title]],'TSD-Data'!$A$1:$F$53,6,FALSE)</f>
        <v>40</v>
      </c>
      <c r="S441" s="15">
        <f>VLOOKUP(Table2[[#This Row],[Course Title]],'TSD-Data'!$A$1:$E$56,5,FALSE)</f>
        <v>5</v>
      </c>
      <c r="T441" s="15">
        <v>60</v>
      </c>
      <c r="U441" s="15"/>
      <c r="V441" s="15"/>
      <c r="W441" s="15"/>
      <c r="X441" s="103"/>
      <c r="Y441" s="15"/>
      <c r="Z441" s="15"/>
      <c r="AA441" s="100"/>
      <c r="AB441" s="99"/>
      <c r="AC441" s="71">
        <f ca="1">Table2[[#This Row],[End Date]]+2-TODAY()</f>
        <v>347</v>
      </c>
      <c r="AD441" s="15">
        <f>IF(ISBLANK(Table2[[#This Row],[Roster Received By]]),1,0)</f>
        <v>1</v>
      </c>
      <c r="AE441" s="15">
        <f ca="1">IF(Table2[[#This Row],[Start Date]]&gt;TODAY(),1,)</f>
        <v>1</v>
      </c>
      <c r="AF441" s="62"/>
    </row>
    <row r="442" spans="1:32" x14ac:dyDescent="0.25">
      <c r="A442" s="62"/>
      <c r="B442" s="99" t="s">
        <v>29</v>
      </c>
      <c r="C442" s="100" t="str">
        <f>VLOOKUP(Table2[[#This Row],[Course Title]],'TSD-Data'!$A$1:$E$56,2,FALSE)</f>
        <v>A-493-0077</v>
      </c>
      <c r="D442" s="100" t="str">
        <f>VLOOKUP(Table2[[#This Row],[Course Title]],'TSD-Data'!$A$1:$E$56,3,FALSE)</f>
        <v>0381</v>
      </c>
      <c r="E442" s="99" t="s">
        <v>221</v>
      </c>
      <c r="F442" s="102">
        <v>45873</v>
      </c>
      <c r="G442" s="102">
        <v>45875</v>
      </c>
      <c r="H442" s="105">
        <v>0.33333333333333331</v>
      </c>
      <c r="I442" s="105"/>
      <c r="J442" s="105"/>
      <c r="K442" s="105"/>
      <c r="L442" s="105"/>
      <c r="M442" s="105"/>
      <c r="N442" s="105"/>
      <c r="O442" s="15" t="s">
        <v>94</v>
      </c>
      <c r="P442" s="15"/>
      <c r="Q442" s="15">
        <f>VLOOKUP(Table2[[#This Row],[Course Title]],'TSD-Data'!$A$1:$E$56,4,FALSE)</f>
        <v>25</v>
      </c>
      <c r="R442" s="15">
        <f>VLOOKUP(Table2[[#This Row],[Course Title]],'TSD-Data'!$A$1:$F$53,6,FALSE)</f>
        <v>24</v>
      </c>
      <c r="S442" s="15">
        <f>VLOOKUP(Table2[[#This Row],[Course Title]],'TSD-Data'!$A$1:$E$56,5,FALSE)</f>
        <v>3</v>
      </c>
      <c r="T442" s="15">
        <v>20</v>
      </c>
      <c r="U442" s="15"/>
      <c r="V442" s="15"/>
      <c r="W442" s="15"/>
      <c r="X442" s="103"/>
      <c r="Y442" s="15"/>
      <c r="Z442" s="15"/>
      <c r="AA442" s="100"/>
      <c r="AB442" s="99"/>
      <c r="AC442" s="71">
        <f ca="1">Table2[[#This Row],[End Date]]+2-TODAY()</f>
        <v>345</v>
      </c>
      <c r="AD442" s="15">
        <f>IF(ISBLANK(Table2[[#This Row],[Roster Received By]]),1,0)</f>
        <v>1</v>
      </c>
      <c r="AE442" s="15">
        <f ca="1">IF(Table2[[#This Row],[Start Date]]&gt;TODAY(),1,)</f>
        <v>1</v>
      </c>
      <c r="AF442" s="62"/>
    </row>
    <row r="443" spans="1:32" x14ac:dyDescent="0.25">
      <c r="A443" s="62"/>
      <c r="B443" s="99" t="s">
        <v>29</v>
      </c>
      <c r="C443" s="100" t="str">
        <f>VLOOKUP(Table2[[#This Row],[Course Title]],'TSD-Data'!$A$1:$E$56,2,FALSE)</f>
        <v>A-493-0077</v>
      </c>
      <c r="D443" s="100" t="str">
        <f>VLOOKUP(Table2[[#This Row],[Course Title]],'TSD-Data'!$A$1:$E$56,3,FALSE)</f>
        <v>0381</v>
      </c>
      <c r="E443" s="116" t="s">
        <v>268</v>
      </c>
      <c r="F443" s="110">
        <v>45873</v>
      </c>
      <c r="G443" s="110">
        <v>45875</v>
      </c>
      <c r="H443" s="105">
        <v>0.33333333333333331</v>
      </c>
      <c r="I443" s="105"/>
      <c r="J443" s="105"/>
      <c r="K443" s="105"/>
      <c r="L443" s="105"/>
      <c r="M443" s="105"/>
      <c r="N443" s="105"/>
      <c r="O443" s="15" t="s">
        <v>94</v>
      </c>
      <c r="P443" s="15"/>
      <c r="Q443" s="15">
        <f>VLOOKUP(Table2[[#This Row],[Course Title]],'TSD-Data'!$A$1:$E$56,4,FALSE)</f>
        <v>25</v>
      </c>
      <c r="R443" s="15">
        <f>VLOOKUP(Table2[[#This Row],[Course Title]],'TSD-Data'!$A$1:$F$53,6,FALSE)</f>
        <v>24</v>
      </c>
      <c r="S443" s="15">
        <f>VLOOKUP(Table2[[#This Row],[Course Title]],'TSD-Data'!$A$1:$E$56,5,FALSE)</f>
        <v>3</v>
      </c>
      <c r="T443" s="15">
        <v>139</v>
      </c>
      <c r="U443" s="15"/>
      <c r="V443" s="15"/>
      <c r="W443" s="15"/>
      <c r="X443" s="103"/>
      <c r="Y443" s="15"/>
      <c r="Z443" s="15"/>
      <c r="AA443" s="100"/>
      <c r="AB443" s="99"/>
      <c r="AC443" s="71">
        <f ca="1">Table2[[#This Row],[End Date]]+2-TODAY()</f>
        <v>345</v>
      </c>
      <c r="AD443" s="15">
        <f>IF(ISBLANK(Table2[[#This Row],[Roster Received By]]),1,0)</f>
        <v>1</v>
      </c>
      <c r="AE443" s="15">
        <f ca="1">IF(Table2[[#This Row],[Start Date]]&gt;TODAY(),1,)</f>
        <v>1</v>
      </c>
      <c r="AF443" s="62"/>
    </row>
    <row r="444" spans="1:32" x14ac:dyDescent="0.25">
      <c r="A444" s="62" t="s">
        <v>395</v>
      </c>
      <c r="B444" s="99" t="s">
        <v>31</v>
      </c>
      <c r="C444" s="100" t="str">
        <f>VLOOKUP(Table2[[#This Row],[Course Title]],'TSD-Data'!$A$1:$E$56,2,FALSE)</f>
        <v>A-493-0083</v>
      </c>
      <c r="D444" s="100" t="str">
        <f>VLOOKUP(Table2[[#This Row],[Course Title]],'TSD-Data'!$A$1:$E$56,3,FALSE)</f>
        <v>339E</v>
      </c>
      <c r="E444" s="116" t="s">
        <v>80</v>
      </c>
      <c r="F444" s="110">
        <v>45873</v>
      </c>
      <c r="G444" s="110">
        <v>45873</v>
      </c>
      <c r="H444" s="105"/>
      <c r="I444" s="105">
        <v>0.45833333333333331</v>
      </c>
      <c r="J444" s="105">
        <v>0.33333333333333331</v>
      </c>
      <c r="K444" s="105">
        <v>0.75</v>
      </c>
      <c r="L444" s="105">
        <v>0.66666666666666663</v>
      </c>
      <c r="M444" s="105">
        <v>0.20833333333333334</v>
      </c>
      <c r="N444" s="105">
        <v>0</v>
      </c>
      <c r="O444" s="15" t="s">
        <v>94</v>
      </c>
      <c r="P444" s="15"/>
      <c r="Q444" s="15">
        <f>VLOOKUP(Table2[[#This Row],[Course Title]],'TSD-Data'!$A$1:$E$56,4,FALSE)</f>
        <v>30</v>
      </c>
      <c r="R444" s="15">
        <f>VLOOKUP(Table2[[#This Row],[Course Title]],'TSD-Data'!$A$1:$F$53,6,FALSE)</f>
        <v>8</v>
      </c>
      <c r="S444" s="15">
        <f>VLOOKUP(Table2[[#This Row],[Course Title]],'TSD-Data'!$A$1:$E$56,5,FALSE)</f>
        <v>1</v>
      </c>
      <c r="T444" s="15">
        <v>0</v>
      </c>
      <c r="U444" s="15"/>
      <c r="V444" s="15"/>
      <c r="W444" s="103"/>
      <c r="X444" s="113"/>
      <c r="Y444" s="113"/>
      <c r="Z444" s="113"/>
      <c r="AA444" s="113"/>
      <c r="AB444" s="99"/>
      <c r="AC444" s="71">
        <f ca="1">Table2[[#This Row],[End Date]]+2-TODAY()</f>
        <v>343</v>
      </c>
      <c r="AD444" s="15">
        <f>IF(ISBLANK(Table2[[#This Row],[Roster Received By]]),1,0)</f>
        <v>1</v>
      </c>
      <c r="AE444" s="15">
        <f ca="1">IF(Table2[[#This Row],[Start Date]]&gt;TODAY(),1,)</f>
        <v>1</v>
      </c>
      <c r="AF444" s="62"/>
    </row>
    <row r="445" spans="1:32" x14ac:dyDescent="0.25">
      <c r="A445" s="65"/>
      <c r="B445" s="99" t="s">
        <v>33</v>
      </c>
      <c r="C445" s="100" t="str">
        <f>VLOOKUP(Table2[[#This Row],[Course Title]],'TSD-Data'!$A$1:$E$56,2,FALSE)</f>
        <v>A-493-2301</v>
      </c>
      <c r="D445" s="100" t="str">
        <f>VLOOKUP(Table2[[#This Row],[Course Title]],'TSD-Data'!$A$1:$E$56,3,FALSE)</f>
        <v>05ZD</v>
      </c>
      <c r="E445" s="116" t="s">
        <v>153</v>
      </c>
      <c r="F445" s="110">
        <v>45873</v>
      </c>
      <c r="G445" s="110">
        <v>45873</v>
      </c>
      <c r="H445" s="105">
        <v>0.33333333333333331</v>
      </c>
      <c r="I445" s="105"/>
      <c r="J445" s="105"/>
      <c r="K445" s="105"/>
      <c r="L445" s="105"/>
      <c r="M445" s="105"/>
      <c r="N445" s="105"/>
      <c r="O445" s="15" t="s">
        <v>94</v>
      </c>
      <c r="P445" s="15"/>
      <c r="Q445" s="15">
        <f>VLOOKUP(Table2[[#This Row],[Course Title]],'TSD-Data'!$A$1:$E$56,4,FALSE)</f>
        <v>30</v>
      </c>
      <c r="R445" s="15">
        <f>VLOOKUP(Table2[[#This Row],[Course Title]],'TSD-Data'!$A$1:$F$53,6,FALSE)</f>
        <v>8</v>
      </c>
      <c r="S445" s="15">
        <f>VLOOKUP(Table2[[#This Row],[Course Title]],'TSD-Data'!$A$1:$E$56,5,FALSE)</f>
        <v>1</v>
      </c>
      <c r="T445" s="15">
        <v>35</v>
      </c>
      <c r="U445" s="15"/>
      <c r="V445" s="15"/>
      <c r="W445" s="15"/>
      <c r="X445" s="103"/>
      <c r="Y445" s="15"/>
      <c r="Z445" s="15"/>
      <c r="AA445" s="100"/>
      <c r="AB445" s="99"/>
      <c r="AC445" s="71">
        <f ca="1">Table2[[#This Row],[End Date]]+2-TODAY()</f>
        <v>343</v>
      </c>
      <c r="AD445" s="15">
        <f>IF(ISBLANK(Table2[[#This Row],[Roster Received By]]),1,0)</f>
        <v>1</v>
      </c>
      <c r="AE445" s="15">
        <f ca="1">IF(Table2[[#This Row],[Start Date]]&gt;TODAY(),1,)</f>
        <v>1</v>
      </c>
      <c r="AF445" s="62"/>
    </row>
    <row r="446" spans="1:32" x14ac:dyDescent="0.25">
      <c r="A446" s="99"/>
      <c r="B446" s="99" t="s">
        <v>59</v>
      </c>
      <c r="C446" s="100" t="str">
        <f>VLOOKUP(Table2[[#This Row],[Course Title]],'TSD-Data'!$A$1:$E$56,2,FALSE)</f>
        <v>A-493-0550</v>
      </c>
      <c r="D446" s="100" t="str">
        <f>VLOOKUP(Table2[[#This Row],[Course Title]],'TSD-Data'!$A$1:$E$56,3,FALSE)</f>
        <v>09K5</v>
      </c>
      <c r="E446" s="122" t="s">
        <v>80</v>
      </c>
      <c r="F446" s="98">
        <v>45873</v>
      </c>
      <c r="G446" s="98">
        <v>45876</v>
      </c>
      <c r="H446" s="105"/>
      <c r="I446" s="105">
        <v>0.54166666666666663</v>
      </c>
      <c r="J446" s="101">
        <v>0.41666666666666669</v>
      </c>
      <c r="K446" s="101">
        <v>0.83333333333333337</v>
      </c>
      <c r="L446" s="101">
        <v>0.75</v>
      </c>
      <c r="M446" s="101">
        <v>0.29166666666666669</v>
      </c>
      <c r="N446" s="101">
        <v>8.3333333333333329E-2</v>
      </c>
      <c r="O446" s="15" t="s">
        <v>394</v>
      </c>
      <c r="P446" s="15"/>
      <c r="Q446" s="15">
        <f>VLOOKUP(Table2[[#This Row],[Course Title]],'TSD-Data'!$A$1:$E$56,4,FALSE)</f>
        <v>45</v>
      </c>
      <c r="R446" s="15">
        <f>VLOOKUP(Table2[[#This Row],[Course Title]],'TSD-Data'!$A$1:$F$53,6,FALSE)</f>
        <v>32</v>
      </c>
      <c r="S446" s="15">
        <f>VLOOKUP(Table2[[#This Row],[Course Title]],'TSD-Data'!$A$1:$E$56,5,FALSE)</f>
        <v>4</v>
      </c>
      <c r="T446" s="15"/>
      <c r="U446" s="15"/>
      <c r="V446" s="15"/>
      <c r="W446" s="15"/>
      <c r="X446" s="103"/>
      <c r="Y446" s="15"/>
      <c r="Z446" s="15"/>
      <c r="AA446" s="15"/>
      <c r="AB446" s="99"/>
      <c r="AC446" s="71">
        <f ca="1">Table2[[#This Row],[End Date]]+2-TODAY()</f>
        <v>346</v>
      </c>
      <c r="AD446" s="15">
        <f>IF(ISBLANK(Table2[[#This Row],[Roster Received By]]),1,0)</f>
        <v>1</v>
      </c>
      <c r="AE446" s="15">
        <f ca="1">IF(Table2[[#This Row],[Start Date]]&gt;TODAY(),1,)</f>
        <v>1</v>
      </c>
      <c r="AF446" s="62"/>
    </row>
    <row r="447" spans="1:32" x14ac:dyDescent="0.25">
      <c r="A447" s="62"/>
      <c r="B447" s="99" t="s">
        <v>53</v>
      </c>
      <c r="C447" s="100" t="str">
        <f>VLOOKUP(Table2[[#This Row],[Course Title]],'TSD-Data'!$A$1:$E$56,2,FALSE)</f>
        <v>A-493-0072</v>
      </c>
      <c r="D447" s="100" t="str">
        <f>VLOOKUP(Table2[[#This Row],[Course Title]],'TSD-Data'!$A$1:$E$56,3,FALSE)</f>
        <v>713U</v>
      </c>
      <c r="E447" s="377" t="s">
        <v>257</v>
      </c>
      <c r="F447" s="376">
        <v>45873</v>
      </c>
      <c r="G447" s="376">
        <v>45877</v>
      </c>
      <c r="H447" s="105">
        <v>0.33333333333333331</v>
      </c>
      <c r="I447" s="108"/>
      <c r="J447" s="108"/>
      <c r="K447" s="108"/>
      <c r="L447" s="108"/>
      <c r="M447" s="108"/>
      <c r="N447" s="108"/>
      <c r="O447" s="15" t="s">
        <v>90</v>
      </c>
      <c r="P447" s="15" t="s">
        <v>192</v>
      </c>
      <c r="Q447" s="15">
        <f>VLOOKUP(Table2[[#This Row],[Course Title]],'TSD-Data'!$A$1:$E$56,4,FALSE)</f>
        <v>30</v>
      </c>
      <c r="R447" s="15">
        <f>VLOOKUP(Table2[[#This Row],[Course Title]],'TSD-Data'!$A$1:$F$53,6,FALSE)</f>
        <v>40</v>
      </c>
      <c r="S447" s="15">
        <f>VLOOKUP(Table2[[#This Row],[Course Title]],'TSD-Data'!$A$1:$E$56,5,FALSE)</f>
        <v>5</v>
      </c>
      <c r="T447" s="15">
        <v>32</v>
      </c>
      <c r="U447" s="15"/>
      <c r="V447" s="15"/>
      <c r="W447" s="15"/>
      <c r="X447" s="103"/>
      <c r="Y447" s="15"/>
      <c r="Z447" s="15"/>
      <c r="AA447" s="15"/>
      <c r="AB447" s="99"/>
      <c r="AC447" s="71">
        <f ca="1">Table2[[#This Row],[End Date]]+2-TODAY()</f>
        <v>347</v>
      </c>
      <c r="AD447" s="15">
        <f>IF(ISBLANK(Table2[[#This Row],[Roster Received By]]),1,0)</f>
        <v>1</v>
      </c>
      <c r="AE447" s="15">
        <f ca="1">IF(Table2[[#This Row],[Start Date]]&gt;TODAY(),1,)</f>
        <v>1</v>
      </c>
      <c r="AF447" s="62"/>
    </row>
    <row r="448" spans="1:32" x14ac:dyDescent="0.25">
      <c r="A448" s="100"/>
      <c r="B448" s="99" t="s">
        <v>40</v>
      </c>
      <c r="C448" s="100" t="str">
        <f>VLOOKUP(Table2[[#This Row],[Course Title]],'TSD-Data'!$A$1:$E$56,2,FALSE)</f>
        <v>A-493-2098</v>
      </c>
      <c r="D448" s="100" t="str">
        <f>VLOOKUP(Table2[[#This Row],[Course Title]],'TSD-Data'!$A$1:$E$56,3,FALSE)</f>
        <v>09WW</v>
      </c>
      <c r="E448" s="122" t="s">
        <v>80</v>
      </c>
      <c r="F448" s="110">
        <v>45873</v>
      </c>
      <c r="G448" s="110">
        <v>45877</v>
      </c>
      <c r="H448" s="105"/>
      <c r="I448" s="105">
        <v>0.33333333333333331</v>
      </c>
      <c r="J448" s="105">
        <v>0.20833333333333334</v>
      </c>
      <c r="K448" s="105">
        <v>0.625</v>
      </c>
      <c r="L448" s="105">
        <v>0.54166666666666663</v>
      </c>
      <c r="M448" s="105">
        <v>8.3333333333333329E-2</v>
      </c>
      <c r="N448" s="105">
        <v>0.875</v>
      </c>
      <c r="O448" s="15" t="s">
        <v>394</v>
      </c>
      <c r="P448" s="15"/>
      <c r="Q448" s="15">
        <f>VLOOKUP(Table2[[#This Row],[Course Title]],'TSD-Data'!$A$1:$E$56,4,FALSE)</f>
        <v>100</v>
      </c>
      <c r="R448" s="15">
        <f>VLOOKUP(Table2[[#This Row],[Course Title]],'TSD-Data'!$A$1:$F$53,6,FALSE)</f>
        <v>16</v>
      </c>
      <c r="S448" s="15">
        <f>VLOOKUP(Table2[[#This Row],[Course Title]],'TSD-Data'!$A$1:$E$56,5,FALSE)</f>
        <v>2</v>
      </c>
      <c r="T448" s="15"/>
      <c r="U448" s="15"/>
      <c r="V448" s="15"/>
      <c r="W448" s="104"/>
      <c r="X448" s="104"/>
      <c r="Y448" s="100"/>
      <c r="Z448" s="100"/>
      <c r="AA448" s="104"/>
      <c r="AB448" s="99"/>
      <c r="AC448" s="71">
        <f ca="1">Table2[[#This Row],[End Date]]+2-TODAY()</f>
        <v>347</v>
      </c>
      <c r="AD448" s="15">
        <f>IF(ISBLANK(Table2[[#This Row],[Roster Received By]]),1,0)</f>
        <v>1</v>
      </c>
      <c r="AE448" s="15">
        <f ca="1">IF(Table2[[#This Row],[Start Date]]&gt;TODAY(),1,)</f>
        <v>1</v>
      </c>
      <c r="AF448" s="62"/>
    </row>
    <row r="449" spans="1:32" x14ac:dyDescent="0.25">
      <c r="A449" s="62"/>
      <c r="B449" s="99" t="s">
        <v>57</v>
      </c>
      <c r="C449" s="100" t="str">
        <f>VLOOKUP(Table2[[#This Row],[Course Title]],'TSD-Data'!$A$1:$E$56,2,FALSE)</f>
        <v>A-493-0099</v>
      </c>
      <c r="D449" s="100" t="str">
        <f>VLOOKUP(Table2[[#This Row],[Course Title]],'TSD-Data'!$A$1:$E$56,3,FALSE)</f>
        <v>12JW</v>
      </c>
      <c r="E449" s="122" t="s">
        <v>80</v>
      </c>
      <c r="F449" s="102">
        <v>45874</v>
      </c>
      <c r="G449" s="102">
        <v>45876</v>
      </c>
      <c r="H449" s="102"/>
      <c r="I449" s="105">
        <v>0.41666666666666669</v>
      </c>
      <c r="J449" s="101">
        <v>0.29166666666666669</v>
      </c>
      <c r="K449" s="101">
        <v>0.70833333333333337</v>
      </c>
      <c r="L449" s="101">
        <v>0.66666666666666663</v>
      </c>
      <c r="M449" s="101">
        <v>0.16666666666666666</v>
      </c>
      <c r="N449" s="101">
        <v>0.95833333333333337</v>
      </c>
      <c r="O449" s="15" t="s">
        <v>394</v>
      </c>
      <c r="P449" s="15"/>
      <c r="Q449" s="15">
        <f>VLOOKUP(Table2[[#This Row],[Course Title]],'TSD-Data'!$A$1:$E$56,4,FALSE)</f>
        <v>45</v>
      </c>
      <c r="R449" s="15">
        <f>VLOOKUP(Table2[[#This Row],[Course Title]],'TSD-Data'!$A$1:$F$53,6,FALSE)</f>
        <v>24</v>
      </c>
      <c r="S449" s="15">
        <f>VLOOKUP(Table2[[#This Row],[Course Title]],'TSD-Data'!$A$1:$E$56,5,FALSE)</f>
        <v>3</v>
      </c>
      <c r="T449" s="15"/>
      <c r="U449" s="15"/>
      <c r="V449" s="15"/>
      <c r="W449" s="15"/>
      <c r="X449" s="103"/>
      <c r="Y449" s="15"/>
      <c r="Z449" s="15"/>
      <c r="AA449" s="103"/>
      <c r="AB449" s="99"/>
      <c r="AC449" s="71">
        <f ca="1">Table2[[#This Row],[End Date]]+2-TODAY()</f>
        <v>346</v>
      </c>
      <c r="AD449" s="15">
        <f>IF(ISBLANK(Table2[[#This Row],[Roster Received By]]),1,0)</f>
        <v>1</v>
      </c>
      <c r="AE449" s="15">
        <f ca="1">IF(Table2[[#This Row],[Start Date]]&gt;TODAY(),1,)</f>
        <v>1</v>
      </c>
      <c r="AF449" s="62"/>
    </row>
    <row r="450" spans="1:32" x14ac:dyDescent="0.25">
      <c r="A450" s="62"/>
      <c r="B450" s="99" t="s">
        <v>50</v>
      </c>
      <c r="C450" s="100" t="str">
        <f>VLOOKUP(Table2[[#This Row],[Course Title]],'TSD-Data'!$A$1:$E$56,2,FALSE)</f>
        <v>A-493-0331</v>
      </c>
      <c r="D450" s="100" t="str">
        <f>VLOOKUP(Table2[[#This Row],[Course Title]],'TSD-Data'!$A$1:$E$56,3,FALSE)</f>
        <v>10UG</v>
      </c>
      <c r="E450" s="122" t="s">
        <v>80</v>
      </c>
      <c r="F450" s="67">
        <v>45874</v>
      </c>
      <c r="G450" s="102">
        <v>45876</v>
      </c>
      <c r="H450" s="105"/>
      <c r="I450" s="105">
        <v>0.79166666666666663</v>
      </c>
      <c r="J450" s="101">
        <v>0.66666666666666663</v>
      </c>
      <c r="K450" s="101">
        <v>8.3333333333333329E-2</v>
      </c>
      <c r="L450" s="101">
        <v>0</v>
      </c>
      <c r="M450" s="101">
        <v>0.54166666666666663</v>
      </c>
      <c r="N450" s="101">
        <v>0.33333333333333331</v>
      </c>
      <c r="O450" s="15" t="s">
        <v>394</v>
      </c>
      <c r="P450" s="15"/>
      <c r="Q450" s="15">
        <f>VLOOKUP(Table2[[#This Row],[Course Title]],'TSD-Data'!$A$1:$E$56,4,FALSE)</f>
        <v>45</v>
      </c>
      <c r="R450" s="15">
        <f>VLOOKUP(Table2[[#This Row],[Course Title]],'TSD-Data'!$A$1:$F$53,6,FALSE)</f>
        <v>24</v>
      </c>
      <c r="S450" s="15">
        <f>VLOOKUP(Table2[[#This Row],[Course Title]],'TSD-Data'!$A$1:$E$56,5,FALSE)</f>
        <v>3</v>
      </c>
      <c r="T450" s="15"/>
      <c r="U450" s="15"/>
      <c r="V450" s="15"/>
      <c r="W450" s="15"/>
      <c r="X450" s="103"/>
      <c r="Y450" s="15"/>
      <c r="Z450" s="15"/>
      <c r="AA450" s="15"/>
      <c r="AB450" s="99"/>
      <c r="AC450" s="71">
        <f ca="1">Table2[[#This Row],[End Date]]+2-TODAY()</f>
        <v>346</v>
      </c>
      <c r="AD450" s="15">
        <f>IF(ISBLANK(Table2[[#This Row],[Roster Received By]]),1,0)</f>
        <v>1</v>
      </c>
      <c r="AE450" s="15">
        <f ca="1">IF(Table2[[#This Row],[Start Date]]&gt;TODAY(),1,)</f>
        <v>1</v>
      </c>
      <c r="AF450" s="62"/>
    </row>
    <row r="451" spans="1:32" x14ac:dyDescent="0.25">
      <c r="A451" s="62"/>
      <c r="B451" s="99" t="s">
        <v>35</v>
      </c>
      <c r="C451" s="100" t="str">
        <f>VLOOKUP(Table2[[#This Row],[Course Title]],'TSD-Data'!$A$1:$E$56,2,FALSE)</f>
        <v>A-493-2501</v>
      </c>
      <c r="D451" s="100" t="str">
        <f>VLOOKUP(Table2[[#This Row],[Course Title]],'TSD-Data'!$A$1:$E$56,3,FALSE)</f>
        <v>05ZE</v>
      </c>
      <c r="E451" s="122" t="s">
        <v>153</v>
      </c>
      <c r="F451" s="102">
        <v>45874</v>
      </c>
      <c r="G451" s="102">
        <v>45874</v>
      </c>
      <c r="H451" s="105">
        <v>0.33333333333333331</v>
      </c>
      <c r="I451" s="105"/>
      <c r="J451" s="105"/>
      <c r="K451" s="105"/>
      <c r="L451" s="105"/>
      <c r="M451" s="105"/>
      <c r="N451" s="105"/>
      <c r="O451" s="15" t="s">
        <v>94</v>
      </c>
      <c r="P451" s="15"/>
      <c r="Q451" s="15">
        <f>VLOOKUP(Table2[[#This Row],[Course Title]],'TSD-Data'!$A$1:$E$56,4,FALSE)</f>
        <v>30</v>
      </c>
      <c r="R451" s="15">
        <f>VLOOKUP(Table2[[#This Row],[Course Title]],'TSD-Data'!$A$1:$F$53,6,FALSE)</f>
        <v>8</v>
      </c>
      <c r="S451" s="15">
        <f>VLOOKUP(Table2[[#This Row],[Course Title]],'TSD-Data'!$A$1:$E$56,5,FALSE)</f>
        <v>1</v>
      </c>
      <c r="T451" s="15">
        <v>38</v>
      </c>
      <c r="U451" s="15"/>
      <c r="V451" s="15"/>
      <c r="W451" s="15"/>
      <c r="X451" s="103"/>
      <c r="Y451" s="15"/>
      <c r="Z451" s="15"/>
      <c r="AA451" s="100"/>
      <c r="AB451" s="99"/>
      <c r="AC451" s="71">
        <f ca="1">Table2[[#This Row],[End Date]]+2-TODAY()</f>
        <v>344</v>
      </c>
      <c r="AD451" s="15">
        <f>IF(ISBLANK(Table2[[#This Row],[Roster Received By]]),1,0)</f>
        <v>1</v>
      </c>
      <c r="AE451" s="15">
        <f ca="1">IF(Table2[[#This Row],[Start Date]]&gt;TODAY(),1,)</f>
        <v>1</v>
      </c>
      <c r="AF451" s="62"/>
    </row>
    <row r="452" spans="1:32" x14ac:dyDescent="0.25">
      <c r="A452" s="99"/>
      <c r="B452" s="99" t="s">
        <v>33</v>
      </c>
      <c r="C452" s="100" t="str">
        <f>VLOOKUP(Table2[[#This Row],[Course Title]],'TSD-Data'!$A$1:$E$56,2,FALSE)</f>
        <v>A-493-2301</v>
      </c>
      <c r="D452" s="100" t="str">
        <f>VLOOKUP(Table2[[#This Row],[Course Title]],'TSD-Data'!$A$1:$E$56,3,FALSE)</f>
        <v>05ZD</v>
      </c>
      <c r="E452" s="122" t="s">
        <v>168</v>
      </c>
      <c r="F452" s="102">
        <v>45875</v>
      </c>
      <c r="G452" s="102">
        <v>45875</v>
      </c>
      <c r="H452" s="105">
        <v>0.33333333333333331</v>
      </c>
      <c r="I452" s="105"/>
      <c r="J452" s="105"/>
      <c r="K452" s="105"/>
      <c r="L452" s="105"/>
      <c r="M452" s="105"/>
      <c r="N452" s="105"/>
      <c r="O452" s="15" t="s">
        <v>94</v>
      </c>
      <c r="P452" s="15"/>
      <c r="Q452" s="15">
        <f>VLOOKUP(Table2[[#This Row],[Course Title]],'TSD-Data'!$A$1:$E$56,4,FALSE)</f>
        <v>30</v>
      </c>
      <c r="R452" s="15">
        <f>VLOOKUP(Table2[[#This Row],[Course Title]],'TSD-Data'!$A$1:$F$53,6,FALSE)</f>
        <v>8</v>
      </c>
      <c r="S452" s="15">
        <f>VLOOKUP(Table2[[#This Row],[Course Title]],'TSD-Data'!$A$1:$E$56,5,FALSE)</f>
        <v>1</v>
      </c>
      <c r="T452" s="15">
        <v>52</v>
      </c>
      <c r="U452" s="15"/>
      <c r="V452" s="15"/>
      <c r="W452" s="15"/>
      <c r="X452" s="103"/>
      <c r="Y452" s="15"/>
      <c r="Z452" s="15"/>
      <c r="AA452" s="100"/>
      <c r="AB452" s="99"/>
      <c r="AC452" s="71">
        <f ca="1">Table2[[#This Row],[End Date]]+2-TODAY()</f>
        <v>345</v>
      </c>
      <c r="AD452" s="15">
        <f>IF(ISBLANK(Table2[[#This Row],[Roster Received By]]),1,0)</f>
        <v>1</v>
      </c>
      <c r="AE452" s="15">
        <f ca="1">IF(Table2[[#This Row],[Start Date]]&gt;TODAY(),1,)</f>
        <v>1</v>
      </c>
      <c r="AF452" s="62"/>
    </row>
    <row r="453" spans="1:32" x14ac:dyDescent="0.25">
      <c r="A453" s="62"/>
      <c r="B453" s="99" t="s">
        <v>31</v>
      </c>
      <c r="C453" s="100" t="str">
        <f>VLOOKUP(Table2[[#This Row],[Course Title]],'TSD-Data'!$A$1:$E$56,2,FALSE)</f>
        <v>A-493-0083</v>
      </c>
      <c r="D453" s="100" t="str">
        <f>VLOOKUP(Table2[[#This Row],[Course Title]],'TSD-Data'!$A$1:$E$56,3,FALSE)</f>
        <v>339E</v>
      </c>
      <c r="E453" s="99" t="s">
        <v>268</v>
      </c>
      <c r="F453" s="102">
        <v>45876</v>
      </c>
      <c r="G453" s="102">
        <v>45876</v>
      </c>
      <c r="H453" s="105">
        <v>0.33333333333333331</v>
      </c>
      <c r="I453" s="105"/>
      <c r="J453" s="105"/>
      <c r="K453" s="105"/>
      <c r="L453" s="105"/>
      <c r="M453" s="105"/>
      <c r="N453" s="105"/>
      <c r="O453" s="15" t="s">
        <v>94</v>
      </c>
      <c r="P453" s="15"/>
      <c r="Q453" s="15">
        <f>VLOOKUP(Table2[[#This Row],[Course Title]],'TSD-Data'!$A$1:$E$56,4,FALSE)</f>
        <v>30</v>
      </c>
      <c r="R453" s="15">
        <f>VLOOKUP(Table2[[#This Row],[Course Title]],'TSD-Data'!$A$1:$F$53,6,FALSE)</f>
        <v>8</v>
      </c>
      <c r="S453" s="15">
        <f>VLOOKUP(Table2[[#This Row],[Course Title]],'TSD-Data'!$A$1:$E$56,5,FALSE)</f>
        <v>1</v>
      </c>
      <c r="T453" s="15">
        <v>143</v>
      </c>
      <c r="U453" s="15"/>
      <c r="V453" s="15"/>
      <c r="W453" s="15"/>
      <c r="X453" s="103"/>
      <c r="Y453" s="15"/>
      <c r="Z453" s="15"/>
      <c r="AA453" s="100"/>
      <c r="AB453" s="99"/>
      <c r="AC453" s="71">
        <f ca="1">Table2[[#This Row],[End Date]]+2-TODAY()</f>
        <v>346</v>
      </c>
      <c r="AD453" s="15">
        <f>IF(ISBLANK(Table2[[#This Row],[Roster Received By]]),1,0)</f>
        <v>1</v>
      </c>
      <c r="AE453" s="15">
        <f ca="1">IF(Table2[[#This Row],[Start Date]]&gt;TODAY(),1,)</f>
        <v>1</v>
      </c>
      <c r="AF453" s="62"/>
    </row>
    <row r="454" spans="1:32" x14ac:dyDescent="0.25">
      <c r="A454" s="62"/>
      <c r="B454" s="99" t="s">
        <v>35</v>
      </c>
      <c r="C454" s="100" t="str">
        <f>VLOOKUP(Table2[[#This Row],[Course Title]],'TSD-Data'!$A$1:$E$56,2,FALSE)</f>
        <v>A-493-2501</v>
      </c>
      <c r="D454" s="100" t="str">
        <f>VLOOKUP(Table2[[#This Row],[Course Title]],'TSD-Data'!$A$1:$E$56,3,FALSE)</f>
        <v>05ZE</v>
      </c>
      <c r="E454" s="99" t="s">
        <v>168</v>
      </c>
      <c r="F454" s="102">
        <v>45876</v>
      </c>
      <c r="G454" s="102">
        <v>45876</v>
      </c>
      <c r="H454" s="105">
        <v>0.33333333333333331</v>
      </c>
      <c r="I454" s="105"/>
      <c r="J454" s="105"/>
      <c r="K454" s="105"/>
      <c r="L454" s="105"/>
      <c r="M454" s="105"/>
      <c r="N454" s="105"/>
      <c r="O454" s="15" t="s">
        <v>94</v>
      </c>
      <c r="P454" s="15"/>
      <c r="Q454" s="15">
        <f>VLOOKUP(Table2[[#This Row],[Course Title]],'TSD-Data'!$A$1:$E$56,4,FALSE)</f>
        <v>30</v>
      </c>
      <c r="R454" s="15">
        <f>VLOOKUP(Table2[[#This Row],[Course Title]],'TSD-Data'!$A$1:$F$53,6,FALSE)</f>
        <v>8</v>
      </c>
      <c r="S454" s="15">
        <f>VLOOKUP(Table2[[#This Row],[Course Title]],'TSD-Data'!$A$1:$E$56,5,FALSE)</f>
        <v>1</v>
      </c>
      <c r="T454" s="15">
        <v>51</v>
      </c>
      <c r="U454" s="15"/>
      <c r="V454" s="15"/>
      <c r="W454" s="15"/>
      <c r="X454" s="103"/>
      <c r="Y454" s="15"/>
      <c r="Z454" s="15"/>
      <c r="AA454" s="100"/>
      <c r="AB454" s="99"/>
      <c r="AC454" s="71">
        <f ca="1">Table2[[#This Row],[End Date]]+2-TODAY()</f>
        <v>346</v>
      </c>
      <c r="AD454" s="15">
        <f>IF(ISBLANK(Table2[[#This Row],[Roster Received By]]),1,0)</f>
        <v>1</v>
      </c>
      <c r="AE454" s="15">
        <f ca="1">IF(Table2[[#This Row],[Start Date]]&gt;TODAY(),1,)</f>
        <v>1</v>
      </c>
      <c r="AF454" s="62"/>
    </row>
    <row r="455" spans="1:32" x14ac:dyDescent="0.25">
      <c r="A455" s="62"/>
      <c r="B455" s="99" t="s">
        <v>46</v>
      </c>
      <c r="C455" s="100" t="str">
        <f>VLOOKUP(Table2[[#This Row],[Course Title]],'TSD-Data'!$A$1:$E$56,2,FALSE)</f>
        <v>A-493-0070</v>
      </c>
      <c r="D455" s="100" t="str">
        <f>VLOOKUP(Table2[[#This Row],[Course Title]],'TSD-Data'!$A$1:$E$56,3,FALSE)</f>
        <v>450V</v>
      </c>
      <c r="E455" s="99" t="s">
        <v>80</v>
      </c>
      <c r="F455" s="67">
        <v>45880</v>
      </c>
      <c r="G455" s="67">
        <v>45881</v>
      </c>
      <c r="H455" s="67"/>
      <c r="I455" s="101">
        <v>0.25</v>
      </c>
      <c r="J455" s="105">
        <v>0.125</v>
      </c>
      <c r="K455" s="105">
        <v>0.54166666666666663</v>
      </c>
      <c r="L455" s="105">
        <v>0.5</v>
      </c>
      <c r="M455" s="105">
        <v>0</v>
      </c>
      <c r="N455" s="105">
        <v>0.79166666666666663</v>
      </c>
      <c r="O455" s="15" t="s">
        <v>394</v>
      </c>
      <c r="P455" s="15"/>
      <c r="Q455" s="15">
        <f>VLOOKUP(Table2[[#This Row],[Course Title]],'TSD-Data'!$A$1:$E$56,4,FALSE)</f>
        <v>30</v>
      </c>
      <c r="R455" s="15">
        <f>VLOOKUP(Table2[[#This Row],[Course Title]],'TSD-Data'!$A$1:$F$53,6,FALSE)</f>
        <v>8</v>
      </c>
      <c r="S455" s="15">
        <f>VLOOKUP(Table2[[#This Row],[Course Title]],'TSD-Data'!$A$1:$E$56,5,FALSE)</f>
        <v>1</v>
      </c>
      <c r="T455" s="15"/>
      <c r="U455" s="15"/>
      <c r="V455" s="15"/>
      <c r="W455" s="15"/>
      <c r="X455" s="103"/>
      <c r="Y455" s="15"/>
      <c r="Z455" s="15"/>
      <c r="AA455" s="15"/>
      <c r="AB455" s="99"/>
      <c r="AC455" s="71">
        <f ca="1">Table2[[#This Row],[End Date]]+2-TODAY()</f>
        <v>351</v>
      </c>
      <c r="AD455" s="15">
        <f>IF(ISBLANK(Table2[[#This Row],[Roster Received By]]),1,0)</f>
        <v>1</v>
      </c>
      <c r="AE455" s="15">
        <f ca="1">IF(Table2[[#This Row],[Start Date]]&gt;TODAY(),1,)</f>
        <v>1</v>
      </c>
      <c r="AF455" s="62"/>
    </row>
    <row r="456" spans="1:32" x14ac:dyDescent="0.25">
      <c r="A456" s="62"/>
      <c r="B456" s="99" t="s">
        <v>37</v>
      </c>
      <c r="C456" s="100" t="str">
        <f>VLOOKUP(Table2[[#This Row],[Course Title]],'TSD-Data'!$A$1:$E$56,2,FALSE)</f>
        <v>A-493-0665</v>
      </c>
      <c r="D456" s="100" t="str">
        <f>VLOOKUP(Table2[[#This Row],[Course Title]],'TSD-Data'!$A$1:$E$56,3,FALSE)</f>
        <v>10KW</v>
      </c>
      <c r="E456" s="99" t="s">
        <v>80</v>
      </c>
      <c r="F456" s="102">
        <v>45880</v>
      </c>
      <c r="G456" s="102">
        <v>45884</v>
      </c>
      <c r="H456" s="105"/>
      <c r="I456" s="105">
        <v>0.33333333333333331</v>
      </c>
      <c r="J456" s="105">
        <v>0.20833333333333334</v>
      </c>
      <c r="K456" s="105">
        <v>0.625</v>
      </c>
      <c r="L456" s="105">
        <v>0.54166666666666663</v>
      </c>
      <c r="M456" s="105">
        <v>8.3333333333333329E-2</v>
      </c>
      <c r="N456" s="105">
        <v>0.875</v>
      </c>
      <c r="O456" s="15" t="s">
        <v>394</v>
      </c>
      <c r="P456" s="15"/>
      <c r="Q456" s="15">
        <f>VLOOKUP(Table2[[#This Row],[Course Title]],'TSD-Data'!$A$1:$E$56,4,FALSE)</f>
        <v>45</v>
      </c>
      <c r="R456" s="15">
        <f>VLOOKUP(Table2[[#This Row],[Course Title]],'TSD-Data'!$A$1:$F$53,6,FALSE)</f>
        <v>24</v>
      </c>
      <c r="S456" s="15">
        <f>VLOOKUP(Table2[[#This Row],[Course Title]],'TSD-Data'!$A$1:$E$56,5,FALSE)</f>
        <v>3</v>
      </c>
      <c r="T456" s="15"/>
      <c r="U456" s="15"/>
      <c r="V456" s="15"/>
      <c r="W456" s="103"/>
      <c r="X456" s="103"/>
      <c r="Y456" s="15"/>
      <c r="Z456" s="15"/>
      <c r="AA456" s="100"/>
      <c r="AB456" s="99"/>
      <c r="AC456" s="71">
        <f ca="1">Table2[[#This Row],[End Date]]+2-TODAY()</f>
        <v>354</v>
      </c>
      <c r="AD456" s="15">
        <f>IF(ISBLANK(Table2[[#This Row],[Roster Received By]]),1,0)</f>
        <v>1</v>
      </c>
      <c r="AE456" s="15">
        <f ca="1">IF(Table2[[#This Row],[Start Date]]&gt;TODAY(),1,)</f>
        <v>1</v>
      </c>
      <c r="AF456" s="62"/>
    </row>
    <row r="457" spans="1:32" x14ac:dyDescent="0.25">
      <c r="A457" s="99"/>
      <c r="B457" s="99" t="s">
        <v>48</v>
      </c>
      <c r="C457" s="100" t="str">
        <f>VLOOKUP(Table2[[#This Row],[Course Title]],'TSD-Data'!$A$1:$E$56,2,FALSE)</f>
        <v>A-760-2166</v>
      </c>
      <c r="D457" s="100" t="str">
        <f>VLOOKUP(Table2[[#This Row],[Course Title]],'TSD-Data'!$A$1:$E$56,3,FALSE)</f>
        <v>438J</v>
      </c>
      <c r="E457" s="99" t="s">
        <v>121</v>
      </c>
      <c r="F457" s="102">
        <v>45880</v>
      </c>
      <c r="G457" s="102">
        <v>45881</v>
      </c>
      <c r="H457" s="105">
        <v>0.33333333333333331</v>
      </c>
      <c r="I457" s="108"/>
      <c r="J457" s="102"/>
      <c r="K457" s="102"/>
      <c r="L457" s="102"/>
      <c r="M457" s="102"/>
      <c r="N457" s="102"/>
      <c r="O457" s="15" t="s">
        <v>394</v>
      </c>
      <c r="P457" s="15"/>
      <c r="Q457" s="103">
        <f>VLOOKUP(Table2[[#This Row],[Course Title]],'TSD-Data'!$A$1:$E$56,4,FALSE)</f>
        <v>25</v>
      </c>
      <c r="R457" s="15">
        <f>VLOOKUP(Table2[[#This Row],[Course Title]],'TSD-Data'!$A$1:$F$53,6,FALSE)</f>
        <v>16</v>
      </c>
      <c r="S457" s="104">
        <f>VLOOKUP(Table2[[#This Row],[Course Title]],'TSD-Data'!$A$1:$E$56,5,FALSE)</f>
        <v>2</v>
      </c>
      <c r="T457" s="104"/>
      <c r="U457" s="104"/>
      <c r="V457" s="104"/>
      <c r="W457" s="103"/>
      <c r="X457" s="103"/>
      <c r="Y457" s="15"/>
      <c r="Z457" s="15"/>
      <c r="AA457" s="100"/>
      <c r="AB457" s="99"/>
      <c r="AC457" s="71">
        <f ca="1">Table2[[#This Row],[End Date]]+2-TODAY()</f>
        <v>351</v>
      </c>
      <c r="AD457" s="15">
        <f>IF(ISBLANK(Table2[[#This Row],[Roster Received By]]),1,0)</f>
        <v>1</v>
      </c>
      <c r="AE457" s="15">
        <f ca="1">IF(Table2[[#This Row],[Start Date]]&gt;TODAY(),1,)</f>
        <v>1</v>
      </c>
      <c r="AF457" s="62"/>
    </row>
    <row r="458" spans="1:32" x14ac:dyDescent="0.25">
      <c r="A458" s="62" t="s">
        <v>254</v>
      </c>
      <c r="B458" s="99" t="s">
        <v>17</v>
      </c>
      <c r="C458" s="100" t="str">
        <f>VLOOKUP(Table2[[#This Row],[Course Title]],'TSD-Data'!$A$1:$E$56,2,FALSE)</f>
        <v>A-493-0012</v>
      </c>
      <c r="D458" s="100">
        <f>VLOOKUP(Table2[[#This Row],[Course Title]],'TSD-Data'!$A$1:$E$56,3,FALSE)</f>
        <v>3682</v>
      </c>
      <c r="E458" s="99" t="s">
        <v>172</v>
      </c>
      <c r="F458" s="102">
        <v>45880</v>
      </c>
      <c r="G458" s="102">
        <v>45884</v>
      </c>
      <c r="H458" s="105">
        <v>0.33333333333333331</v>
      </c>
      <c r="I458" s="105"/>
      <c r="J458" s="105"/>
      <c r="K458" s="105"/>
      <c r="L458" s="105"/>
      <c r="M458" s="105"/>
      <c r="N458" s="102"/>
      <c r="O458" s="15" t="s">
        <v>94</v>
      </c>
      <c r="P458" s="15"/>
      <c r="Q458" s="15">
        <f>VLOOKUP(Table2[[#This Row],[Course Title]],'TSD-Data'!$A$1:$E$56,4,FALSE)</f>
        <v>40</v>
      </c>
      <c r="R458" s="15">
        <f>VLOOKUP(Table2[[#This Row],[Course Title]],'TSD-Data'!$A$1:$F$53,6,FALSE)</f>
        <v>40</v>
      </c>
      <c r="S458" s="15">
        <f>VLOOKUP(Table2[[#This Row],[Course Title]],'TSD-Data'!$A$1:$E$56,5,FALSE)</f>
        <v>5</v>
      </c>
      <c r="T458" s="15">
        <v>0</v>
      </c>
      <c r="U458" s="15"/>
      <c r="V458" s="15"/>
      <c r="W458" s="15"/>
      <c r="X458" s="103"/>
      <c r="Y458" s="15"/>
      <c r="Z458" s="15"/>
      <c r="AA458" s="100"/>
      <c r="AB458" s="99"/>
      <c r="AC458" s="71">
        <f ca="1">Table2[[#This Row],[End Date]]+2-TODAY()</f>
        <v>354</v>
      </c>
      <c r="AD458" s="15">
        <f>IF(ISBLANK(Table2[[#This Row],[Roster Received By]]),1,0)</f>
        <v>1</v>
      </c>
      <c r="AE458" s="15">
        <f ca="1">IF(Table2[[#This Row],[Start Date]]&gt;TODAY(),1,)</f>
        <v>1</v>
      </c>
      <c r="AF458" s="62"/>
    </row>
    <row r="459" spans="1:32" x14ac:dyDescent="0.25">
      <c r="A459" s="62"/>
      <c r="B459" s="99" t="s">
        <v>38</v>
      </c>
      <c r="C459" s="100" t="str">
        <f>VLOOKUP(Table2[[#This Row],[Course Title]],'TSD-Data'!$A$1:$E$56,2,FALSE)</f>
        <v>A-493-0061</v>
      </c>
      <c r="D459" s="100" t="str">
        <f>VLOOKUP(Table2[[#This Row],[Course Title]],'TSD-Data'!$A$1:$E$56,3,FALSE)</f>
        <v>288E</v>
      </c>
      <c r="E459" s="99" t="s">
        <v>80</v>
      </c>
      <c r="F459" s="102">
        <v>45880</v>
      </c>
      <c r="G459" s="102">
        <v>45883</v>
      </c>
      <c r="H459" s="105"/>
      <c r="I459" s="101">
        <v>0.33333333333333331</v>
      </c>
      <c r="J459" s="105">
        <v>0.20833333333333334</v>
      </c>
      <c r="K459" s="105">
        <v>0.625</v>
      </c>
      <c r="L459" s="105">
        <v>0.54166666666666663</v>
      </c>
      <c r="M459" s="105">
        <v>8.3333333333333329E-2</v>
      </c>
      <c r="N459" s="105">
        <v>0.875</v>
      </c>
      <c r="O459" s="15" t="s">
        <v>394</v>
      </c>
      <c r="P459" s="15"/>
      <c r="Q459" s="15">
        <f>VLOOKUP(Table2[[#This Row],[Course Title]],'TSD-Data'!$A$1:$E$56,4,FALSE)</f>
        <v>45</v>
      </c>
      <c r="R459" s="15">
        <f>VLOOKUP(Table2[[#This Row],[Course Title]],'TSD-Data'!$A$1:$F$53,6,FALSE)</f>
        <v>30</v>
      </c>
      <c r="S459" s="15">
        <f>VLOOKUP(Table2[[#This Row],[Course Title]],'TSD-Data'!$A$1:$E$56,5,FALSE)</f>
        <v>4</v>
      </c>
      <c r="T459" s="15"/>
      <c r="U459" s="15"/>
      <c r="V459" s="15"/>
      <c r="W459" s="15"/>
      <c r="X459" s="103"/>
      <c r="Y459" s="15"/>
      <c r="Z459" s="15"/>
      <c r="AA459" s="15"/>
      <c r="AB459" s="99"/>
      <c r="AC459" s="71">
        <f ca="1">Table2[[#This Row],[End Date]]+2-TODAY()</f>
        <v>353</v>
      </c>
      <c r="AD459" s="15">
        <f>IF(ISBLANK(Table2[[#This Row],[Roster Received By]]),1,0)</f>
        <v>1</v>
      </c>
      <c r="AE459" s="15">
        <f ca="1">IF(Table2[[#This Row],[Start Date]]&gt;TODAY(),1,)</f>
        <v>1</v>
      </c>
      <c r="AF459" s="62"/>
    </row>
    <row r="460" spans="1:32" x14ac:dyDescent="0.25">
      <c r="A460" s="62"/>
      <c r="B460" s="99" t="s">
        <v>32</v>
      </c>
      <c r="C460" s="100" t="str">
        <f>VLOOKUP(Table2[[#This Row],[Course Title]],'TSD-Data'!$A$1:$E$56,2,FALSE)</f>
        <v>A-493-2300</v>
      </c>
      <c r="D460" s="100" t="str">
        <f>VLOOKUP(Table2[[#This Row],[Course Title]],'TSD-Data'!$A$1:$E$56,3,FALSE)</f>
        <v>993F</v>
      </c>
      <c r="E460" s="99" t="s">
        <v>172</v>
      </c>
      <c r="F460" s="102">
        <v>45880</v>
      </c>
      <c r="G460" s="102">
        <v>45881</v>
      </c>
      <c r="H460" s="105">
        <v>0.33333333333333331</v>
      </c>
      <c r="I460" s="105"/>
      <c r="J460" s="105"/>
      <c r="K460" s="105"/>
      <c r="L460" s="105"/>
      <c r="M460" s="105"/>
      <c r="N460" s="105"/>
      <c r="O460" s="15" t="s">
        <v>94</v>
      </c>
      <c r="P460" s="15"/>
      <c r="Q460" s="15">
        <f>VLOOKUP(Table2[[#This Row],[Course Title]],'TSD-Data'!$A$1:$E$56,4,FALSE)</f>
        <v>30</v>
      </c>
      <c r="R460" s="15">
        <f>VLOOKUP(Table2[[#This Row],[Course Title]],'TSD-Data'!$A$1:$F$53,6,FALSE)</f>
        <v>16</v>
      </c>
      <c r="S460" s="15">
        <f>VLOOKUP(Table2[[#This Row],[Course Title]],'TSD-Data'!$A$1:$E$56,5,FALSE)</f>
        <v>2</v>
      </c>
      <c r="T460" s="15">
        <v>30</v>
      </c>
      <c r="U460" s="15"/>
      <c r="V460" s="15"/>
      <c r="W460" s="15"/>
      <c r="X460" s="103"/>
      <c r="Y460" s="15"/>
      <c r="Z460" s="15"/>
      <c r="AA460" s="100"/>
      <c r="AB460" s="99"/>
      <c r="AC460" s="71">
        <f ca="1">Table2[[#This Row],[End Date]]+2-TODAY()</f>
        <v>351</v>
      </c>
      <c r="AD460" s="15">
        <f>IF(ISBLANK(Table2[[#This Row],[Roster Received By]]),1,0)</f>
        <v>1</v>
      </c>
      <c r="AE460" s="15">
        <f ca="1">IF(Table2[[#This Row],[Start Date]]&gt;TODAY(),1,)</f>
        <v>1</v>
      </c>
      <c r="AF460" s="62"/>
    </row>
    <row r="461" spans="1:32" x14ac:dyDescent="0.25">
      <c r="A461" s="62"/>
      <c r="B461" s="99" t="s">
        <v>59</v>
      </c>
      <c r="C461" s="100" t="str">
        <f>VLOOKUP(Table2[[#This Row],[Course Title]],'TSD-Data'!$A$1:$E$56,2,FALSE)</f>
        <v>A-493-0550</v>
      </c>
      <c r="D461" s="100" t="str">
        <f>VLOOKUP(Table2[[#This Row],[Course Title]],'TSD-Data'!$A$1:$E$56,3,FALSE)</f>
        <v>09K5</v>
      </c>
      <c r="E461" s="99" t="s">
        <v>80</v>
      </c>
      <c r="F461" s="102">
        <v>45880</v>
      </c>
      <c r="G461" s="102">
        <v>45883</v>
      </c>
      <c r="H461" s="102"/>
      <c r="I461" s="105">
        <v>0.41666666666666669</v>
      </c>
      <c r="J461" s="101">
        <v>0.29166666666666669</v>
      </c>
      <c r="K461" s="101">
        <v>0.70833333333333337</v>
      </c>
      <c r="L461" s="101">
        <v>0.66666666666666663</v>
      </c>
      <c r="M461" s="101">
        <v>0.16666666666666666</v>
      </c>
      <c r="N461" s="101">
        <v>0.95833333333333337</v>
      </c>
      <c r="O461" s="15" t="s">
        <v>394</v>
      </c>
      <c r="P461" s="15"/>
      <c r="Q461" s="15">
        <f>VLOOKUP(Table2[[#This Row],[Course Title]],'TSD-Data'!$A$1:$E$56,4,FALSE)</f>
        <v>45</v>
      </c>
      <c r="R461" s="15">
        <f>VLOOKUP(Table2[[#This Row],[Course Title]],'TSD-Data'!$A$1:$F$53,6,FALSE)</f>
        <v>32</v>
      </c>
      <c r="S461" s="15">
        <f>VLOOKUP(Table2[[#This Row],[Course Title]],'TSD-Data'!$A$1:$E$56,5,FALSE)</f>
        <v>4</v>
      </c>
      <c r="T461" s="15"/>
      <c r="U461" s="15"/>
      <c r="V461" s="15"/>
      <c r="W461" s="15"/>
      <c r="X461" s="103"/>
      <c r="Y461" s="15"/>
      <c r="Z461" s="15"/>
      <c r="AA461" s="15"/>
      <c r="AB461" s="99"/>
      <c r="AC461" s="71">
        <f ca="1">Table2[[#This Row],[End Date]]+2-TODAY()</f>
        <v>353</v>
      </c>
      <c r="AD461" s="15">
        <f>IF(ISBLANK(Table2[[#This Row],[Roster Received By]]),1,0)</f>
        <v>1</v>
      </c>
      <c r="AE461" s="15">
        <f ca="1">IF(Table2[[#This Row],[Start Date]]&gt;TODAY(),1,)</f>
        <v>1</v>
      </c>
      <c r="AF461" s="62"/>
    </row>
    <row r="462" spans="1:32" x14ac:dyDescent="0.25">
      <c r="A462" s="62"/>
      <c r="B462" s="99" t="s">
        <v>61</v>
      </c>
      <c r="C462" s="100" t="str">
        <f>VLOOKUP(Table2[[#This Row],[Course Title]],'TSD-Data'!$A$1:$E$56,2,FALSE)</f>
        <v>A-493-0078</v>
      </c>
      <c r="D462" s="100">
        <f>VLOOKUP(Table2[[#This Row],[Course Title]],'TSD-Data'!$A$1:$E$56,3,FALSE)</f>
        <v>1228</v>
      </c>
      <c r="E462" s="99" t="s">
        <v>80</v>
      </c>
      <c r="F462" s="102">
        <v>45880</v>
      </c>
      <c r="G462" s="102">
        <v>45883</v>
      </c>
      <c r="H462" s="105"/>
      <c r="I462" s="105">
        <v>0.41666666666666669</v>
      </c>
      <c r="J462" s="101">
        <v>0.29166666666666669</v>
      </c>
      <c r="K462" s="101">
        <v>0.70833333333333337</v>
      </c>
      <c r="L462" s="101">
        <v>0.66666666666666663</v>
      </c>
      <c r="M462" s="101">
        <v>0.16666666666666666</v>
      </c>
      <c r="N462" s="101">
        <v>0.95833333333333337</v>
      </c>
      <c r="O462" s="15" t="s">
        <v>394</v>
      </c>
      <c r="P462" s="15"/>
      <c r="Q462" s="15">
        <f>VLOOKUP(Table2[[#This Row],[Course Title]],'TSD-Data'!$A$1:$E$56,4,FALSE)</f>
        <v>45</v>
      </c>
      <c r="R462" s="15">
        <f>VLOOKUP(Table2[[#This Row],[Course Title]],'TSD-Data'!$A$1:$F$53,6,FALSE)</f>
        <v>32</v>
      </c>
      <c r="S462" s="15">
        <f>VLOOKUP(Table2[[#This Row],[Course Title]],'TSD-Data'!$A$1:$E$56,5,FALSE)</f>
        <v>4</v>
      </c>
      <c r="T462" s="15"/>
      <c r="U462" s="15"/>
      <c r="V462" s="15"/>
      <c r="W462" s="15"/>
      <c r="X462" s="103"/>
      <c r="Y462" s="15"/>
      <c r="Z462" s="15"/>
      <c r="AA462" s="15"/>
      <c r="AB462" s="99"/>
      <c r="AC462" s="71">
        <f ca="1">Table2[[#This Row],[End Date]]+2-TODAY()</f>
        <v>353</v>
      </c>
      <c r="AD462" s="15">
        <f>IF(ISBLANK(Table2[[#This Row],[Roster Received By]]),1,0)</f>
        <v>1</v>
      </c>
      <c r="AE462" s="15">
        <f ca="1">IF(Table2[[#This Row],[Start Date]]&gt;TODAY(),1,)</f>
        <v>1</v>
      </c>
      <c r="AF462" s="62"/>
    </row>
    <row r="463" spans="1:32" x14ac:dyDescent="0.25">
      <c r="A463" s="62"/>
      <c r="B463" s="99" t="s">
        <v>52</v>
      </c>
      <c r="C463" s="100" t="str">
        <f>VLOOKUP(Table2[[#This Row],[Course Title]],'TSD-Data'!$A$1:$E$56,2,FALSE)</f>
        <v>A-493-0085</v>
      </c>
      <c r="D463" s="100">
        <f>VLOOKUP(Table2[[#This Row],[Course Title]],'TSD-Data'!$A$1:$E$56,3,FALSE)</f>
        <v>3555</v>
      </c>
      <c r="E463" s="99" t="s">
        <v>80</v>
      </c>
      <c r="F463" s="102">
        <v>45880</v>
      </c>
      <c r="G463" s="102">
        <v>45883</v>
      </c>
      <c r="H463" s="105"/>
      <c r="I463" s="101">
        <v>0.5</v>
      </c>
      <c r="J463" s="101">
        <v>0.375</v>
      </c>
      <c r="K463" s="101">
        <v>0.79166666666666663</v>
      </c>
      <c r="L463" s="101">
        <v>0.75</v>
      </c>
      <c r="M463" s="101">
        <v>0.25</v>
      </c>
      <c r="N463" s="101">
        <v>4.1666666666666664E-2</v>
      </c>
      <c r="O463" s="15" t="s">
        <v>394</v>
      </c>
      <c r="P463" s="15"/>
      <c r="Q463" s="15">
        <f>VLOOKUP(Table2[[#This Row],[Course Title]],'TSD-Data'!$A$1:$E$56,4,FALSE)</f>
        <v>45</v>
      </c>
      <c r="R463" s="15">
        <f>VLOOKUP(Table2[[#This Row],[Course Title]],'TSD-Data'!$A$1:$F$53,6,FALSE)</f>
        <v>32</v>
      </c>
      <c r="S463" s="15">
        <f>VLOOKUP(Table2[[#This Row],[Course Title]],'TSD-Data'!$A$1:$E$56,5,FALSE)</f>
        <v>4</v>
      </c>
      <c r="T463" s="15"/>
      <c r="U463" s="15"/>
      <c r="V463" s="15"/>
      <c r="W463" s="15"/>
      <c r="X463" s="103"/>
      <c r="Y463" s="15"/>
      <c r="Z463" s="15"/>
      <c r="AA463" s="15"/>
      <c r="AB463" s="99"/>
      <c r="AC463" s="71">
        <f ca="1">Table2[[#This Row],[End Date]]+2-TODAY()</f>
        <v>353</v>
      </c>
      <c r="AD463" s="15">
        <f>IF(ISBLANK(Table2[[#This Row],[Roster Received By]]),1,0)</f>
        <v>1</v>
      </c>
      <c r="AE463" s="15">
        <f ca="1">IF(Table2[[#This Row],[Start Date]]&gt;TODAY(),1,)</f>
        <v>1</v>
      </c>
      <c r="AF463" s="62"/>
    </row>
    <row r="464" spans="1:32" x14ac:dyDescent="0.25">
      <c r="A464" s="100"/>
      <c r="B464" s="99" t="s">
        <v>39</v>
      </c>
      <c r="C464" s="100" t="str">
        <f>VLOOKUP(Table2[[#This Row],[Course Title]],'TSD-Data'!$A$1:$E$56,2,FALSE)</f>
        <v>A-570-0100</v>
      </c>
      <c r="D464" s="100" t="str">
        <f>VLOOKUP(Table2[[#This Row],[Course Title]],'TSD-Data'!$A$1:$E$56,3,FALSE)</f>
        <v>18B7</v>
      </c>
      <c r="E464" s="99" t="s">
        <v>80</v>
      </c>
      <c r="F464" s="102">
        <v>45880</v>
      </c>
      <c r="G464" s="102">
        <v>45883</v>
      </c>
      <c r="H464" s="105"/>
      <c r="I464" s="105">
        <v>0.54166666666666663</v>
      </c>
      <c r="J464" s="101">
        <v>0.41666666666666669</v>
      </c>
      <c r="K464" s="101">
        <v>0.83333333333333337</v>
      </c>
      <c r="L464" s="101">
        <v>0.75</v>
      </c>
      <c r="M464" s="101">
        <v>0.29166666666666669</v>
      </c>
      <c r="N464" s="101">
        <v>8.3333333333333329E-2</v>
      </c>
      <c r="O464" s="15" t="s">
        <v>394</v>
      </c>
      <c r="P464" s="15"/>
      <c r="Q464" s="15">
        <f>VLOOKUP(Table2[[#This Row],[Course Title]],'TSD-Data'!$A$1:$E$56,4,FALSE)</f>
        <v>45</v>
      </c>
      <c r="R464" s="15">
        <f>VLOOKUP(Table2[[#This Row],[Course Title]],'TSD-Data'!$A$1:$F$53,6,FALSE)</f>
        <v>16</v>
      </c>
      <c r="S464" s="15">
        <f>VLOOKUP(Table2[[#This Row],[Course Title]],'TSD-Data'!$A$1:$E$56,5,FALSE)</f>
        <v>2</v>
      </c>
      <c r="T464" s="15"/>
      <c r="U464" s="15"/>
      <c r="V464" s="15"/>
      <c r="W464" s="104"/>
      <c r="X464" s="104"/>
      <c r="Y464" s="100"/>
      <c r="Z464" s="100"/>
      <c r="AA464" s="104"/>
      <c r="AB464" s="99"/>
      <c r="AC464" s="71">
        <f ca="1">Table2[[#This Row],[End Date]]+2-TODAY()</f>
        <v>353</v>
      </c>
      <c r="AD464" s="15">
        <f>IF(ISBLANK(Table2[[#This Row],[Roster Received By]]),1,0)</f>
        <v>1</v>
      </c>
      <c r="AE464" s="15">
        <f ca="1">IF(Table2[[#This Row],[Start Date]]&gt;TODAY(),1,)</f>
        <v>1</v>
      </c>
      <c r="AF464" s="62"/>
    </row>
    <row r="465" spans="1:32" x14ac:dyDescent="0.25">
      <c r="A465" s="100"/>
      <c r="B465" s="99" t="s">
        <v>54</v>
      </c>
      <c r="C465" s="100" t="str">
        <f>VLOOKUP(Table2[[#This Row],[Course Title]],'TSD-Data'!$A$1:$E$56,2,FALSE)</f>
        <v>F-4J-0023</v>
      </c>
      <c r="D465" s="100" t="str">
        <f>VLOOKUP(Table2[[#This Row],[Course Title]],'TSD-Data'!$A$1:$E$56,3,FALSE)</f>
        <v>11A2</v>
      </c>
      <c r="E465" s="99" t="s">
        <v>80</v>
      </c>
      <c r="F465" s="102">
        <v>45880</v>
      </c>
      <c r="G465" s="102">
        <v>45884</v>
      </c>
      <c r="H465" s="105"/>
      <c r="I465" s="105">
        <v>0.54166666666666663</v>
      </c>
      <c r="J465" s="101">
        <v>0.41666666666666669</v>
      </c>
      <c r="K465" s="101">
        <v>0.83333333333333337</v>
      </c>
      <c r="L465" s="101">
        <v>0.75</v>
      </c>
      <c r="M465" s="101">
        <v>0.29166666666666669</v>
      </c>
      <c r="N465" s="101">
        <v>8.3333333333333329E-2</v>
      </c>
      <c r="O465" s="15" t="s">
        <v>394</v>
      </c>
      <c r="P465" s="15"/>
      <c r="Q465" s="15">
        <f>VLOOKUP(Table2[[#This Row],[Course Title]],'TSD-Data'!$A$1:$E$56,4,FALSE)</f>
        <v>45</v>
      </c>
      <c r="R465" s="15">
        <f>VLOOKUP(Table2[[#This Row],[Course Title]],'TSD-Data'!$A$1:$F$53,6,FALSE)</f>
        <v>16</v>
      </c>
      <c r="S465" s="15">
        <f>VLOOKUP(Table2[[#This Row],[Course Title]],'TSD-Data'!$A$1:$E$56,5,FALSE)</f>
        <v>2</v>
      </c>
      <c r="T465" s="15"/>
      <c r="U465" s="15"/>
      <c r="V465" s="15"/>
      <c r="W465" s="104"/>
      <c r="X465" s="104"/>
      <c r="Y465" s="100"/>
      <c r="Z465" s="100"/>
      <c r="AA465" s="104"/>
      <c r="AB465" s="99"/>
      <c r="AC465" s="71">
        <f ca="1">Table2[[#This Row],[End Date]]+2-TODAY()</f>
        <v>354</v>
      </c>
      <c r="AD465" s="15">
        <f>IF(ISBLANK(Table2[[#This Row],[Roster Received By]]),1,0)</f>
        <v>1</v>
      </c>
      <c r="AE465" s="15">
        <f ca="1">IF(Table2[[#This Row],[Start Date]]&gt;TODAY(),1,)</f>
        <v>1</v>
      </c>
      <c r="AF465" s="62"/>
    </row>
    <row r="466" spans="1:32" x14ac:dyDescent="0.25">
      <c r="A466" s="62"/>
      <c r="B466" s="99" t="s">
        <v>58</v>
      </c>
      <c r="C466" s="100" t="str">
        <f>VLOOKUP(Table2[[#This Row],[Course Title]],'TSD-Data'!$A$1:$E$56,2,FALSE)</f>
        <v xml:space="preserve">A-493-0075 </v>
      </c>
      <c r="D466" s="100" t="str">
        <f>VLOOKUP(Table2[[#This Row],[Course Title]],'TSD-Data'!$A$1:$E$56,3,FALSE)</f>
        <v>714U</v>
      </c>
      <c r="E466" s="65" t="s">
        <v>292</v>
      </c>
      <c r="F466" s="67">
        <v>45881</v>
      </c>
      <c r="G466" s="102">
        <v>45884</v>
      </c>
      <c r="H466" s="105">
        <v>0.33333333333333331</v>
      </c>
      <c r="I466" s="105"/>
      <c r="J466" s="102"/>
      <c r="K466" s="102"/>
      <c r="L466" s="102"/>
      <c r="M466" s="102"/>
      <c r="N466" s="102"/>
      <c r="O466" s="15" t="s">
        <v>160</v>
      </c>
      <c r="P466" s="15"/>
      <c r="Q466" s="15">
        <f>VLOOKUP(Table2[[#This Row],[Course Title]],'TSD-Data'!$A$1:$E$56,4,FALSE)</f>
        <v>30</v>
      </c>
      <c r="R466" s="15">
        <f>VLOOKUP(Table2[[#This Row],[Course Title]],'TSD-Data'!$A$1:$F$53,6,FALSE)</f>
        <v>32</v>
      </c>
      <c r="S466" s="15">
        <f>VLOOKUP(Table2[[#This Row],[Course Title]],'TSD-Data'!$A$1:$E$56,5,FALSE)</f>
        <v>4</v>
      </c>
      <c r="T466" s="15">
        <v>137</v>
      </c>
      <c r="U466" s="15"/>
      <c r="V466" s="15"/>
      <c r="W466" s="15"/>
      <c r="X466" s="103"/>
      <c r="Y466" s="15"/>
      <c r="Z466" s="15"/>
      <c r="AA466" s="100"/>
      <c r="AB466" s="99"/>
      <c r="AC466" s="71">
        <f ca="1">Table2[[#This Row],[End Date]]+2-TODAY()</f>
        <v>354</v>
      </c>
      <c r="AD466" s="15">
        <f>IF(ISBLANK(Table2[[#This Row],[Roster Received By]]),1,0)</f>
        <v>1</v>
      </c>
      <c r="AE466" s="15">
        <f ca="1">IF(Table2[[#This Row],[Start Date]]&gt;TODAY(),1,)</f>
        <v>1</v>
      </c>
      <c r="AF466" s="62"/>
    </row>
    <row r="467" spans="1:32" x14ac:dyDescent="0.25">
      <c r="A467" s="62"/>
      <c r="B467" s="99" t="s">
        <v>42</v>
      </c>
      <c r="C467" s="100" t="str">
        <f>VLOOKUP(Table2[[#This Row],[Course Title]],'TSD-Data'!$A$1:$E$56,2,FALSE)</f>
        <v>A-493-0015</v>
      </c>
      <c r="D467" s="100">
        <f>VLOOKUP(Table2[[#This Row],[Course Title]],'TSD-Data'!$A$1:$E$56,3,FALSE)</f>
        <v>3879</v>
      </c>
      <c r="E467" s="99" t="s">
        <v>80</v>
      </c>
      <c r="F467" s="102">
        <v>45882</v>
      </c>
      <c r="G467" s="102">
        <v>45882</v>
      </c>
      <c r="H467" s="102"/>
      <c r="I467" s="105">
        <v>0.79166666666666663</v>
      </c>
      <c r="J467" s="101">
        <v>0.66666666666666663</v>
      </c>
      <c r="K467" s="101">
        <v>8.3333333333333329E-2</v>
      </c>
      <c r="L467" s="101">
        <v>0</v>
      </c>
      <c r="M467" s="101">
        <v>0.54166666666666663</v>
      </c>
      <c r="N467" s="101">
        <v>0.33333333333333331</v>
      </c>
      <c r="O467" s="15" t="s">
        <v>394</v>
      </c>
      <c r="P467" s="15"/>
      <c r="Q467" s="15">
        <f>VLOOKUP(Table2[[#This Row],[Course Title]],'TSD-Data'!$A$1:$E$56,4,FALSE)</f>
        <v>30</v>
      </c>
      <c r="R467" s="15">
        <f>VLOOKUP(Table2[[#This Row],[Course Title]],'TSD-Data'!$A$1:$F$53,6,FALSE)</f>
        <v>4</v>
      </c>
      <c r="S467" s="15">
        <f>VLOOKUP(Table2[[#This Row],[Course Title]],'TSD-Data'!$A$1:$E$56,5,FALSE)</f>
        <v>0.5</v>
      </c>
      <c r="T467" s="15"/>
      <c r="U467" s="15"/>
      <c r="V467" s="15"/>
      <c r="W467" s="15"/>
      <c r="X467" s="103"/>
      <c r="Y467" s="15"/>
      <c r="Z467" s="15"/>
      <c r="AA467" s="15"/>
      <c r="AB467" s="99"/>
      <c r="AC467" s="71">
        <f ca="1">Table2[[#This Row],[End Date]]+2-TODAY()</f>
        <v>352</v>
      </c>
      <c r="AD467" s="15">
        <f>IF(ISBLANK(Table2[[#This Row],[Roster Received By]]),1,0)</f>
        <v>1</v>
      </c>
      <c r="AE467" s="15">
        <f ca="1">IF(Table2[[#This Row],[Start Date]]&gt;TODAY(),1,)</f>
        <v>1</v>
      </c>
      <c r="AF467" s="62"/>
    </row>
    <row r="468" spans="1:32" x14ac:dyDescent="0.25">
      <c r="A468" s="62"/>
      <c r="B468" s="99" t="s">
        <v>49</v>
      </c>
      <c r="C468" s="100" t="str">
        <f>VLOOKUP(Table2[[#This Row],[Course Title]],'TSD-Data'!$A$1:$E$56,2,FALSE)</f>
        <v>A-493-0092</v>
      </c>
      <c r="D468" s="100">
        <f>VLOOKUP(Table2[[#This Row],[Course Title]],'TSD-Data'!$A$1:$E$56,3,FALSE)</f>
        <v>5891</v>
      </c>
      <c r="E468" s="99" t="s">
        <v>306</v>
      </c>
      <c r="F468" s="102">
        <v>45882</v>
      </c>
      <c r="G468" s="102">
        <v>45884</v>
      </c>
      <c r="H468" s="105">
        <v>0.33333333333333331</v>
      </c>
      <c r="I468" s="101"/>
      <c r="J468" s="101"/>
      <c r="K468" s="101"/>
      <c r="L468" s="101"/>
      <c r="M468" s="101"/>
      <c r="N468" s="101"/>
      <c r="O468" s="15" t="s">
        <v>394</v>
      </c>
      <c r="P468" s="15"/>
      <c r="Q468" s="15">
        <f>VLOOKUP(Table2[[#This Row],[Course Title]],'TSD-Data'!$A$1:$E$56,4,FALSE)</f>
        <v>25</v>
      </c>
      <c r="R468" s="15">
        <f>VLOOKUP(Table2[[#This Row],[Course Title]],'TSD-Data'!$A$1:$F$53,6,FALSE)</f>
        <v>24</v>
      </c>
      <c r="S468" s="15">
        <f>VLOOKUP(Table2[[#This Row],[Course Title]],'TSD-Data'!$A$1:$E$56,5,FALSE)</f>
        <v>3</v>
      </c>
      <c r="T468" s="15"/>
      <c r="U468" s="15"/>
      <c r="V468" s="15"/>
      <c r="W468" s="15"/>
      <c r="X468" s="103"/>
      <c r="Y468" s="15"/>
      <c r="Z468" s="15"/>
      <c r="AA468" s="103"/>
      <c r="AB468" s="99"/>
      <c r="AC468" s="71">
        <f ca="1">Table2[[#This Row],[End Date]]+2-TODAY()</f>
        <v>354</v>
      </c>
      <c r="AD468" s="15">
        <f>IF(ISBLANK(Table2[[#This Row],[Roster Received By]]),1,0)</f>
        <v>1</v>
      </c>
      <c r="AE468" s="15">
        <f ca="1">IF(Table2[[#This Row],[Start Date]]&gt;TODAY(),1,)</f>
        <v>1</v>
      </c>
      <c r="AF468" s="62"/>
    </row>
    <row r="469" spans="1:32" x14ac:dyDescent="0.25">
      <c r="A469" s="62"/>
      <c r="B469" s="99" t="s">
        <v>35</v>
      </c>
      <c r="C469" s="100" t="str">
        <f>VLOOKUP(Table2[[#This Row],[Course Title]],'TSD-Data'!$A$1:$E$56,2,FALSE)</f>
        <v>A-493-2501</v>
      </c>
      <c r="D469" s="100" t="str">
        <f>VLOOKUP(Table2[[#This Row],[Course Title]],'TSD-Data'!$A$1:$E$56,3,FALSE)</f>
        <v>05ZE</v>
      </c>
      <c r="E469" s="99" t="s">
        <v>172</v>
      </c>
      <c r="F469" s="102">
        <v>45882</v>
      </c>
      <c r="G469" s="102">
        <v>45882</v>
      </c>
      <c r="H469" s="105">
        <v>0.33333333333333331</v>
      </c>
      <c r="I469" s="105"/>
      <c r="J469" s="105"/>
      <c r="K469" s="105"/>
      <c r="L469" s="105"/>
      <c r="M469" s="105"/>
      <c r="N469" s="105"/>
      <c r="O469" s="15" t="s">
        <v>94</v>
      </c>
      <c r="P469" s="15"/>
      <c r="Q469" s="15">
        <f>VLOOKUP(Table2[[#This Row],[Course Title]],'TSD-Data'!$A$1:$E$56,4,FALSE)</f>
        <v>30</v>
      </c>
      <c r="R469" s="15">
        <f>VLOOKUP(Table2[[#This Row],[Course Title]],'TSD-Data'!$A$1:$F$53,6,FALSE)</f>
        <v>8</v>
      </c>
      <c r="S469" s="15">
        <f>VLOOKUP(Table2[[#This Row],[Course Title]],'TSD-Data'!$A$1:$E$56,5,FALSE)</f>
        <v>1</v>
      </c>
      <c r="T469" s="15">
        <v>35</v>
      </c>
      <c r="U469" s="15"/>
      <c r="V469" s="15"/>
      <c r="W469" s="15"/>
      <c r="X469" s="103"/>
      <c r="Y469" s="15"/>
      <c r="Z469" s="15"/>
      <c r="AA469" s="100"/>
      <c r="AB469" s="99"/>
      <c r="AC469" s="71">
        <f ca="1">Table2[[#This Row],[End Date]]+2-TODAY()</f>
        <v>352</v>
      </c>
      <c r="AD469" s="15">
        <f>IF(ISBLANK(Table2[[#This Row],[Roster Received By]]),1,0)</f>
        <v>1</v>
      </c>
      <c r="AE469" s="15">
        <f ca="1">IF(Table2[[#This Row],[Start Date]]&gt;TODAY(),1,)</f>
        <v>1</v>
      </c>
      <c r="AF469" s="62"/>
    </row>
    <row r="470" spans="1:32" x14ac:dyDescent="0.25">
      <c r="A470" s="62"/>
      <c r="B470" s="99" t="s">
        <v>44</v>
      </c>
      <c r="C470" s="100" t="str">
        <f>VLOOKUP(Table2[[#This Row],[Course Title]],'TSD-Data'!$A$1:$E$56,2,FALSE)</f>
        <v>A-493-0020</v>
      </c>
      <c r="D470" s="100">
        <f>VLOOKUP(Table2[[#This Row],[Course Title]],'TSD-Data'!$A$1:$E$56,3,FALSE)</f>
        <v>3888</v>
      </c>
      <c r="E470" s="99" t="s">
        <v>80</v>
      </c>
      <c r="F470" s="67">
        <v>45883</v>
      </c>
      <c r="G470" s="102">
        <v>45883</v>
      </c>
      <c r="H470" s="102"/>
      <c r="I470" s="101">
        <v>0.25</v>
      </c>
      <c r="J470" s="105">
        <v>0.125</v>
      </c>
      <c r="K470" s="105">
        <v>0.54166666666666663</v>
      </c>
      <c r="L470" s="105">
        <v>0.5</v>
      </c>
      <c r="M470" s="105">
        <v>0</v>
      </c>
      <c r="N470" s="105">
        <v>0.79166666666666663</v>
      </c>
      <c r="O470" s="15" t="s">
        <v>394</v>
      </c>
      <c r="P470" s="15"/>
      <c r="Q470" s="15">
        <f>VLOOKUP(Table2[[#This Row],[Course Title]],'TSD-Data'!$A$1:$E$56,4,FALSE)</f>
        <v>30</v>
      </c>
      <c r="R470" s="15">
        <f>VLOOKUP(Table2[[#This Row],[Course Title]],'TSD-Data'!$A$1:$F$53,6,FALSE)</f>
        <v>4</v>
      </c>
      <c r="S470" s="15">
        <f>VLOOKUP(Table2[[#This Row],[Course Title]],'TSD-Data'!$A$1:$E$56,5,FALSE)</f>
        <v>0.5</v>
      </c>
      <c r="T470" s="15"/>
      <c r="U470" s="15"/>
      <c r="V470" s="15"/>
      <c r="W470" s="15"/>
      <c r="X470" s="103"/>
      <c r="Y470" s="15"/>
      <c r="Z470" s="15"/>
      <c r="AA470" s="15"/>
      <c r="AB470" s="99"/>
      <c r="AC470" s="71">
        <f ca="1">Table2[[#This Row],[End Date]]+2-TODAY()</f>
        <v>353</v>
      </c>
      <c r="AD470" s="15">
        <f>IF(ISBLANK(Table2[[#This Row],[Roster Received By]]),1,0)</f>
        <v>1</v>
      </c>
      <c r="AE470" s="15">
        <f ca="1">IF(Table2[[#This Row],[Start Date]]&gt;TODAY(),1,)</f>
        <v>1</v>
      </c>
      <c r="AF470" s="62"/>
    </row>
    <row r="471" spans="1:32" x14ac:dyDescent="0.25">
      <c r="A471" s="62"/>
      <c r="B471" s="99" t="s">
        <v>33</v>
      </c>
      <c r="C471" s="100" t="str">
        <f>VLOOKUP(Table2[[#This Row],[Course Title]],'TSD-Data'!$A$1:$E$56,2,FALSE)</f>
        <v>A-493-2301</v>
      </c>
      <c r="D471" s="100" t="str">
        <f>VLOOKUP(Table2[[#This Row],[Course Title]],'TSD-Data'!$A$1:$E$56,3,FALSE)</f>
        <v>05ZD</v>
      </c>
      <c r="E471" s="99" t="s">
        <v>284</v>
      </c>
      <c r="F471" s="102">
        <v>45883</v>
      </c>
      <c r="G471" s="102">
        <v>45883</v>
      </c>
      <c r="H471" s="105">
        <v>0.33333333333333331</v>
      </c>
      <c r="I471" s="105"/>
      <c r="J471" s="105"/>
      <c r="K471" s="105"/>
      <c r="L471" s="105"/>
      <c r="M471" s="105"/>
      <c r="N471" s="105"/>
      <c r="O471" s="15" t="s">
        <v>94</v>
      </c>
      <c r="P471" s="15"/>
      <c r="Q471" s="15">
        <f>VLOOKUP(Table2[[#This Row],[Course Title]],'TSD-Data'!$A$1:$E$56,4,FALSE)</f>
        <v>30</v>
      </c>
      <c r="R471" s="15">
        <f>VLOOKUP(Table2[[#This Row],[Course Title]],'TSD-Data'!$A$1:$F$53,6,FALSE)</f>
        <v>8</v>
      </c>
      <c r="S471" s="15">
        <f>VLOOKUP(Table2[[#This Row],[Course Title]],'TSD-Data'!$A$1:$E$56,5,FALSE)</f>
        <v>1</v>
      </c>
      <c r="T471" s="15">
        <v>62</v>
      </c>
      <c r="U471" s="15"/>
      <c r="V471" s="15"/>
      <c r="W471" s="15"/>
      <c r="X471" s="103"/>
      <c r="Y471" s="15"/>
      <c r="Z471" s="15"/>
      <c r="AA471" s="100"/>
      <c r="AB471" s="99"/>
      <c r="AC471" s="71">
        <f ca="1">Table2[[#This Row],[End Date]]+2-TODAY()</f>
        <v>353</v>
      </c>
      <c r="AD471" s="15">
        <f>IF(ISBLANK(Table2[[#This Row],[Roster Received By]]),1,0)</f>
        <v>1</v>
      </c>
      <c r="AE471" s="15">
        <f ca="1">IF(Table2[[#This Row],[Start Date]]&gt;TODAY(),1,)</f>
        <v>1</v>
      </c>
      <c r="AF471" s="62"/>
    </row>
    <row r="472" spans="1:32" x14ac:dyDescent="0.25">
      <c r="A472" s="62" t="s">
        <v>425</v>
      </c>
      <c r="B472" s="99" t="s">
        <v>264</v>
      </c>
      <c r="C472" s="100" t="str">
        <f>VLOOKUP(Table2[[#This Row],[Course Title]],'TSD-Data'!$A$1:$E$56,2,FALSE)</f>
        <v>Function</v>
      </c>
      <c r="D472" s="100" t="str">
        <f>VLOOKUP(Table2[[#This Row],[Course Title]],'TSD-Data'!$A$1:$E$56,3,FALSE)</f>
        <v>Function</v>
      </c>
      <c r="E472" s="99" t="s">
        <v>267</v>
      </c>
      <c r="F472" s="102">
        <v>45884</v>
      </c>
      <c r="G472" s="102">
        <v>45884</v>
      </c>
      <c r="H472" s="102"/>
      <c r="I472" s="101"/>
      <c r="J472" s="105"/>
      <c r="K472" s="105"/>
      <c r="L472" s="105"/>
      <c r="M472" s="105"/>
      <c r="N472" s="105"/>
      <c r="O472" s="15"/>
      <c r="P472" s="15"/>
      <c r="Q472" s="15">
        <f>VLOOKUP(Table2[[#This Row],[Course Title]],'TSD-Data'!$A$1:$E$56,4,FALSE)</f>
        <v>0</v>
      </c>
      <c r="R472" s="15">
        <f>VLOOKUP(Table2[[#This Row],[Course Title]],'TSD-Data'!$A$1:$F$53,6,FALSE)</f>
        <v>0</v>
      </c>
      <c r="S472" s="15">
        <f>VLOOKUP(Table2[[#This Row],[Course Title]],'TSD-Data'!$A$1:$E$56,5,FALSE)</f>
        <v>0</v>
      </c>
      <c r="T472" s="15">
        <v>0</v>
      </c>
      <c r="U472" s="15"/>
      <c r="V472" s="15"/>
      <c r="W472" s="15">
        <v>0</v>
      </c>
      <c r="X472" s="15">
        <v>0</v>
      </c>
      <c r="Y472" s="15">
        <v>0</v>
      </c>
      <c r="Z472" s="15">
        <v>0</v>
      </c>
      <c r="AA472" s="15">
        <v>0</v>
      </c>
      <c r="AB472" s="99" t="s">
        <v>100</v>
      </c>
      <c r="AC472" s="71">
        <f ca="1">Table2[[#This Row],[End Date]]+2-TODAY()</f>
        <v>354</v>
      </c>
      <c r="AD472" s="15">
        <f>IF(ISBLANK(Table2[[#This Row],[Roster Received By]]),1,0)</f>
        <v>0</v>
      </c>
      <c r="AE472" s="15">
        <f ca="1">IF(Table2[[#This Row],[Start Date]]&gt;TODAY(),1,)</f>
        <v>1</v>
      </c>
      <c r="AF472" s="62"/>
    </row>
    <row r="473" spans="1:32" x14ac:dyDescent="0.25">
      <c r="A473" s="62"/>
      <c r="B473" s="99" t="s">
        <v>35</v>
      </c>
      <c r="C473" s="100" t="str">
        <f>VLOOKUP(Table2[[#This Row],[Course Title]],'TSD-Data'!$A$1:$E$56,2,FALSE)</f>
        <v>A-493-2501</v>
      </c>
      <c r="D473" s="100" t="str">
        <f>VLOOKUP(Table2[[#This Row],[Course Title]],'TSD-Data'!$A$1:$E$56,3,FALSE)</f>
        <v>05ZE</v>
      </c>
      <c r="E473" s="99" t="s">
        <v>284</v>
      </c>
      <c r="F473" s="102">
        <v>45884</v>
      </c>
      <c r="G473" s="102">
        <v>45884</v>
      </c>
      <c r="H473" s="105">
        <v>0.33333333333333331</v>
      </c>
      <c r="I473" s="105"/>
      <c r="J473" s="105"/>
      <c r="K473" s="105"/>
      <c r="L473" s="105"/>
      <c r="M473" s="105"/>
      <c r="N473" s="105"/>
      <c r="O473" s="15" t="s">
        <v>94</v>
      </c>
      <c r="P473" s="15"/>
      <c r="Q473" s="15">
        <f>VLOOKUP(Table2[[#This Row],[Course Title]],'TSD-Data'!$A$1:$E$56,4,FALSE)</f>
        <v>30</v>
      </c>
      <c r="R473" s="15">
        <f>VLOOKUP(Table2[[#This Row],[Course Title]],'TSD-Data'!$A$1:$F$53,6,FALSE)</f>
        <v>8</v>
      </c>
      <c r="S473" s="15">
        <f>VLOOKUP(Table2[[#This Row],[Course Title]],'TSD-Data'!$A$1:$E$56,5,FALSE)</f>
        <v>1</v>
      </c>
      <c r="T473" s="15">
        <v>60</v>
      </c>
      <c r="U473" s="15"/>
      <c r="V473" s="15"/>
      <c r="W473" s="15"/>
      <c r="X473" s="103"/>
      <c r="Y473" s="15"/>
      <c r="Z473" s="15"/>
      <c r="AA473" s="100"/>
      <c r="AB473" s="99"/>
      <c r="AC473" s="71">
        <f ca="1">Table2[[#This Row],[End Date]]+2-TODAY()</f>
        <v>354</v>
      </c>
      <c r="AD473" s="15">
        <f>IF(ISBLANK(Table2[[#This Row],[Roster Received By]]),1,0)</f>
        <v>1</v>
      </c>
      <c r="AE473" s="15">
        <f ca="1">IF(Table2[[#This Row],[Start Date]]&gt;TODAY(),1,)</f>
        <v>1</v>
      </c>
      <c r="AF473" s="62"/>
    </row>
    <row r="474" spans="1:32" x14ac:dyDescent="0.25">
      <c r="A474" s="62"/>
      <c r="B474" s="99" t="s">
        <v>165</v>
      </c>
      <c r="C474" s="100" t="str">
        <f>VLOOKUP(Table2[[#This Row],[Course Title]],'TSD-Data'!$A$1:$E$56,2,FALSE)</f>
        <v>A-322-2604</v>
      </c>
      <c r="D474" s="100" t="str">
        <f>VLOOKUP(Table2[[#This Row],[Course Title]],'TSD-Data'!$A$1:$E$56,3,FALSE)</f>
        <v>10ZZ</v>
      </c>
      <c r="E474" s="99" t="s">
        <v>80</v>
      </c>
      <c r="F474" s="102">
        <v>45886</v>
      </c>
      <c r="G474" s="102">
        <v>45890</v>
      </c>
      <c r="H474" s="105"/>
      <c r="I474" s="105">
        <v>0.79166666666666663</v>
      </c>
      <c r="J474" s="101">
        <v>0.66666666666666663</v>
      </c>
      <c r="K474" s="101">
        <v>8.3333333333333329E-2</v>
      </c>
      <c r="L474" s="101">
        <v>0</v>
      </c>
      <c r="M474" s="101">
        <v>0.54166666666666663</v>
      </c>
      <c r="N474" s="101">
        <v>0.33333333333333331</v>
      </c>
      <c r="O474" s="15" t="s">
        <v>394</v>
      </c>
      <c r="P474" s="15"/>
      <c r="Q474" s="15">
        <f>VLOOKUP(Table2[[#This Row],[Course Title]],'TSD-Data'!$A$1:$E$56,4,FALSE)</f>
        <v>45</v>
      </c>
      <c r="R474" s="15">
        <f>VLOOKUP(Table2[[#This Row],[Course Title]],'TSD-Data'!$A$1:$F$53,6,FALSE)</f>
        <v>24</v>
      </c>
      <c r="S474" s="15">
        <f>VLOOKUP(Table2[[#This Row],[Course Title]],'TSD-Data'!$A$1:$E$56,5,FALSE)</f>
        <v>3</v>
      </c>
      <c r="T474" s="15"/>
      <c r="U474" s="15"/>
      <c r="V474" s="15"/>
      <c r="W474" s="103"/>
      <c r="X474" s="103"/>
      <c r="Y474" s="15"/>
      <c r="Z474" s="15"/>
      <c r="AA474" s="100"/>
      <c r="AB474" s="99"/>
      <c r="AC474" s="71">
        <f ca="1">Table2[[#This Row],[End Date]]+2-TODAY()</f>
        <v>360</v>
      </c>
      <c r="AD474" s="15">
        <f>IF(ISBLANK(Table2[[#This Row],[Roster Received By]]),1,0)</f>
        <v>1</v>
      </c>
      <c r="AE474" s="15">
        <f ca="1">IF(Table2[[#This Row],[Start Date]]&gt;TODAY(),1,)</f>
        <v>1</v>
      </c>
      <c r="AF474" s="62"/>
    </row>
    <row r="475" spans="1:32" x14ac:dyDescent="0.25">
      <c r="A475" s="62"/>
      <c r="B475" s="99" t="s">
        <v>55</v>
      </c>
      <c r="C475" s="100" t="str">
        <f>VLOOKUP(Table2[[#This Row],[Course Title]],'TSD-Data'!$A$1:$E$56,2,FALSE)</f>
        <v>A-493-0103</v>
      </c>
      <c r="D475" s="100" t="str">
        <f>VLOOKUP(Table2[[#This Row],[Course Title]],'TSD-Data'!$A$1:$E$56,3,FALSE)</f>
        <v>12JY</v>
      </c>
      <c r="E475" s="99" t="s">
        <v>267</v>
      </c>
      <c r="F475" s="102">
        <v>45887</v>
      </c>
      <c r="G475" s="102">
        <v>45891</v>
      </c>
      <c r="H475" s="105">
        <v>0.33333333333333331</v>
      </c>
      <c r="I475" s="101"/>
      <c r="J475" s="101"/>
      <c r="K475" s="101"/>
      <c r="L475" s="101"/>
      <c r="M475" s="101"/>
      <c r="N475" s="101"/>
      <c r="O475" s="15" t="s">
        <v>160</v>
      </c>
      <c r="P475" s="15"/>
      <c r="Q475" s="15">
        <f>VLOOKUP(Table2[[#This Row],[Course Title]],'TSD-Data'!$A$1:$E$56,4,FALSE)</f>
        <v>25</v>
      </c>
      <c r="R475" s="15">
        <f>VLOOKUP(Table2[[#This Row],[Course Title]],'TSD-Data'!$A$1:$F$53,6,FALSE)</f>
        <v>40</v>
      </c>
      <c r="S475" s="15">
        <f>VLOOKUP(Table2[[#This Row],[Course Title]],'TSD-Data'!$A$1:$E$56,5,FALSE)</f>
        <v>5</v>
      </c>
      <c r="T475" s="15">
        <v>332</v>
      </c>
      <c r="U475" s="15"/>
      <c r="V475" s="15"/>
      <c r="W475" s="15"/>
      <c r="X475" s="103"/>
      <c r="Y475" s="15"/>
      <c r="Z475" s="15"/>
      <c r="AA475" s="15"/>
      <c r="AB475" s="99"/>
      <c r="AC475" s="71">
        <f ca="1">Table2[[#This Row],[End Date]]+2-TODAY()</f>
        <v>361</v>
      </c>
      <c r="AD475" s="15">
        <f>IF(ISBLANK(Table2[[#This Row],[Roster Received By]]),1,0)</f>
        <v>1</v>
      </c>
      <c r="AE475" s="15">
        <f ca="1">IF(Table2[[#This Row],[Start Date]]&gt;TODAY(),1,)</f>
        <v>1</v>
      </c>
      <c r="AF475" s="62"/>
    </row>
    <row r="476" spans="1:32" x14ac:dyDescent="0.25">
      <c r="A476" s="62"/>
      <c r="B476" s="116" t="s">
        <v>55</v>
      </c>
      <c r="C476" s="100" t="str">
        <f>VLOOKUP(Table2[[#This Row],[Course Title]],'TSD-Data'!$A$1:$E$56,2,FALSE)</f>
        <v>A-493-0103</v>
      </c>
      <c r="D476" s="100" t="str">
        <f>VLOOKUP(Table2[[#This Row],[Course Title]],'TSD-Data'!$A$1:$E$56,3,FALSE)</f>
        <v>12JY</v>
      </c>
      <c r="E476" s="99" t="s">
        <v>276</v>
      </c>
      <c r="F476" s="102">
        <v>45887</v>
      </c>
      <c r="G476" s="102">
        <v>45891</v>
      </c>
      <c r="H476" s="105">
        <v>0.33333333333333331</v>
      </c>
      <c r="I476" s="101"/>
      <c r="J476" s="101"/>
      <c r="K476" s="101"/>
      <c r="L476" s="101"/>
      <c r="M476" s="101"/>
      <c r="N476" s="101"/>
      <c r="O476" s="15" t="s">
        <v>160</v>
      </c>
      <c r="P476" s="15"/>
      <c r="Q476" s="15">
        <f>VLOOKUP(Table2[[#This Row],[Course Title]],'TSD-Data'!$A$1:$E$56,4,FALSE)</f>
        <v>25</v>
      </c>
      <c r="R476" s="15">
        <f>VLOOKUP(Table2[[#This Row],[Course Title]],'TSD-Data'!$A$1:$F$53,6,FALSE)</f>
        <v>40</v>
      </c>
      <c r="S476" s="15">
        <f>VLOOKUP(Table2[[#This Row],[Course Title]],'TSD-Data'!$A$1:$E$56,5,FALSE)</f>
        <v>5</v>
      </c>
      <c r="T476" s="15">
        <v>155</v>
      </c>
      <c r="U476" s="15"/>
      <c r="V476" s="15"/>
      <c r="W476" s="15"/>
      <c r="X476" s="103"/>
      <c r="Y476" s="15"/>
      <c r="Z476" s="15"/>
      <c r="AA476" s="15"/>
      <c r="AB476" s="99"/>
      <c r="AC476" s="71">
        <f ca="1">Table2[[#This Row],[End Date]]+2-TODAY()</f>
        <v>361</v>
      </c>
      <c r="AD476" s="15">
        <f>IF(ISBLANK(Table2[[#This Row],[Roster Received By]]),1,0)</f>
        <v>1</v>
      </c>
      <c r="AE476" s="15">
        <f ca="1">IF(Table2[[#This Row],[Start Date]]&gt;TODAY(),1,)</f>
        <v>1</v>
      </c>
      <c r="AF476" s="62"/>
    </row>
    <row r="477" spans="1:32" x14ac:dyDescent="0.25">
      <c r="A477" s="124" t="s">
        <v>397</v>
      </c>
      <c r="B477" s="116" t="s">
        <v>17</v>
      </c>
      <c r="C477" s="100" t="str">
        <f>VLOOKUP(Table2[[#This Row],[Course Title]],'TSD-Data'!$A$1:$E$56,2,FALSE)</f>
        <v>A-493-0012</v>
      </c>
      <c r="D477" s="100">
        <f>VLOOKUP(Table2[[#This Row],[Course Title]],'TSD-Data'!$A$1:$E$56,3,FALSE)</f>
        <v>3682</v>
      </c>
      <c r="E477" s="99" t="s">
        <v>202</v>
      </c>
      <c r="F477" s="102">
        <v>45887</v>
      </c>
      <c r="G477" s="102">
        <v>45891</v>
      </c>
      <c r="H477" s="105">
        <v>0.33333333333333331</v>
      </c>
      <c r="I477" s="105"/>
      <c r="J477" s="102"/>
      <c r="K477" s="102"/>
      <c r="L477" s="102"/>
      <c r="M477" s="102"/>
      <c r="N477" s="102"/>
      <c r="O477" s="15"/>
      <c r="P477" s="15"/>
      <c r="Q477" s="103">
        <f>VLOOKUP(Table2[[#This Row],[Course Title]],'TSD-Data'!$A$1:$E$56,4,FALSE)</f>
        <v>40</v>
      </c>
      <c r="R477" s="15">
        <f>VLOOKUP(Table2[[#This Row],[Course Title]],'TSD-Data'!$A$1:$F$53,6,FALSE)</f>
        <v>40</v>
      </c>
      <c r="S477" s="104">
        <f>VLOOKUP(Table2[[#This Row],[Course Title]],'TSD-Data'!$A$1:$E$56,5,FALSE)</f>
        <v>5</v>
      </c>
      <c r="T477" s="104">
        <v>0</v>
      </c>
      <c r="U477" s="104"/>
      <c r="V477" s="104"/>
      <c r="W477" s="104"/>
      <c r="X477" s="104"/>
      <c r="Y477" s="100"/>
      <c r="Z477" s="100"/>
      <c r="AA477" s="104"/>
      <c r="AB477" s="99"/>
      <c r="AC477" s="71">
        <f ca="1">Table2[[#This Row],[End Date]]+2-TODAY()</f>
        <v>361</v>
      </c>
      <c r="AD477" s="15">
        <f>IF(ISBLANK(Table2[[#This Row],[Roster Received By]]),1,0)</f>
        <v>1</v>
      </c>
      <c r="AE477" s="15">
        <f ca="1">IF(Table2[[#This Row],[Start Date]]&gt;TODAY(),1,)</f>
        <v>1</v>
      </c>
      <c r="AF477" s="62"/>
    </row>
    <row r="478" spans="1:32" x14ac:dyDescent="0.25">
      <c r="A478" s="62"/>
      <c r="B478" s="116" t="s">
        <v>29</v>
      </c>
      <c r="C478" s="100" t="str">
        <f>VLOOKUP(Table2[[#This Row],[Course Title]],'TSD-Data'!$A$1:$E$56,2,FALSE)</f>
        <v>A-493-0077</v>
      </c>
      <c r="D478" s="100" t="str">
        <f>VLOOKUP(Table2[[#This Row],[Course Title]],'TSD-Data'!$A$1:$E$56,3,FALSE)</f>
        <v>0381</v>
      </c>
      <c r="E478" s="99" t="s">
        <v>309</v>
      </c>
      <c r="F478" s="102">
        <v>45887</v>
      </c>
      <c r="G478" s="102">
        <v>45889</v>
      </c>
      <c r="H478" s="105">
        <v>0.33333333333333331</v>
      </c>
      <c r="I478" s="105"/>
      <c r="J478" s="105"/>
      <c r="K478" s="105"/>
      <c r="L478" s="105"/>
      <c r="M478" s="105"/>
      <c r="N478" s="105"/>
      <c r="O478" s="15" t="s">
        <v>94</v>
      </c>
      <c r="P478" s="15"/>
      <c r="Q478" s="15">
        <f>VLOOKUP(Table2[[#This Row],[Course Title]],'TSD-Data'!$A$1:$E$56,4,FALSE)</f>
        <v>25</v>
      </c>
      <c r="R478" s="15">
        <f>VLOOKUP(Table2[[#This Row],[Course Title]],'TSD-Data'!$A$1:$F$53,6,FALSE)</f>
        <v>24</v>
      </c>
      <c r="S478" s="15">
        <f>VLOOKUP(Table2[[#This Row],[Course Title]],'TSD-Data'!$A$1:$E$56,5,FALSE)</f>
        <v>3</v>
      </c>
      <c r="T478" s="15">
        <v>38</v>
      </c>
      <c r="U478" s="15"/>
      <c r="V478" s="15"/>
      <c r="W478" s="15"/>
      <c r="X478" s="103"/>
      <c r="Y478" s="15"/>
      <c r="Z478" s="15"/>
      <c r="AA478" s="100"/>
      <c r="AB478" s="99"/>
      <c r="AC478" s="71">
        <f ca="1">Table2[[#This Row],[End Date]]+2-TODAY()</f>
        <v>359</v>
      </c>
      <c r="AD478" s="15">
        <f>IF(ISBLANK(Table2[[#This Row],[Roster Received By]]),1,0)</f>
        <v>1</v>
      </c>
      <c r="AE478" s="15">
        <f ca="1">IF(Table2[[#This Row],[Start Date]]&gt;TODAY(),1,)</f>
        <v>1</v>
      </c>
      <c r="AF478" s="62"/>
    </row>
    <row r="479" spans="1:32" x14ac:dyDescent="0.25">
      <c r="A479" s="99"/>
      <c r="B479" s="116" t="s">
        <v>51</v>
      </c>
      <c r="C479" s="100" t="str">
        <f>VLOOKUP(Table2[[#This Row],[Course Title]],'TSD-Data'!$A$1:$E$56,2,FALSE)</f>
        <v>A-493-0335</v>
      </c>
      <c r="D479" s="100" t="str">
        <f>VLOOKUP(Table2[[#This Row],[Course Title]],'TSD-Data'!$A$1:$E$56,3,FALSE)</f>
        <v>09ND</v>
      </c>
      <c r="E479" s="99" t="s">
        <v>80</v>
      </c>
      <c r="F479" s="102">
        <v>45887</v>
      </c>
      <c r="G479" s="102">
        <v>45890</v>
      </c>
      <c r="H479" s="105"/>
      <c r="I479" s="101">
        <v>0.5</v>
      </c>
      <c r="J479" s="101">
        <v>0.375</v>
      </c>
      <c r="K479" s="101">
        <v>0.79166666666666663</v>
      </c>
      <c r="L479" s="101">
        <v>0.75</v>
      </c>
      <c r="M479" s="101">
        <v>0.25</v>
      </c>
      <c r="N479" s="101">
        <v>4.1666666666666664E-2</v>
      </c>
      <c r="O479" s="15" t="s">
        <v>394</v>
      </c>
      <c r="P479" s="15"/>
      <c r="Q479" s="15">
        <f>VLOOKUP(Table2[[#This Row],[Course Title]],'TSD-Data'!$A$1:$E$56,4,FALSE)</f>
        <v>45</v>
      </c>
      <c r="R479" s="15">
        <f>VLOOKUP(Table2[[#This Row],[Course Title]],'TSD-Data'!$A$1:$F$53,6,FALSE)</f>
        <v>32</v>
      </c>
      <c r="S479" s="15">
        <f>VLOOKUP(Table2[[#This Row],[Course Title]],'TSD-Data'!$A$1:$E$56,5,FALSE)</f>
        <v>4</v>
      </c>
      <c r="T479" s="15"/>
      <c r="U479" s="15"/>
      <c r="V479" s="15"/>
      <c r="W479" s="15"/>
      <c r="X479" s="103"/>
      <c r="Y479" s="15"/>
      <c r="Z479" s="15"/>
      <c r="AA479" s="15"/>
      <c r="AB479" s="99"/>
      <c r="AC479" s="71">
        <f ca="1">Table2[[#This Row],[End Date]]+2-TODAY()</f>
        <v>360</v>
      </c>
      <c r="AD479" s="15">
        <f>IF(ISBLANK(Table2[[#This Row],[Roster Received By]]),1,0)</f>
        <v>1</v>
      </c>
      <c r="AE479" s="15">
        <f ca="1">IF(Table2[[#This Row],[Start Date]]&gt;TODAY(),1,)</f>
        <v>1</v>
      </c>
      <c r="AF479" s="62"/>
    </row>
    <row r="480" spans="1:32" x14ac:dyDescent="0.25">
      <c r="A480" s="62"/>
      <c r="B480" s="116" t="s">
        <v>59</v>
      </c>
      <c r="C480" s="100" t="str">
        <f>VLOOKUP(Table2[[#This Row],[Course Title]],'TSD-Data'!$A$1:$E$56,2,FALSE)</f>
        <v>A-493-0550</v>
      </c>
      <c r="D480" s="100" t="str">
        <f>VLOOKUP(Table2[[#This Row],[Course Title]],'TSD-Data'!$A$1:$E$56,3,FALSE)</f>
        <v>09K5</v>
      </c>
      <c r="E480" s="99" t="s">
        <v>80</v>
      </c>
      <c r="F480" s="67">
        <v>45887</v>
      </c>
      <c r="G480" s="67">
        <v>45890</v>
      </c>
      <c r="H480" s="102"/>
      <c r="I480" s="101">
        <v>0.33333333333333331</v>
      </c>
      <c r="J480" s="105">
        <v>0.20833333333333334</v>
      </c>
      <c r="K480" s="105">
        <v>0.625</v>
      </c>
      <c r="L480" s="105">
        <v>0.54166666666666663</v>
      </c>
      <c r="M480" s="105">
        <v>8.3333333333333329E-2</v>
      </c>
      <c r="N480" s="105">
        <v>0.875</v>
      </c>
      <c r="O480" s="15" t="s">
        <v>394</v>
      </c>
      <c r="P480" s="15"/>
      <c r="Q480" s="15">
        <f>VLOOKUP(Table2[[#This Row],[Course Title]],'TSD-Data'!$A$1:$E$56,4,FALSE)</f>
        <v>45</v>
      </c>
      <c r="R480" s="15">
        <f>VLOOKUP(Table2[[#This Row],[Course Title]],'TSD-Data'!$A$1:$F$53,6,FALSE)</f>
        <v>32</v>
      </c>
      <c r="S480" s="15">
        <f>VLOOKUP(Table2[[#This Row],[Course Title]],'TSD-Data'!$A$1:$E$56,5,FALSE)</f>
        <v>4</v>
      </c>
      <c r="T480" s="15"/>
      <c r="U480" s="15"/>
      <c r="V480" s="15"/>
      <c r="W480" s="15"/>
      <c r="X480" s="103"/>
      <c r="Y480" s="15"/>
      <c r="Z480" s="15"/>
      <c r="AA480" s="15"/>
      <c r="AB480" s="99"/>
      <c r="AC480" s="71">
        <f ca="1">Table2[[#This Row],[End Date]]+2-TODAY()</f>
        <v>360</v>
      </c>
      <c r="AD480" s="15">
        <f>IF(ISBLANK(Table2[[#This Row],[Roster Received By]]),1,0)</f>
        <v>1</v>
      </c>
      <c r="AE480" s="15">
        <f ca="1">IF(Table2[[#This Row],[Start Date]]&gt;TODAY(),1,)</f>
        <v>1</v>
      </c>
      <c r="AF480" s="62"/>
    </row>
    <row r="481" spans="1:32" x14ac:dyDescent="0.25">
      <c r="A481" s="62"/>
      <c r="B481" s="116" t="s">
        <v>60</v>
      </c>
      <c r="C481" s="100" t="str">
        <f>VLOOKUP(Table2[[#This Row],[Course Title]],'TSD-Data'!$A$1:$E$56,2,FALSE)</f>
        <v>A-493-0073</v>
      </c>
      <c r="D481" s="100" t="str">
        <f>VLOOKUP(Table2[[#This Row],[Course Title]],'TSD-Data'!$A$1:$E$56,3,FALSE)</f>
        <v>714S</v>
      </c>
      <c r="E481" s="99" t="s">
        <v>80</v>
      </c>
      <c r="F481" s="102">
        <v>45887</v>
      </c>
      <c r="G481" s="102">
        <v>45890</v>
      </c>
      <c r="H481" s="105"/>
      <c r="I481" s="105">
        <v>0.33333333333333331</v>
      </c>
      <c r="J481" s="105">
        <v>0.20833333333333334</v>
      </c>
      <c r="K481" s="105">
        <v>0.625</v>
      </c>
      <c r="L481" s="105">
        <v>0.54166666666666663</v>
      </c>
      <c r="M481" s="105">
        <v>8.3333333333333329E-2</v>
      </c>
      <c r="N481" s="105">
        <v>0.875</v>
      </c>
      <c r="O481" s="15" t="s">
        <v>160</v>
      </c>
      <c r="P481" s="15"/>
      <c r="Q481" s="15">
        <f>VLOOKUP(Table2[[#This Row],[Course Title]],'TSD-Data'!$A$1:$E$56,4,FALSE)</f>
        <v>30</v>
      </c>
      <c r="R481" s="15">
        <f>VLOOKUP(Table2[[#This Row],[Course Title]],'TSD-Data'!$A$1:$F$53,6,FALSE)</f>
        <v>32</v>
      </c>
      <c r="S481" s="15">
        <f>VLOOKUP(Table2[[#This Row],[Course Title]],'TSD-Data'!$A$1:$E$56,5,FALSE)</f>
        <v>4</v>
      </c>
      <c r="T481" s="15">
        <v>284</v>
      </c>
      <c r="U481" s="15"/>
      <c r="V481" s="15"/>
      <c r="W481" s="15"/>
      <c r="X481" s="103"/>
      <c r="Y481" s="15"/>
      <c r="Z481" s="15"/>
      <c r="AA481" s="15"/>
      <c r="AB481" s="99"/>
      <c r="AC481" s="71">
        <f ca="1">Table2[[#This Row],[End Date]]+2-TODAY()</f>
        <v>360</v>
      </c>
      <c r="AD481" s="15">
        <f>IF(ISBLANK(Table2[[#This Row],[Roster Received By]]),1,0)</f>
        <v>1</v>
      </c>
      <c r="AE481" s="15">
        <f ca="1">IF(Table2[[#This Row],[Start Date]]&gt;TODAY(),1,)</f>
        <v>1</v>
      </c>
      <c r="AF481" s="62"/>
    </row>
    <row r="482" spans="1:32" x14ac:dyDescent="0.25">
      <c r="A482" s="99"/>
      <c r="B482" s="116" t="s">
        <v>53</v>
      </c>
      <c r="C482" s="100" t="str">
        <f>VLOOKUP(Table2[[#This Row],[Course Title]],'TSD-Data'!$A$1:$E$56,2,FALSE)</f>
        <v>A-493-0072</v>
      </c>
      <c r="D482" s="100" t="str">
        <f>VLOOKUP(Table2[[#This Row],[Course Title]],'TSD-Data'!$A$1:$E$56,3,FALSE)</f>
        <v>713U</v>
      </c>
      <c r="E482" s="99" t="s">
        <v>306</v>
      </c>
      <c r="F482" s="102">
        <v>45887</v>
      </c>
      <c r="G482" s="102">
        <v>45891</v>
      </c>
      <c r="H482" s="105">
        <v>0.33333333333333331</v>
      </c>
      <c r="I482" s="101"/>
      <c r="J482" s="101"/>
      <c r="K482" s="101"/>
      <c r="L482" s="101"/>
      <c r="M482" s="101"/>
      <c r="N482" s="101"/>
      <c r="O482" s="15" t="s">
        <v>394</v>
      </c>
      <c r="P482" s="15"/>
      <c r="Q482" s="15">
        <f>VLOOKUP(Table2[[#This Row],[Course Title]],'TSD-Data'!$A$1:$E$56,4,FALSE)</f>
        <v>30</v>
      </c>
      <c r="R482" s="15">
        <f>VLOOKUP(Table2[[#This Row],[Course Title]],'TSD-Data'!$A$1:$F$53,6,FALSE)</f>
        <v>40</v>
      </c>
      <c r="S482" s="15">
        <f>VLOOKUP(Table2[[#This Row],[Course Title]],'TSD-Data'!$A$1:$E$56,5,FALSE)</f>
        <v>5</v>
      </c>
      <c r="T482" s="15"/>
      <c r="U482" s="15"/>
      <c r="V482" s="15"/>
      <c r="W482" s="15"/>
      <c r="X482" s="103"/>
      <c r="Y482" s="15"/>
      <c r="Z482" s="15"/>
      <c r="AA482" s="15"/>
      <c r="AB482" s="99"/>
      <c r="AC482" s="71">
        <f ca="1">Table2[[#This Row],[End Date]]+2-TODAY()</f>
        <v>361</v>
      </c>
      <c r="AD482" s="15">
        <f>IF(ISBLANK(Table2[[#This Row],[Roster Received By]]),1,0)</f>
        <v>1</v>
      </c>
      <c r="AE482" s="15">
        <f ca="1">IF(Table2[[#This Row],[Start Date]]&gt;TODAY(),1,)</f>
        <v>1</v>
      </c>
      <c r="AF482" s="62"/>
    </row>
    <row r="483" spans="1:32" x14ac:dyDescent="0.25">
      <c r="A483" s="100"/>
      <c r="B483" s="116" t="s">
        <v>40</v>
      </c>
      <c r="C483" s="100" t="str">
        <f>VLOOKUP(Table2[[#This Row],[Course Title]],'TSD-Data'!$A$1:$E$56,2,FALSE)</f>
        <v>A-493-2098</v>
      </c>
      <c r="D483" s="100" t="str">
        <f>VLOOKUP(Table2[[#This Row],[Course Title]],'TSD-Data'!$A$1:$E$56,3,FALSE)</f>
        <v>09WW</v>
      </c>
      <c r="E483" s="99" t="s">
        <v>80</v>
      </c>
      <c r="F483" s="102">
        <v>45887</v>
      </c>
      <c r="G483" s="102">
        <v>45891</v>
      </c>
      <c r="H483" s="105"/>
      <c r="I483" s="105">
        <v>0.54166666666666663</v>
      </c>
      <c r="J483" s="101">
        <v>0.41666666666666669</v>
      </c>
      <c r="K483" s="101">
        <v>0.83333333333333337</v>
      </c>
      <c r="L483" s="101">
        <v>0.75</v>
      </c>
      <c r="M483" s="101">
        <v>0.29166666666666669</v>
      </c>
      <c r="N483" s="101">
        <v>8.3333333333333329E-2</v>
      </c>
      <c r="O483" s="15" t="s">
        <v>394</v>
      </c>
      <c r="P483" s="15"/>
      <c r="Q483" s="15">
        <f>VLOOKUP(Table2[[#This Row],[Course Title]],'TSD-Data'!$A$1:$E$56,4,FALSE)</f>
        <v>100</v>
      </c>
      <c r="R483" s="15">
        <f>VLOOKUP(Table2[[#This Row],[Course Title]],'TSD-Data'!$A$1:$F$53,6,FALSE)</f>
        <v>16</v>
      </c>
      <c r="S483" s="15">
        <f>VLOOKUP(Table2[[#This Row],[Course Title]],'TSD-Data'!$A$1:$E$56,5,FALSE)</f>
        <v>2</v>
      </c>
      <c r="T483" s="15"/>
      <c r="U483" s="15"/>
      <c r="V483" s="15"/>
      <c r="W483" s="104"/>
      <c r="X483" s="104"/>
      <c r="Y483" s="100"/>
      <c r="Z483" s="100"/>
      <c r="AA483" s="104"/>
      <c r="AB483" s="99"/>
      <c r="AC483" s="71">
        <f ca="1">Table2[[#This Row],[End Date]]+2-TODAY()</f>
        <v>361</v>
      </c>
      <c r="AD483" s="15">
        <f>IF(ISBLANK(Table2[[#This Row],[Roster Received By]]),1,0)</f>
        <v>1</v>
      </c>
      <c r="AE483" s="15">
        <f ca="1">IF(Table2[[#This Row],[Start Date]]&gt;TODAY(),1,)</f>
        <v>1</v>
      </c>
      <c r="AF483" s="62"/>
    </row>
    <row r="484" spans="1:32" x14ac:dyDescent="0.25">
      <c r="A484" s="100"/>
      <c r="B484" s="116" t="s">
        <v>57</v>
      </c>
      <c r="C484" s="100" t="str">
        <f>VLOOKUP(Table2[[#This Row],[Course Title]],'TSD-Data'!$A$1:$E$56,2,FALSE)</f>
        <v>A-493-0099</v>
      </c>
      <c r="D484" s="100" t="str">
        <f>VLOOKUP(Table2[[#This Row],[Course Title]],'TSD-Data'!$A$1:$E$56,3,FALSE)</f>
        <v>12JW</v>
      </c>
      <c r="E484" s="99" t="s">
        <v>80</v>
      </c>
      <c r="F484" s="102">
        <v>45888</v>
      </c>
      <c r="G484" s="102">
        <v>45890</v>
      </c>
      <c r="H484" s="105"/>
      <c r="I484" s="105">
        <v>0.45833333333333331</v>
      </c>
      <c r="J484" s="105">
        <v>0.33333333333333331</v>
      </c>
      <c r="K484" s="105">
        <v>0.75</v>
      </c>
      <c r="L484" s="105">
        <v>0.66666666666666663</v>
      </c>
      <c r="M484" s="105">
        <v>0.20833333333333334</v>
      </c>
      <c r="N484" s="105">
        <v>0</v>
      </c>
      <c r="O484" s="15" t="s">
        <v>394</v>
      </c>
      <c r="P484" s="15"/>
      <c r="Q484" s="103">
        <f>VLOOKUP(Table2[[#This Row],[Course Title]],'TSD-Data'!$A$1:$E$56,4,FALSE)</f>
        <v>45</v>
      </c>
      <c r="R484" s="15">
        <f>VLOOKUP(Table2[[#This Row],[Course Title]],'TSD-Data'!$A$1:$F$53,6,FALSE)</f>
        <v>24</v>
      </c>
      <c r="S484" s="15">
        <f>VLOOKUP(Table2[[#This Row],[Course Title]],'TSD-Data'!$A$1:$E$56,5,FALSE)</f>
        <v>3</v>
      </c>
      <c r="T484" s="15"/>
      <c r="U484" s="15"/>
      <c r="V484" s="15"/>
      <c r="W484" s="104"/>
      <c r="X484" s="104"/>
      <c r="Y484" s="100"/>
      <c r="Z484" s="100"/>
      <c r="AA484" s="104"/>
      <c r="AB484" s="99"/>
      <c r="AC484" s="71">
        <f ca="1">Table2[[#This Row],[End Date]]+2-TODAY()</f>
        <v>360</v>
      </c>
      <c r="AD484" s="15">
        <f>IF(ISBLANK(Table2[[#This Row],[Roster Received By]]),1,0)</f>
        <v>1</v>
      </c>
      <c r="AE484" s="15">
        <f ca="1">IF(Table2[[#This Row],[Start Date]]&gt;TODAY(),1,)</f>
        <v>1</v>
      </c>
      <c r="AF484" s="62"/>
    </row>
    <row r="485" spans="1:32" x14ac:dyDescent="0.25">
      <c r="A485" s="62"/>
      <c r="B485" s="116" t="s">
        <v>50</v>
      </c>
      <c r="C485" s="100" t="str">
        <f>VLOOKUP(Table2[[#This Row],[Course Title]],'TSD-Data'!$A$1:$E$56,2,FALSE)</f>
        <v>A-493-0331</v>
      </c>
      <c r="D485" s="100" t="str">
        <f>VLOOKUP(Table2[[#This Row],[Course Title]],'TSD-Data'!$A$1:$E$56,3,FALSE)</f>
        <v>10UG</v>
      </c>
      <c r="E485" s="99" t="s">
        <v>80</v>
      </c>
      <c r="F485" s="102">
        <v>45888</v>
      </c>
      <c r="G485" s="102">
        <v>45890</v>
      </c>
      <c r="H485" s="102"/>
      <c r="I485" s="101">
        <v>0.5</v>
      </c>
      <c r="J485" s="101">
        <v>0.375</v>
      </c>
      <c r="K485" s="101">
        <v>0.79166666666666663</v>
      </c>
      <c r="L485" s="101">
        <v>0.75</v>
      </c>
      <c r="M485" s="101">
        <v>0.25</v>
      </c>
      <c r="N485" s="101">
        <v>4.1666666666666664E-2</v>
      </c>
      <c r="O485" s="15" t="s">
        <v>394</v>
      </c>
      <c r="P485" s="15"/>
      <c r="Q485" s="15">
        <f>VLOOKUP(Table2[[#This Row],[Course Title]],'TSD-Data'!$A$1:$E$56,4,FALSE)</f>
        <v>45</v>
      </c>
      <c r="R485" s="15">
        <f>VLOOKUP(Table2[[#This Row],[Course Title]],'TSD-Data'!$A$1:$F$53,6,FALSE)</f>
        <v>24</v>
      </c>
      <c r="S485" s="15">
        <f>VLOOKUP(Table2[[#This Row],[Course Title]],'TSD-Data'!$A$1:$E$56,5,FALSE)</f>
        <v>3</v>
      </c>
      <c r="T485" s="15"/>
      <c r="U485" s="15"/>
      <c r="V485" s="15"/>
      <c r="W485" s="15"/>
      <c r="X485" s="103"/>
      <c r="Y485" s="15"/>
      <c r="Z485" s="15"/>
      <c r="AA485" s="15"/>
      <c r="AB485" s="99"/>
      <c r="AC485" s="71">
        <f ca="1">Table2[[#This Row],[End Date]]+2-TODAY()</f>
        <v>360</v>
      </c>
      <c r="AD485" s="15">
        <f>IF(ISBLANK(Table2[[#This Row],[Roster Received By]]),1,0)</f>
        <v>1</v>
      </c>
      <c r="AE485" s="15">
        <f ca="1">IF(Table2[[#This Row],[Start Date]]&gt;TODAY(),1,)</f>
        <v>1</v>
      </c>
      <c r="AF485" s="62"/>
    </row>
    <row r="486" spans="1:32" x14ac:dyDescent="0.25">
      <c r="A486" s="62"/>
      <c r="B486" s="116" t="s">
        <v>31</v>
      </c>
      <c r="C486" s="100" t="str">
        <f>VLOOKUP(Table2[[#This Row],[Course Title]],'TSD-Data'!$A$1:$E$56,2,FALSE)</f>
        <v>A-493-0083</v>
      </c>
      <c r="D486" s="100" t="str">
        <f>VLOOKUP(Table2[[#This Row],[Course Title]],'TSD-Data'!$A$1:$E$56,3,FALSE)</f>
        <v>339E</v>
      </c>
      <c r="E486" s="99" t="s">
        <v>309</v>
      </c>
      <c r="F486" s="102">
        <v>45890</v>
      </c>
      <c r="G486" s="102">
        <v>45890</v>
      </c>
      <c r="H486" s="105">
        <v>0.33333333333333331</v>
      </c>
      <c r="I486" s="105"/>
      <c r="J486" s="105"/>
      <c r="K486" s="105"/>
      <c r="L486" s="105"/>
      <c r="M486" s="105"/>
      <c r="N486" s="105"/>
      <c r="O486" s="15" t="s">
        <v>94</v>
      </c>
      <c r="P486" s="15"/>
      <c r="Q486" s="15">
        <f>VLOOKUP(Table2[[#This Row],[Course Title]],'TSD-Data'!$A$1:$E$56,4,FALSE)</f>
        <v>30</v>
      </c>
      <c r="R486" s="15">
        <f>VLOOKUP(Table2[[#This Row],[Course Title]],'TSD-Data'!$A$1:$F$53,6,FALSE)</f>
        <v>8</v>
      </c>
      <c r="S486" s="15">
        <f>VLOOKUP(Table2[[#This Row],[Course Title]],'TSD-Data'!$A$1:$E$56,5,FALSE)</f>
        <v>1</v>
      </c>
      <c r="T486" s="15">
        <v>48</v>
      </c>
      <c r="U486" s="15"/>
      <c r="V486" s="15"/>
      <c r="W486" s="15"/>
      <c r="X486" s="103"/>
      <c r="Y486" s="15"/>
      <c r="Z486" s="15"/>
      <c r="AA486" s="100"/>
      <c r="AB486" s="99"/>
      <c r="AC486" s="71">
        <f ca="1">Table2[[#This Row],[End Date]]+2-TODAY()</f>
        <v>360</v>
      </c>
      <c r="AD486" s="15">
        <f>IF(ISBLANK(Table2[[#This Row],[Roster Received By]]),1,0)</f>
        <v>1</v>
      </c>
      <c r="AE486" s="15">
        <f ca="1">IF(Table2[[#This Row],[Start Date]]&gt;TODAY(),1,)</f>
        <v>1</v>
      </c>
      <c r="AF486" s="62"/>
    </row>
    <row r="487" spans="1:32" x14ac:dyDescent="0.25">
      <c r="A487" s="62"/>
      <c r="B487" s="116" t="s">
        <v>55</v>
      </c>
      <c r="C487" s="100" t="str">
        <f>VLOOKUP(Table2[[#This Row],[Course Title]],'TSD-Data'!$A$1:$E$56,2,FALSE)</f>
        <v>A-493-0103</v>
      </c>
      <c r="D487" s="100" t="str">
        <f>VLOOKUP(Table2[[#This Row],[Course Title]],'TSD-Data'!$A$1:$E$56,3,FALSE)</f>
        <v>12JY</v>
      </c>
      <c r="E487" s="99" t="s">
        <v>267</v>
      </c>
      <c r="F487" s="67">
        <v>45894</v>
      </c>
      <c r="G487" s="102">
        <v>45898</v>
      </c>
      <c r="H487" s="105">
        <v>0.33333333333333331</v>
      </c>
      <c r="I487" s="101"/>
      <c r="J487" s="101"/>
      <c r="K487" s="101"/>
      <c r="L487" s="101"/>
      <c r="M487" s="101"/>
      <c r="N487" s="101"/>
      <c r="O487" s="15" t="s">
        <v>160</v>
      </c>
      <c r="P487" s="15"/>
      <c r="Q487" s="15">
        <f>VLOOKUP(Table2[[#This Row],[Course Title]],'TSD-Data'!$A$1:$E$56,4,FALSE)</f>
        <v>25</v>
      </c>
      <c r="R487" s="15">
        <f>VLOOKUP(Table2[[#This Row],[Course Title]],'TSD-Data'!$A$1:$F$53,6,FALSE)</f>
        <v>40</v>
      </c>
      <c r="S487" s="15">
        <f>VLOOKUP(Table2[[#This Row],[Course Title]],'TSD-Data'!$A$1:$E$56,5,FALSE)</f>
        <v>5</v>
      </c>
      <c r="T487" s="15">
        <v>332</v>
      </c>
      <c r="U487" s="15"/>
      <c r="V487" s="15"/>
      <c r="W487" s="15"/>
      <c r="X487" s="103"/>
      <c r="Y487" s="15"/>
      <c r="Z487" s="15"/>
      <c r="AA487" s="15"/>
      <c r="AB487" s="99"/>
      <c r="AC487" s="71">
        <f ca="1">Table2[[#This Row],[End Date]]+2-TODAY()</f>
        <v>368</v>
      </c>
      <c r="AD487" s="15">
        <f>IF(ISBLANK(Table2[[#This Row],[Roster Received By]]),1,0)</f>
        <v>1</v>
      </c>
      <c r="AE487" s="15">
        <f ca="1">IF(Table2[[#This Row],[Start Date]]&gt;TODAY(),1,)</f>
        <v>1</v>
      </c>
      <c r="AF487" s="62"/>
    </row>
    <row r="488" spans="1:32" x14ac:dyDescent="0.25">
      <c r="A488" s="62"/>
      <c r="B488" s="116" t="s">
        <v>55</v>
      </c>
      <c r="C488" s="100" t="str">
        <f>VLOOKUP(Table2[[#This Row],[Course Title]],'TSD-Data'!$A$1:$E$56,2,FALSE)</f>
        <v>A-493-0103</v>
      </c>
      <c r="D488" s="100" t="str">
        <f>VLOOKUP(Table2[[#This Row],[Course Title]],'TSD-Data'!$A$1:$E$56,3,FALSE)</f>
        <v>12JY</v>
      </c>
      <c r="E488" s="99" t="s">
        <v>276</v>
      </c>
      <c r="F488" s="102">
        <v>45894</v>
      </c>
      <c r="G488" s="102">
        <v>45898</v>
      </c>
      <c r="H488" s="105">
        <v>0.33333333333333331</v>
      </c>
      <c r="I488" s="101"/>
      <c r="J488" s="101"/>
      <c r="K488" s="101"/>
      <c r="L488" s="101"/>
      <c r="M488" s="101"/>
      <c r="N488" s="101"/>
      <c r="O488" s="15" t="s">
        <v>160</v>
      </c>
      <c r="P488" s="15"/>
      <c r="Q488" s="15">
        <f>VLOOKUP(Table2[[#This Row],[Course Title]],'TSD-Data'!$A$1:$E$56,4,FALSE)</f>
        <v>25</v>
      </c>
      <c r="R488" s="15">
        <f>VLOOKUP(Table2[[#This Row],[Course Title]],'TSD-Data'!$A$1:$F$53,6,FALSE)</f>
        <v>40</v>
      </c>
      <c r="S488" s="15">
        <f>VLOOKUP(Table2[[#This Row],[Course Title]],'TSD-Data'!$A$1:$E$56,5,FALSE)</f>
        <v>5</v>
      </c>
      <c r="T488" s="15">
        <v>155</v>
      </c>
      <c r="U488" s="15"/>
      <c r="V488" s="15"/>
      <c r="W488" s="15"/>
      <c r="X488" s="103"/>
      <c r="Y488" s="15"/>
      <c r="Z488" s="15"/>
      <c r="AA488" s="15"/>
      <c r="AB488" s="99"/>
      <c r="AC488" s="71">
        <f ca="1">Table2[[#This Row],[End Date]]+2-TODAY()</f>
        <v>368</v>
      </c>
      <c r="AD488" s="15">
        <f>IF(ISBLANK(Table2[[#This Row],[Roster Received By]]),1,0)</f>
        <v>1</v>
      </c>
      <c r="AE488" s="15">
        <f ca="1">IF(Table2[[#This Row],[Start Date]]&gt;TODAY(),1,)</f>
        <v>1</v>
      </c>
      <c r="AF488" s="62"/>
    </row>
    <row r="489" spans="1:32" x14ac:dyDescent="0.25">
      <c r="A489" s="99"/>
      <c r="B489" s="116" t="s">
        <v>47</v>
      </c>
      <c r="C489" s="100" t="str">
        <f>VLOOKUP(Table2[[#This Row],[Course Title]],'TSD-Data'!$A$1:$E$56,2,FALSE)</f>
        <v>A-493-0030</v>
      </c>
      <c r="D489" s="100" t="str">
        <f>VLOOKUP(Table2[[#This Row],[Course Title]],'TSD-Data'!$A$1:$E$56,3,FALSE)</f>
        <v>286X</v>
      </c>
      <c r="E489" s="99" t="s">
        <v>102</v>
      </c>
      <c r="F489" s="102">
        <v>45894</v>
      </c>
      <c r="G489" s="102">
        <v>45898</v>
      </c>
      <c r="H489" s="105">
        <v>0.33333333333333331</v>
      </c>
      <c r="I489" s="108"/>
      <c r="J489" s="102"/>
      <c r="K489" s="102"/>
      <c r="L489" s="102"/>
      <c r="M489" s="102"/>
      <c r="N489" s="102"/>
      <c r="O489" s="15" t="s">
        <v>196</v>
      </c>
      <c r="P489" s="15"/>
      <c r="Q489" s="103">
        <f>VLOOKUP(Table2[[#This Row],[Course Title]],'TSD-Data'!$A$1:$E$56,4,FALSE)</f>
        <v>25</v>
      </c>
      <c r="R489" s="15">
        <f>VLOOKUP(Table2[[#This Row],[Course Title]],'TSD-Data'!$A$1:$F$53,6,FALSE)</f>
        <v>40</v>
      </c>
      <c r="S489" s="15">
        <f>VLOOKUP(Table2[[#This Row],[Course Title]],'TSD-Data'!$A$1:$E$56,5,FALSE)</f>
        <v>5</v>
      </c>
      <c r="T489" s="15">
        <v>6</v>
      </c>
      <c r="U489" s="15"/>
      <c r="V489" s="15"/>
      <c r="W489" s="103"/>
      <c r="X489" s="103"/>
      <c r="Y489" s="15"/>
      <c r="Z489" s="15"/>
      <c r="AA489" s="100"/>
      <c r="AB489" s="99"/>
      <c r="AC489" s="71">
        <f ca="1">Table2[[#This Row],[End Date]]+2-TODAY()</f>
        <v>368</v>
      </c>
      <c r="AD489" s="15">
        <f>IF(ISBLANK(Table2[[#This Row],[Roster Received By]]),1,0)</f>
        <v>1</v>
      </c>
      <c r="AE489" s="15">
        <f ca="1">IF(Table2[[#This Row],[Start Date]]&gt;TODAY(),1,)</f>
        <v>1</v>
      </c>
      <c r="AF489" s="62"/>
    </row>
    <row r="490" spans="1:32" x14ac:dyDescent="0.25">
      <c r="A490" s="62"/>
      <c r="B490" s="116" t="s">
        <v>17</v>
      </c>
      <c r="C490" s="100" t="str">
        <f>VLOOKUP(Table2[[#This Row],[Course Title]],'TSD-Data'!$A$1:$E$56,2,FALSE)</f>
        <v>A-493-0012</v>
      </c>
      <c r="D490" s="100">
        <f>VLOOKUP(Table2[[#This Row],[Course Title]],'TSD-Data'!$A$1:$E$56,3,FALSE)</f>
        <v>3682</v>
      </c>
      <c r="E490" s="99" t="s">
        <v>272</v>
      </c>
      <c r="F490" s="102">
        <v>45894</v>
      </c>
      <c r="G490" s="102">
        <v>45898</v>
      </c>
      <c r="H490" s="105">
        <v>0.33333333333333331</v>
      </c>
      <c r="I490" s="101"/>
      <c r="J490" s="101"/>
      <c r="K490" s="101"/>
      <c r="L490" s="101"/>
      <c r="M490" s="101"/>
      <c r="N490" s="101"/>
      <c r="O490" s="15" t="s">
        <v>94</v>
      </c>
      <c r="P490" s="15"/>
      <c r="Q490" s="15">
        <f>VLOOKUP(Table2[[#This Row],[Course Title]],'TSD-Data'!$A$1:$E$56,4,FALSE)</f>
        <v>40</v>
      </c>
      <c r="R490" s="15">
        <f>VLOOKUP(Table2[[#This Row],[Course Title]],'TSD-Data'!$A$1:$F$53,6,FALSE)</f>
        <v>40</v>
      </c>
      <c r="S490" s="15">
        <f>VLOOKUP(Table2[[#This Row],[Course Title]],'TSD-Data'!$A$1:$E$56,5,FALSE)</f>
        <v>5</v>
      </c>
      <c r="T490" s="15">
        <v>30</v>
      </c>
      <c r="U490" s="15"/>
      <c r="V490" s="15"/>
      <c r="W490" s="15"/>
      <c r="X490" s="103"/>
      <c r="Y490" s="15"/>
      <c r="Z490" s="15"/>
      <c r="AA490" s="100"/>
      <c r="AB490" s="99"/>
      <c r="AC490" s="71">
        <f ca="1">Table2[[#This Row],[End Date]]+2-TODAY()</f>
        <v>368</v>
      </c>
      <c r="AD490" s="15">
        <f>IF(ISBLANK(Table2[[#This Row],[Roster Received By]]),1,0)</f>
        <v>1</v>
      </c>
      <c r="AE490" s="15">
        <f ca="1">IF(Table2[[#This Row],[Start Date]]&gt;TODAY(),1,)</f>
        <v>1</v>
      </c>
      <c r="AF490" s="62"/>
    </row>
    <row r="491" spans="1:32" x14ac:dyDescent="0.25">
      <c r="A491" s="62"/>
      <c r="B491" s="116" t="s">
        <v>38</v>
      </c>
      <c r="C491" s="100" t="str">
        <f>VLOOKUP(Table2[[#This Row],[Course Title]],'TSD-Data'!$A$1:$E$56,2,FALSE)</f>
        <v>A-493-0061</v>
      </c>
      <c r="D491" s="100" t="str">
        <f>VLOOKUP(Table2[[#This Row],[Course Title]],'TSD-Data'!$A$1:$E$56,3,FALSE)</f>
        <v>288E</v>
      </c>
      <c r="E491" s="99" t="s">
        <v>80</v>
      </c>
      <c r="F491" s="102">
        <v>45894</v>
      </c>
      <c r="G491" s="102">
        <v>45897</v>
      </c>
      <c r="H491" s="105"/>
      <c r="I491" s="105">
        <v>0.29166666666666669</v>
      </c>
      <c r="J491" s="105">
        <v>0.16666666666666666</v>
      </c>
      <c r="K491" s="105">
        <v>0.58333333333333337</v>
      </c>
      <c r="L491" s="105">
        <v>0.5</v>
      </c>
      <c r="M491" s="105">
        <v>4.1666666666666664E-2</v>
      </c>
      <c r="N491" s="105">
        <v>0.83333333333333337</v>
      </c>
      <c r="O491" s="15" t="s">
        <v>394</v>
      </c>
      <c r="P491" s="15"/>
      <c r="Q491" s="103">
        <f>VLOOKUP(Table2[[#This Row],[Course Title]],'TSD-Data'!$A$1:$E$56,4,FALSE)</f>
        <v>45</v>
      </c>
      <c r="R491" s="15">
        <f>VLOOKUP(Table2[[#This Row],[Course Title]],'TSD-Data'!$A$1:$F$53,6,FALSE)</f>
        <v>30</v>
      </c>
      <c r="S491" s="15">
        <f>VLOOKUP(Table2[[#This Row],[Course Title]],'TSD-Data'!$A$1:$E$56,5,FALSE)</f>
        <v>4</v>
      </c>
      <c r="T491" s="15"/>
      <c r="U491" s="15"/>
      <c r="V491" s="15"/>
      <c r="W491" s="103"/>
      <c r="X491" s="103"/>
      <c r="Y491" s="15"/>
      <c r="Z491" s="15"/>
      <c r="AA491" s="100"/>
      <c r="AB491" s="99"/>
      <c r="AC491" s="71">
        <f ca="1">Table2[[#This Row],[End Date]]+2-TODAY()</f>
        <v>367</v>
      </c>
      <c r="AD491" s="15">
        <f>IF(ISBLANK(Table2[[#This Row],[Roster Received By]]),1,0)</f>
        <v>1</v>
      </c>
      <c r="AE491" s="15">
        <f ca="1">IF(Table2[[#This Row],[Start Date]]&gt;TODAY(),1,)</f>
        <v>1</v>
      </c>
      <c r="AF491" s="62"/>
    </row>
    <row r="492" spans="1:32" x14ac:dyDescent="0.25">
      <c r="A492" s="62"/>
      <c r="B492" s="117" t="s">
        <v>33</v>
      </c>
      <c r="C492" s="100" t="str">
        <f>VLOOKUP(Table2[[#This Row],[Course Title]],'TSD-Data'!$A$1:$E$56,2,FALSE)</f>
        <v>A-493-2301</v>
      </c>
      <c r="D492" s="100" t="str">
        <f>VLOOKUP(Table2[[#This Row],[Course Title]],'TSD-Data'!$A$1:$E$56,3,FALSE)</f>
        <v>05ZD</v>
      </c>
      <c r="E492" s="65" t="s">
        <v>259</v>
      </c>
      <c r="F492" s="67">
        <v>45894</v>
      </c>
      <c r="G492" s="67">
        <v>45894</v>
      </c>
      <c r="H492" s="105">
        <v>0.33333333333333331</v>
      </c>
      <c r="I492" s="105"/>
      <c r="J492" s="105"/>
      <c r="K492" s="105"/>
      <c r="L492" s="105"/>
      <c r="M492" s="105"/>
      <c r="N492" s="105"/>
      <c r="O492" s="15" t="s">
        <v>94</v>
      </c>
      <c r="P492" s="15"/>
      <c r="Q492" s="15">
        <f>VLOOKUP(Table2[[#This Row],[Course Title]],'TSD-Data'!$A$1:$E$56,4,FALSE)</f>
        <v>30</v>
      </c>
      <c r="R492" s="15">
        <f>VLOOKUP(Table2[[#This Row],[Course Title]],'TSD-Data'!$A$1:$F$53,6,FALSE)</f>
        <v>8</v>
      </c>
      <c r="S492" s="15">
        <f>VLOOKUP(Table2[[#This Row],[Course Title]],'TSD-Data'!$A$1:$E$56,5,FALSE)</f>
        <v>1</v>
      </c>
      <c r="T492" s="15">
        <v>38</v>
      </c>
      <c r="U492" s="15"/>
      <c r="V492" s="15"/>
      <c r="W492" s="15"/>
      <c r="X492" s="103"/>
      <c r="Y492" s="15"/>
      <c r="Z492" s="15"/>
      <c r="AA492" s="100"/>
      <c r="AB492" s="99"/>
      <c r="AC492" s="71">
        <f ca="1">Table2[[#This Row],[End Date]]+2-TODAY()</f>
        <v>364</v>
      </c>
      <c r="AD492" s="15">
        <f>IF(ISBLANK(Table2[[#This Row],[Roster Received By]]),1,0)</f>
        <v>1</v>
      </c>
      <c r="AE492" s="15">
        <f ca="1">IF(Table2[[#This Row],[Start Date]]&gt;TODAY(),1,)</f>
        <v>1</v>
      </c>
      <c r="AF492" s="62"/>
    </row>
    <row r="493" spans="1:32" x14ac:dyDescent="0.25">
      <c r="A493" s="127"/>
      <c r="B493" s="118" t="s">
        <v>61</v>
      </c>
      <c r="C493" s="349" t="str">
        <f>VLOOKUP(Table2[[#This Row],[Course Title]],'TSD-Data'!$A$1:$E$56,2,FALSE)</f>
        <v>A-493-0078</v>
      </c>
      <c r="D493" s="349">
        <f>VLOOKUP(Table2[[#This Row],[Course Title]],'TSD-Data'!$A$1:$E$56,3,FALSE)</f>
        <v>1228</v>
      </c>
      <c r="E493" s="118" t="s">
        <v>80</v>
      </c>
      <c r="F493" s="132">
        <v>45894</v>
      </c>
      <c r="G493" s="132">
        <v>45897</v>
      </c>
      <c r="H493" s="337"/>
      <c r="I493" s="105">
        <v>0.33333333333333331</v>
      </c>
      <c r="J493" s="105">
        <v>0.20833333333333334</v>
      </c>
      <c r="K493" s="105">
        <v>0.625</v>
      </c>
      <c r="L493" s="105">
        <v>0.54166666666666663</v>
      </c>
      <c r="M493" s="105">
        <v>8.3333333333333329E-2</v>
      </c>
      <c r="N493" s="105">
        <v>0.875</v>
      </c>
      <c r="O493" s="15" t="s">
        <v>394</v>
      </c>
      <c r="P493" s="350"/>
      <c r="Q493" s="350">
        <f>VLOOKUP(Table2[[#This Row],[Course Title]],'TSD-Data'!$A$1:$E$56,4,FALSE)</f>
        <v>45</v>
      </c>
      <c r="R493" s="350">
        <f>VLOOKUP(Table2[[#This Row],[Course Title]],'TSD-Data'!$A$1:$F$53,6,FALSE)</f>
        <v>32</v>
      </c>
      <c r="S493" s="15">
        <f>VLOOKUP(Table2[[#This Row],[Course Title]],'TSD-Data'!$A$1:$E$56,5,FALSE)</f>
        <v>4</v>
      </c>
      <c r="T493" s="15"/>
      <c r="U493" s="15"/>
      <c r="V493" s="15"/>
      <c r="W493" s="351"/>
      <c r="X493" s="351"/>
      <c r="Y493" s="350"/>
      <c r="Z493" s="350"/>
      <c r="AA493" s="350"/>
      <c r="AB493" s="99"/>
      <c r="AC493" s="71">
        <f ca="1">Table2[[#This Row],[End Date]]+2-TODAY()</f>
        <v>367</v>
      </c>
      <c r="AD493" s="15">
        <f>IF(ISBLANK(Table2[[#This Row],[Roster Received By]]),1,0)</f>
        <v>1</v>
      </c>
      <c r="AE493" s="15">
        <f ca="1">IF(Table2[[#This Row],[Start Date]]&gt;TODAY(),1,)</f>
        <v>1</v>
      </c>
      <c r="AF493" s="62"/>
    </row>
    <row r="494" spans="1:32" x14ac:dyDescent="0.25">
      <c r="A494" s="62"/>
      <c r="B494" s="99" t="s">
        <v>52</v>
      </c>
      <c r="C494" s="100" t="str">
        <f>VLOOKUP(Table2[[#This Row],[Course Title]],'TSD-Data'!$A$1:$E$56,2,FALSE)</f>
        <v>A-493-0085</v>
      </c>
      <c r="D494" s="100">
        <f>VLOOKUP(Table2[[#This Row],[Course Title]],'TSD-Data'!$A$1:$E$56,3,FALSE)</f>
        <v>3555</v>
      </c>
      <c r="E494" s="99" t="s">
        <v>80</v>
      </c>
      <c r="F494" s="67">
        <v>45894</v>
      </c>
      <c r="G494" s="67">
        <v>45897</v>
      </c>
      <c r="H494" s="67"/>
      <c r="I494" s="101">
        <v>0.5</v>
      </c>
      <c r="J494" s="101">
        <v>0.375</v>
      </c>
      <c r="K494" s="101">
        <v>0.79166666666666663</v>
      </c>
      <c r="L494" s="101">
        <v>0.75</v>
      </c>
      <c r="M494" s="101">
        <v>0.25</v>
      </c>
      <c r="N494" s="101">
        <v>4.1666666666666664E-2</v>
      </c>
      <c r="O494" s="15" t="s">
        <v>394</v>
      </c>
      <c r="P494" s="15"/>
      <c r="Q494" s="15">
        <f>VLOOKUP(Table2[[#This Row],[Course Title]],'TSD-Data'!$A$1:$E$56,4,FALSE)</f>
        <v>45</v>
      </c>
      <c r="R494" s="15">
        <f>VLOOKUP(Table2[[#This Row],[Course Title]],'TSD-Data'!$A$1:$F$53,6,FALSE)</f>
        <v>32</v>
      </c>
      <c r="S494" s="15">
        <f>VLOOKUP(Table2[[#This Row],[Course Title]],'TSD-Data'!$A$1:$E$56,5,FALSE)</f>
        <v>4</v>
      </c>
      <c r="T494" s="15"/>
      <c r="U494" s="15"/>
      <c r="V494" s="15"/>
      <c r="W494" s="15"/>
      <c r="X494" s="103"/>
      <c r="Y494" s="15"/>
      <c r="Z494" s="15"/>
      <c r="AA494" s="15"/>
      <c r="AB494" s="99"/>
      <c r="AC494" s="71">
        <f ca="1">Table2[[#This Row],[End Date]]+2-TODAY()</f>
        <v>367</v>
      </c>
      <c r="AD494" s="15">
        <f>IF(ISBLANK(Table2[[#This Row],[Roster Received By]]),1,0)</f>
        <v>1</v>
      </c>
      <c r="AE494" s="15">
        <f ca="1">IF(Table2[[#This Row],[Start Date]]&gt;TODAY(),1,)</f>
        <v>1</v>
      </c>
      <c r="AF494" s="62"/>
    </row>
    <row r="495" spans="1:32" x14ac:dyDescent="0.25">
      <c r="A495" s="62"/>
      <c r="B495" s="99" t="s">
        <v>53</v>
      </c>
      <c r="C495" s="100" t="str">
        <f>VLOOKUP(Table2[[#This Row],[Course Title]],'TSD-Data'!$A$1:$E$56,2,FALSE)</f>
        <v>A-493-0072</v>
      </c>
      <c r="D495" s="100" t="str">
        <f>VLOOKUP(Table2[[#This Row],[Course Title]],'TSD-Data'!$A$1:$E$56,3,FALSE)</f>
        <v>713U</v>
      </c>
      <c r="E495" s="141" t="s">
        <v>161</v>
      </c>
      <c r="F495" s="67">
        <v>45894</v>
      </c>
      <c r="G495" s="102">
        <v>45898</v>
      </c>
      <c r="H495" s="105">
        <v>0.33333333333333331</v>
      </c>
      <c r="I495" s="105"/>
      <c r="J495" s="102"/>
      <c r="K495" s="102"/>
      <c r="L495" s="102"/>
      <c r="M495" s="102"/>
      <c r="N495" s="102"/>
      <c r="O495" s="15" t="s">
        <v>394</v>
      </c>
      <c r="P495" s="15"/>
      <c r="Q495" s="15">
        <f>VLOOKUP(Table2[[#This Row],[Course Title]],'TSD-Data'!$A$1:$E$56,4,FALSE)</f>
        <v>30</v>
      </c>
      <c r="R495" s="15">
        <f>VLOOKUP(Table2[[#This Row],[Course Title]],'TSD-Data'!$A$1:$F$53,6,FALSE)</f>
        <v>40</v>
      </c>
      <c r="S495" s="15">
        <f>VLOOKUP(Table2[[#This Row],[Course Title]],'TSD-Data'!$A$1:$E$56,5,FALSE)</f>
        <v>5</v>
      </c>
      <c r="T495" s="15"/>
      <c r="U495" s="15"/>
      <c r="V495" s="15"/>
      <c r="W495" s="15"/>
      <c r="X495" s="103"/>
      <c r="Y495" s="15"/>
      <c r="Z495" s="15"/>
      <c r="AA495" s="100"/>
      <c r="AB495" s="99"/>
      <c r="AC495" s="71">
        <f ca="1">Table2[[#This Row],[End Date]]+2-TODAY()</f>
        <v>368</v>
      </c>
      <c r="AD495" s="15">
        <f>IF(ISBLANK(Table2[[#This Row],[Roster Received By]]),1,0)</f>
        <v>1</v>
      </c>
      <c r="AE495" s="15">
        <f ca="1">IF(Table2[[#This Row],[Start Date]]&gt;TODAY(),1,)</f>
        <v>1</v>
      </c>
      <c r="AF495" s="62"/>
    </row>
    <row r="496" spans="1:32" x14ac:dyDescent="0.25">
      <c r="A496" s="62"/>
      <c r="B496" s="99" t="s">
        <v>28</v>
      </c>
      <c r="C496" s="100" t="str">
        <f>VLOOKUP(Table2[[#This Row],[Course Title]],'TSD-Data'!$A$1:$E$56,2,FALSE)</f>
        <v>A-493-0013</v>
      </c>
      <c r="D496" s="100">
        <f>VLOOKUP(Table2[[#This Row],[Course Title]],'TSD-Data'!$A$1:$E$56,3,FALSE)</f>
        <v>3683</v>
      </c>
      <c r="E496" s="99" t="s">
        <v>161</v>
      </c>
      <c r="F496" s="102">
        <v>45895</v>
      </c>
      <c r="G496" s="102">
        <v>45897</v>
      </c>
      <c r="H496" s="105">
        <v>0.33333333333333331</v>
      </c>
      <c r="I496" s="101"/>
      <c r="J496" s="101"/>
      <c r="K496" s="101"/>
      <c r="L496" s="101"/>
      <c r="M496" s="101"/>
      <c r="N496" s="101"/>
      <c r="O496" s="15" t="s">
        <v>94</v>
      </c>
      <c r="P496" s="15"/>
      <c r="Q496" s="15">
        <f>VLOOKUP(Table2[[#This Row],[Course Title]],'TSD-Data'!$A$1:$E$56,4,FALSE)</f>
        <v>40</v>
      </c>
      <c r="R496" s="15">
        <f>VLOOKUP(Table2[[#This Row],[Course Title]],'TSD-Data'!$A$1:$F$53,6,FALSE)</f>
        <v>24</v>
      </c>
      <c r="S496" s="15">
        <f>VLOOKUP(Table2[[#This Row],[Course Title]],'TSD-Data'!$A$1:$E$56,5,FALSE)</f>
        <v>3</v>
      </c>
      <c r="T496" s="15">
        <v>5</v>
      </c>
      <c r="U496" s="15"/>
      <c r="V496" s="15"/>
      <c r="W496" s="15"/>
      <c r="X496" s="103"/>
      <c r="Y496" s="15"/>
      <c r="Z496" s="15"/>
      <c r="AA496" s="100"/>
      <c r="AB496" s="99"/>
      <c r="AC496" s="71">
        <f ca="1">Table2[[#This Row],[End Date]]+2-TODAY()</f>
        <v>367</v>
      </c>
      <c r="AD496" s="15">
        <f>IF(ISBLANK(Table2[[#This Row],[Roster Received By]]),1,0)</f>
        <v>1</v>
      </c>
      <c r="AE496" s="15">
        <f ca="1">IF(Table2[[#This Row],[Start Date]]&gt;TODAY(),1,)</f>
        <v>1</v>
      </c>
      <c r="AF496" s="62"/>
    </row>
    <row r="497" spans="1:32" x14ac:dyDescent="0.25">
      <c r="A497" s="62"/>
      <c r="B497" s="99" t="s">
        <v>58</v>
      </c>
      <c r="C497" s="100" t="str">
        <f>VLOOKUP(Table2[[#This Row],[Course Title]],'TSD-Data'!$A$1:$E$56,2,FALSE)</f>
        <v xml:space="preserve">A-493-0075 </v>
      </c>
      <c r="D497" s="100" t="str">
        <f>VLOOKUP(Table2[[#This Row],[Course Title]],'TSD-Data'!$A$1:$E$56,3,FALSE)</f>
        <v>714U</v>
      </c>
      <c r="E497" s="62" t="s">
        <v>276</v>
      </c>
      <c r="F497" s="67">
        <v>45895</v>
      </c>
      <c r="G497" s="67">
        <v>45898</v>
      </c>
      <c r="H497" s="105">
        <v>0.33333333333333331</v>
      </c>
      <c r="I497" s="101"/>
      <c r="J497" s="102"/>
      <c r="K497" s="102"/>
      <c r="L497" s="102"/>
      <c r="M497" s="102"/>
      <c r="N497" s="102"/>
      <c r="O497" s="15" t="s">
        <v>160</v>
      </c>
      <c r="P497" s="15"/>
      <c r="Q497" s="15">
        <f>VLOOKUP(Table2[[#This Row],[Course Title]],'TSD-Data'!$A$1:$E$56,4,FALSE)</f>
        <v>30</v>
      </c>
      <c r="R497" s="15">
        <f>VLOOKUP(Table2[[#This Row],[Course Title]],'TSD-Data'!$A$1:$F$53,6,FALSE)</f>
        <v>32</v>
      </c>
      <c r="S497" s="15">
        <f>VLOOKUP(Table2[[#This Row],[Course Title]],'TSD-Data'!$A$1:$E$56,5,FALSE)</f>
        <v>4</v>
      </c>
      <c r="T497" s="15">
        <v>57</v>
      </c>
      <c r="U497" s="15"/>
      <c r="V497" s="15"/>
      <c r="W497" s="15"/>
      <c r="X497" s="103"/>
      <c r="Y497" s="15"/>
      <c r="Z497" s="15"/>
      <c r="AA497" s="15"/>
      <c r="AB497" s="99"/>
      <c r="AC497" s="71">
        <f ca="1">Table2[[#This Row],[End Date]]+2-TODAY()</f>
        <v>368</v>
      </c>
      <c r="AD497" s="15">
        <f>IF(ISBLANK(Table2[[#This Row],[Roster Received By]]),1,0)</f>
        <v>1</v>
      </c>
      <c r="AE497" s="15">
        <f ca="1">IF(Table2[[#This Row],[Start Date]]&gt;TODAY(),1,)</f>
        <v>1</v>
      </c>
      <c r="AF497" s="62"/>
    </row>
    <row r="498" spans="1:32" x14ac:dyDescent="0.25">
      <c r="A498" s="62"/>
      <c r="B498" s="99" t="s">
        <v>35</v>
      </c>
      <c r="C498" s="100" t="str">
        <f>VLOOKUP(Table2[[#This Row],[Course Title]],'TSD-Data'!$A$1:$E$56,2,FALSE)</f>
        <v>A-493-2501</v>
      </c>
      <c r="D498" s="100" t="str">
        <f>VLOOKUP(Table2[[#This Row],[Course Title]],'TSD-Data'!$A$1:$E$56,3,FALSE)</f>
        <v>05ZE</v>
      </c>
      <c r="E498" s="99" t="s">
        <v>259</v>
      </c>
      <c r="F498" s="102">
        <v>45895</v>
      </c>
      <c r="G498" s="102">
        <v>45895</v>
      </c>
      <c r="H498" s="105">
        <v>0.33333333333333331</v>
      </c>
      <c r="I498" s="105"/>
      <c r="J498" s="105"/>
      <c r="K498" s="105"/>
      <c r="L498" s="105"/>
      <c r="M498" s="105"/>
      <c r="N498" s="105"/>
      <c r="O498" s="15" t="s">
        <v>94</v>
      </c>
      <c r="P498" s="15"/>
      <c r="Q498" s="15">
        <f>VLOOKUP(Table2[[#This Row],[Course Title]],'TSD-Data'!$A$1:$E$56,4,FALSE)</f>
        <v>30</v>
      </c>
      <c r="R498" s="15">
        <f>VLOOKUP(Table2[[#This Row],[Course Title]],'TSD-Data'!$A$1:$F$53,6,FALSE)</f>
        <v>8</v>
      </c>
      <c r="S498" s="15">
        <f>VLOOKUP(Table2[[#This Row],[Course Title]],'TSD-Data'!$A$1:$E$56,5,FALSE)</f>
        <v>1</v>
      </c>
      <c r="T498" s="15">
        <v>0</v>
      </c>
      <c r="U498" s="15"/>
      <c r="V498" s="15"/>
      <c r="W498" s="15"/>
      <c r="X498" s="103"/>
      <c r="Y498" s="15"/>
      <c r="Z498" s="15"/>
      <c r="AA498" s="100"/>
      <c r="AB498" s="99"/>
      <c r="AC498" s="71">
        <f ca="1">Table2[[#This Row],[End Date]]+2-TODAY()</f>
        <v>365</v>
      </c>
      <c r="AD498" s="15">
        <f>IF(ISBLANK(Table2[[#This Row],[Roster Received By]]),1,0)</f>
        <v>1</v>
      </c>
      <c r="AE498" s="15">
        <f ca="1">IF(Table2[[#This Row],[Start Date]]&gt;TODAY(),1,)</f>
        <v>1</v>
      </c>
    </row>
    <row r="499" spans="1:32" x14ac:dyDescent="0.25">
      <c r="A499" s="62" t="s">
        <v>426</v>
      </c>
      <c r="B499" s="99" t="s">
        <v>258</v>
      </c>
      <c r="C499" s="100" t="str">
        <f>VLOOKUP(Table2[[#This Row],[Course Title]],'TSD-Data'!$A$1:$E$56,2,FALSE)</f>
        <v>Holiday</v>
      </c>
      <c r="D499" s="100" t="str">
        <f>VLOOKUP(Table2[[#This Row],[Course Title]],'TSD-Data'!$A$1:$E$56,3,FALSE)</f>
        <v>Holiday</v>
      </c>
      <c r="E499" s="65"/>
      <c r="F499" s="102">
        <v>45901</v>
      </c>
      <c r="G499" s="102">
        <v>45901</v>
      </c>
      <c r="H499" s="105"/>
      <c r="I499" s="105"/>
      <c r="J499" s="102"/>
      <c r="K499" s="102"/>
      <c r="L499" s="102"/>
      <c r="M499" s="102"/>
      <c r="N499" s="102"/>
      <c r="O499" s="15"/>
      <c r="P499" s="15"/>
      <c r="Q499" s="15">
        <f>VLOOKUP(Table2[[#This Row],[Course Title]],'TSD-Data'!$A$1:$E$56,4,FALSE)</f>
        <v>0</v>
      </c>
      <c r="R499" s="15">
        <f>VLOOKUP(Table2[[#This Row],[Course Title]],'TSD-Data'!$A$1:$F$53,6,FALSE)</f>
        <v>0</v>
      </c>
      <c r="S499" s="15">
        <f>VLOOKUP(Table2[[#This Row],[Course Title]],'TSD-Data'!$A$1:$E$56,5,FALSE)</f>
        <v>0</v>
      </c>
      <c r="T499" s="15">
        <v>0</v>
      </c>
      <c r="U499" s="15"/>
      <c r="V499" s="15"/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99" t="s">
        <v>100</v>
      </c>
      <c r="AC499" s="71">
        <f ca="1">Table2[[#This Row],[End Date]]+2-TODAY()</f>
        <v>371</v>
      </c>
      <c r="AD499" s="15">
        <f>IF(ISBLANK(Table2[[#This Row],[Roster Received By]]),1,0)</f>
        <v>0</v>
      </c>
      <c r="AE499" s="15">
        <f ca="1">IF(Table2[[#This Row],[Start Date]]&gt;TODAY(),1,)</f>
        <v>1</v>
      </c>
    </row>
    <row r="500" spans="1:32" x14ac:dyDescent="0.25">
      <c r="A500" s="62" t="s">
        <v>396</v>
      </c>
      <c r="B500" s="99" t="s">
        <v>28</v>
      </c>
      <c r="C500" s="100" t="str">
        <f>VLOOKUP(Table2[[#This Row],[Course Title]],'TSD-Data'!$A$1:$E$56,2,FALSE)</f>
        <v>A-493-0013</v>
      </c>
      <c r="D500" s="100">
        <f>VLOOKUP(Table2[[#This Row],[Course Title]],'TSD-Data'!$A$1:$E$56,3,FALSE)</f>
        <v>3683</v>
      </c>
      <c r="E500" s="99" t="s">
        <v>125</v>
      </c>
      <c r="F500" s="102">
        <v>45902</v>
      </c>
      <c r="G500" s="102">
        <v>45903</v>
      </c>
      <c r="H500" s="105">
        <v>0.33333333333333331</v>
      </c>
      <c r="I500" s="101"/>
      <c r="J500" s="101"/>
      <c r="K500" s="101"/>
      <c r="L500" s="101"/>
      <c r="M500" s="101"/>
      <c r="N500" s="101"/>
      <c r="O500" s="15" t="s">
        <v>94</v>
      </c>
      <c r="P500" s="15"/>
      <c r="Q500" s="15">
        <f>VLOOKUP(Table2[[#This Row],[Course Title]],'TSD-Data'!$A$1:$E$56,4,FALSE)</f>
        <v>40</v>
      </c>
      <c r="R500" s="15">
        <f>VLOOKUP(Table2[[#This Row],[Course Title]],'TSD-Data'!$A$1:$F$53,6,FALSE)</f>
        <v>24</v>
      </c>
      <c r="S500" s="15">
        <f>VLOOKUP(Table2[[#This Row],[Course Title]],'TSD-Data'!$A$1:$E$56,5,FALSE)</f>
        <v>3</v>
      </c>
      <c r="T500" s="15">
        <v>0</v>
      </c>
      <c r="U500" s="15"/>
      <c r="V500" s="15"/>
      <c r="W500" s="15"/>
      <c r="X500" s="103"/>
      <c r="Y500" s="15"/>
      <c r="Z500" s="15"/>
      <c r="AA500" s="100"/>
      <c r="AB500" s="99"/>
      <c r="AC500" s="71">
        <f ca="1">Table2[[#This Row],[End Date]]+2-TODAY()</f>
        <v>373</v>
      </c>
      <c r="AD500" s="15">
        <f>IF(ISBLANK(Table2[[#This Row],[Roster Received By]]),1,0)</f>
        <v>1</v>
      </c>
      <c r="AE500" s="15">
        <f ca="1">IF(Table2[[#This Row],[Start Date]]&gt;TODAY(),1,)</f>
        <v>1</v>
      </c>
    </row>
    <row r="501" spans="1:32" x14ac:dyDescent="0.25">
      <c r="A501" s="62"/>
      <c r="B501" s="99" t="s">
        <v>57</v>
      </c>
      <c r="C501" s="100" t="str">
        <f>VLOOKUP(Table2[[#This Row],[Course Title]],'TSD-Data'!$A$1:$E$56,2,FALSE)</f>
        <v>A-493-0099</v>
      </c>
      <c r="D501" s="100" t="str">
        <f>VLOOKUP(Table2[[#This Row],[Course Title]],'TSD-Data'!$A$1:$E$56,3,FALSE)</f>
        <v>12JW</v>
      </c>
      <c r="E501" s="99" t="s">
        <v>80</v>
      </c>
      <c r="F501" s="102">
        <v>45902</v>
      </c>
      <c r="G501" s="102">
        <v>45904</v>
      </c>
      <c r="H501" s="105"/>
      <c r="I501" s="105">
        <v>0.79166666666666663</v>
      </c>
      <c r="J501" s="101">
        <v>0.66666666666666663</v>
      </c>
      <c r="K501" s="101">
        <v>8.3333333333333329E-2</v>
      </c>
      <c r="L501" s="101">
        <v>0</v>
      </c>
      <c r="M501" s="101">
        <v>0.54166666666666663</v>
      </c>
      <c r="N501" s="101">
        <v>0.33333333333333331</v>
      </c>
      <c r="O501" s="15" t="s">
        <v>394</v>
      </c>
      <c r="P501" s="15"/>
      <c r="Q501" s="103">
        <f>VLOOKUP(Table2[[#This Row],[Course Title]],'TSD-Data'!$A$1:$E$56,4,FALSE)</f>
        <v>45</v>
      </c>
      <c r="R501" s="15">
        <f>VLOOKUP(Table2[[#This Row],[Course Title]],'TSD-Data'!$A$1:$F$53,6,FALSE)</f>
        <v>24</v>
      </c>
      <c r="S501" s="15">
        <f>VLOOKUP(Table2[[#This Row],[Course Title]],'TSD-Data'!$A$1:$E$56,5,FALSE)</f>
        <v>3</v>
      </c>
      <c r="T501" s="15"/>
      <c r="U501" s="15"/>
      <c r="V501" s="15"/>
      <c r="W501" s="103"/>
      <c r="X501" s="103"/>
      <c r="Y501" s="15"/>
      <c r="Z501" s="15"/>
      <c r="AA501" s="100"/>
      <c r="AB501" s="99"/>
      <c r="AC501" s="71">
        <f ca="1">Table2[[#This Row],[End Date]]+2-TODAY()</f>
        <v>374</v>
      </c>
      <c r="AD501" s="15">
        <f>IF(ISBLANK(Table2[[#This Row],[Roster Received By]]),1,0)</f>
        <v>1</v>
      </c>
      <c r="AE501" s="15">
        <f ca="1">IF(Table2[[#This Row],[Start Date]]&gt;TODAY(),1,)</f>
        <v>1</v>
      </c>
    </row>
    <row r="502" spans="1:32" x14ac:dyDescent="0.25">
      <c r="A502" s="99"/>
      <c r="B502" s="99" t="s">
        <v>29</v>
      </c>
      <c r="C502" s="100" t="str">
        <f>VLOOKUP(Table2[[#This Row],[Course Title]],'TSD-Data'!$A$1:$E$56,2,FALSE)</f>
        <v>A-493-0077</v>
      </c>
      <c r="D502" s="100" t="str">
        <f>VLOOKUP(Table2[[#This Row],[Course Title]],'TSD-Data'!$A$1:$E$56,3,FALSE)</f>
        <v>0381</v>
      </c>
      <c r="E502" s="99" t="s">
        <v>168</v>
      </c>
      <c r="F502" s="102">
        <v>45902</v>
      </c>
      <c r="G502" s="102">
        <v>45904</v>
      </c>
      <c r="H502" s="105">
        <v>0.33333333333333331</v>
      </c>
      <c r="I502" s="105"/>
      <c r="J502" s="105"/>
      <c r="K502" s="105"/>
      <c r="L502" s="105"/>
      <c r="M502" s="105"/>
      <c r="N502" s="105"/>
      <c r="O502" s="15" t="s">
        <v>94</v>
      </c>
      <c r="P502" s="15"/>
      <c r="Q502" s="15">
        <f>VLOOKUP(Table2[[#This Row],[Course Title]],'TSD-Data'!$A$1:$E$56,4,FALSE)</f>
        <v>25</v>
      </c>
      <c r="R502" s="15">
        <f>VLOOKUP(Table2[[#This Row],[Course Title]],'TSD-Data'!$A$1:$F$53,6,FALSE)</f>
        <v>24</v>
      </c>
      <c r="S502" s="15">
        <f>VLOOKUP(Table2[[#This Row],[Course Title]],'TSD-Data'!$A$1:$E$56,5,FALSE)</f>
        <v>3</v>
      </c>
      <c r="T502" s="15">
        <v>14</v>
      </c>
      <c r="U502" s="15"/>
      <c r="V502" s="15"/>
      <c r="W502" s="15"/>
      <c r="X502" s="103"/>
      <c r="Y502" s="15"/>
      <c r="Z502" s="15"/>
      <c r="AA502" s="100"/>
      <c r="AB502" s="99"/>
      <c r="AC502" s="71">
        <f ca="1">Table2[[#This Row],[End Date]]+2-TODAY()</f>
        <v>374</v>
      </c>
      <c r="AD502" s="15">
        <f>IF(ISBLANK(Table2[[#This Row],[Roster Received By]]),1,0)</f>
        <v>1</v>
      </c>
      <c r="AE502" s="15">
        <f ca="1">IF(Table2[[#This Row],[Start Date]]&gt;TODAY(),1,)</f>
        <v>1</v>
      </c>
    </row>
    <row r="503" spans="1:32" x14ac:dyDescent="0.25">
      <c r="A503" s="62"/>
      <c r="B503" s="99" t="s">
        <v>50</v>
      </c>
      <c r="C503" s="100" t="str">
        <f>VLOOKUP(Table2[[#This Row],[Course Title]],'TSD-Data'!$A$1:$E$56,2,FALSE)</f>
        <v>A-493-0331</v>
      </c>
      <c r="D503" s="100" t="str">
        <f>VLOOKUP(Table2[[#This Row],[Course Title]],'TSD-Data'!$A$1:$E$56,3,FALSE)</f>
        <v>10UG</v>
      </c>
      <c r="E503" s="99" t="s">
        <v>80</v>
      </c>
      <c r="F503" s="102">
        <v>45902</v>
      </c>
      <c r="G503" s="102">
        <v>45904</v>
      </c>
      <c r="H503" s="102"/>
      <c r="I503" s="101">
        <v>0.5</v>
      </c>
      <c r="J503" s="101">
        <v>0.375</v>
      </c>
      <c r="K503" s="101">
        <v>0.79166666666666663</v>
      </c>
      <c r="L503" s="101">
        <v>0.75</v>
      </c>
      <c r="M503" s="101">
        <v>0.25</v>
      </c>
      <c r="N503" s="101">
        <v>4.1666666666666664E-2</v>
      </c>
      <c r="O503" s="15" t="s">
        <v>394</v>
      </c>
      <c r="P503" s="15"/>
      <c r="Q503" s="15">
        <f>VLOOKUP(Table2[[#This Row],[Course Title]],'TSD-Data'!$A$1:$E$56,4,FALSE)</f>
        <v>45</v>
      </c>
      <c r="R503" s="15">
        <f>VLOOKUP(Table2[[#This Row],[Course Title]],'TSD-Data'!$A$1:$F$53,6,FALSE)</f>
        <v>24</v>
      </c>
      <c r="S503" s="15">
        <f>VLOOKUP(Table2[[#This Row],[Course Title]],'TSD-Data'!$A$1:$E$56,5,FALSE)</f>
        <v>3</v>
      </c>
      <c r="T503" s="15"/>
      <c r="U503" s="15"/>
      <c r="V503" s="15"/>
      <c r="W503" s="15"/>
      <c r="X503" s="103"/>
      <c r="Y503" s="15"/>
      <c r="Z503" s="15"/>
      <c r="AA503" s="15"/>
      <c r="AB503" s="99"/>
      <c r="AC503" s="71">
        <f ca="1">Table2[[#This Row],[End Date]]+2-TODAY()</f>
        <v>374</v>
      </c>
      <c r="AD503" s="15">
        <f>IF(ISBLANK(Table2[[#This Row],[Roster Received By]]),1,0)</f>
        <v>1</v>
      </c>
      <c r="AE503" s="15">
        <f ca="1">IF(Table2[[#This Row],[Start Date]]&gt;TODAY(),1,)</f>
        <v>1</v>
      </c>
    </row>
    <row r="504" spans="1:32" x14ac:dyDescent="0.25">
      <c r="A504" s="62"/>
      <c r="B504" s="99" t="s">
        <v>51</v>
      </c>
      <c r="C504" s="100" t="str">
        <f>VLOOKUP(Table2[[#This Row],[Course Title]],'TSD-Data'!$A$1:$E$56,2,FALSE)</f>
        <v>A-493-0335</v>
      </c>
      <c r="D504" s="100" t="str">
        <f>VLOOKUP(Table2[[#This Row],[Course Title]],'TSD-Data'!$A$1:$E$56,3,FALSE)</f>
        <v>09ND</v>
      </c>
      <c r="E504" s="99" t="s">
        <v>80</v>
      </c>
      <c r="F504" s="102">
        <v>45902</v>
      </c>
      <c r="G504" s="102">
        <v>45905</v>
      </c>
      <c r="H504" s="105"/>
      <c r="I504" s="101">
        <v>0.33333333333333331</v>
      </c>
      <c r="J504" s="105">
        <v>0.20833333333333334</v>
      </c>
      <c r="K504" s="105">
        <v>0.625</v>
      </c>
      <c r="L504" s="105">
        <v>0.54166666666666663</v>
      </c>
      <c r="M504" s="105">
        <v>8.3333333333333329E-2</v>
      </c>
      <c r="N504" s="105">
        <v>0.875</v>
      </c>
      <c r="O504" s="15" t="s">
        <v>394</v>
      </c>
      <c r="P504" s="15"/>
      <c r="Q504" s="15">
        <f>VLOOKUP(Table2[[#This Row],[Course Title]],'TSD-Data'!$A$1:$E$56,4,FALSE)</f>
        <v>45</v>
      </c>
      <c r="R504" s="15">
        <f>VLOOKUP(Table2[[#This Row],[Course Title]],'TSD-Data'!$A$1:$F$53,6,FALSE)</f>
        <v>32</v>
      </c>
      <c r="S504" s="15">
        <f>VLOOKUP(Table2[[#This Row],[Course Title]],'TSD-Data'!$A$1:$E$56,5,FALSE)</f>
        <v>4</v>
      </c>
      <c r="T504" s="15"/>
      <c r="U504" s="15"/>
      <c r="V504" s="15"/>
      <c r="W504" s="15"/>
      <c r="X504" s="103"/>
      <c r="Y504" s="15"/>
      <c r="Z504" s="15"/>
      <c r="AA504" s="100"/>
      <c r="AB504" s="99"/>
      <c r="AC504" s="71">
        <f ca="1">Table2[[#This Row],[End Date]]+2-TODAY()</f>
        <v>375</v>
      </c>
      <c r="AD504" s="15">
        <f>IF(ISBLANK(Table2[[#This Row],[Roster Received By]]),1,0)</f>
        <v>1</v>
      </c>
      <c r="AE504" s="15">
        <f ca="1">IF(Table2[[#This Row],[Start Date]]&gt;TODAY(),1,)</f>
        <v>1</v>
      </c>
    </row>
    <row r="505" spans="1:32" x14ac:dyDescent="0.25">
      <c r="A505" s="62"/>
      <c r="B505" s="99" t="s">
        <v>59</v>
      </c>
      <c r="C505" s="100" t="str">
        <f>VLOOKUP(Table2[[#This Row],[Course Title]],'TSD-Data'!$A$1:$E$56,2,FALSE)</f>
        <v>A-493-0550</v>
      </c>
      <c r="D505" s="100" t="str">
        <f>VLOOKUP(Table2[[#This Row],[Course Title]],'TSD-Data'!$A$1:$E$56,3,FALSE)</f>
        <v>09K5</v>
      </c>
      <c r="E505" s="99" t="s">
        <v>80</v>
      </c>
      <c r="F505" s="67">
        <v>45902</v>
      </c>
      <c r="G505" s="67">
        <v>45905</v>
      </c>
      <c r="H505" s="105"/>
      <c r="I505" s="101">
        <v>0.54166666666666663</v>
      </c>
      <c r="J505" s="101">
        <v>0.41666666666666669</v>
      </c>
      <c r="K505" s="101">
        <v>0.83333333333333337</v>
      </c>
      <c r="L505" s="101">
        <v>0.75</v>
      </c>
      <c r="M505" s="101">
        <v>0.29166666666666669</v>
      </c>
      <c r="N505" s="101">
        <v>8.3333333333333329E-2</v>
      </c>
      <c r="O505" s="15" t="s">
        <v>394</v>
      </c>
      <c r="P505" s="15"/>
      <c r="Q505" s="15">
        <f>VLOOKUP(Table2[[#This Row],[Course Title]],'TSD-Data'!$A$1:$E$56,4,FALSE)</f>
        <v>45</v>
      </c>
      <c r="R505" s="15">
        <f>VLOOKUP(Table2[[#This Row],[Course Title]],'TSD-Data'!$A$1:$F$53,6,FALSE)</f>
        <v>32</v>
      </c>
      <c r="S505" s="15">
        <f>VLOOKUP(Table2[[#This Row],[Course Title]],'TSD-Data'!$A$1:$E$56,5,FALSE)</f>
        <v>4</v>
      </c>
      <c r="T505" s="15"/>
      <c r="U505" s="15"/>
      <c r="V505" s="15"/>
      <c r="W505" s="15"/>
      <c r="X505" s="103"/>
      <c r="Y505" s="15"/>
      <c r="Z505" s="15"/>
      <c r="AA505" s="15"/>
      <c r="AB505" s="99"/>
      <c r="AC505" s="71">
        <f ca="1">Table2[[#This Row],[End Date]]+2-TODAY()</f>
        <v>375</v>
      </c>
      <c r="AD505" s="15">
        <f>IF(ISBLANK(Table2[[#This Row],[Roster Received By]]),1,0)</f>
        <v>1</v>
      </c>
      <c r="AE505" s="15">
        <f ca="1">IF(Table2[[#This Row],[Start Date]]&gt;TODAY(),1,)</f>
        <v>1</v>
      </c>
    </row>
    <row r="506" spans="1:32" x14ac:dyDescent="0.25">
      <c r="A506" s="62"/>
      <c r="B506" s="99" t="s">
        <v>31</v>
      </c>
      <c r="C506" s="100" t="str">
        <f>VLOOKUP(Table2[[#This Row],[Course Title]],'TSD-Data'!$A$1:$E$56,2,FALSE)</f>
        <v>A-493-0083</v>
      </c>
      <c r="D506" s="100" t="str">
        <f>VLOOKUP(Table2[[#This Row],[Course Title]],'TSD-Data'!$A$1:$E$56,3,FALSE)</f>
        <v>339E</v>
      </c>
      <c r="E506" s="65" t="s">
        <v>168</v>
      </c>
      <c r="F506" s="102">
        <v>45905</v>
      </c>
      <c r="G506" s="102">
        <v>45905</v>
      </c>
      <c r="H506" s="105">
        <v>0.33333333333333331</v>
      </c>
      <c r="I506" s="105"/>
      <c r="J506" s="105"/>
      <c r="K506" s="105"/>
      <c r="L506" s="105"/>
      <c r="M506" s="105"/>
      <c r="N506" s="105"/>
      <c r="O506" s="15" t="s">
        <v>94</v>
      </c>
      <c r="P506" s="15"/>
      <c r="Q506" s="15">
        <f>VLOOKUP(Table2[[#This Row],[Course Title]],'TSD-Data'!$A$1:$E$56,4,FALSE)</f>
        <v>30</v>
      </c>
      <c r="R506" s="15">
        <f>VLOOKUP(Table2[[#This Row],[Course Title]],'TSD-Data'!$A$1:$F$53,6,FALSE)</f>
        <v>8</v>
      </c>
      <c r="S506" s="15">
        <f>VLOOKUP(Table2[[#This Row],[Course Title]],'TSD-Data'!$A$1:$E$56,5,FALSE)</f>
        <v>1</v>
      </c>
      <c r="T506" s="15">
        <v>68</v>
      </c>
      <c r="U506" s="15"/>
      <c r="V506" s="15"/>
      <c r="W506" s="15"/>
      <c r="X506" s="103"/>
      <c r="Y506" s="15"/>
      <c r="Z506" s="15"/>
      <c r="AA506" s="100"/>
      <c r="AB506" s="99"/>
      <c r="AC506" s="71">
        <f ca="1">Table2[[#This Row],[End Date]]+2-TODAY()</f>
        <v>375</v>
      </c>
      <c r="AD506" s="15">
        <f>IF(ISBLANK(Table2[[#This Row],[Roster Received By]]),1,0)</f>
        <v>1</v>
      </c>
      <c r="AE506" s="15">
        <f ca="1">IF(Table2[[#This Row],[Start Date]]&gt;TODAY(),1,)</f>
        <v>1</v>
      </c>
    </row>
    <row r="507" spans="1:32" x14ac:dyDescent="0.25">
      <c r="A507" s="62"/>
      <c r="B507" s="99" t="s">
        <v>55</v>
      </c>
      <c r="C507" s="100" t="str">
        <f>VLOOKUP(Table2[[#This Row],[Course Title]],'TSD-Data'!$A$1:$E$56,2,FALSE)</f>
        <v>A-493-0103</v>
      </c>
      <c r="D507" s="100" t="str">
        <f>VLOOKUP(Table2[[#This Row],[Course Title]],'TSD-Data'!$A$1:$E$56,3,FALSE)</f>
        <v>12JY</v>
      </c>
      <c r="E507" s="99" t="s">
        <v>206</v>
      </c>
      <c r="F507" s="102">
        <v>45908</v>
      </c>
      <c r="G507" s="102">
        <v>45912</v>
      </c>
      <c r="H507" s="105">
        <v>0.33333333333333331</v>
      </c>
      <c r="I507" s="101"/>
      <c r="J507" s="226"/>
      <c r="K507" s="226"/>
      <c r="L507" s="226"/>
      <c r="M507" s="226"/>
      <c r="N507" s="226"/>
      <c r="O507" s="15" t="s">
        <v>160</v>
      </c>
      <c r="P507" s="15"/>
      <c r="Q507" s="15">
        <f>VLOOKUP(Table2[[#This Row],[Course Title]],'TSD-Data'!$A$1:$E$56,4,FALSE)</f>
        <v>25</v>
      </c>
      <c r="R507" s="15">
        <f>VLOOKUP(Table2[[#This Row],[Course Title]],'TSD-Data'!$A$1:$F$53,6,FALSE)</f>
        <v>40</v>
      </c>
      <c r="S507" s="15">
        <f>VLOOKUP(Table2[[#This Row],[Course Title]],'TSD-Data'!$A$1:$E$56,5,FALSE)</f>
        <v>5</v>
      </c>
      <c r="T507" s="15">
        <v>86</v>
      </c>
      <c r="U507" s="15"/>
      <c r="V507" s="15"/>
      <c r="W507" s="15"/>
      <c r="X507" s="103"/>
      <c r="Y507" s="15"/>
      <c r="Z507" s="15"/>
      <c r="AA507" s="15"/>
      <c r="AB507" s="99"/>
      <c r="AC507" s="71">
        <f ca="1">Table2[[#This Row],[End Date]]+2-TODAY()</f>
        <v>382</v>
      </c>
      <c r="AD507" s="15">
        <f>IF(ISBLANK(Table2[[#This Row],[Roster Received By]]),1,0)</f>
        <v>1</v>
      </c>
      <c r="AE507" s="15">
        <f ca="1">IF(Table2[[#This Row],[Start Date]]&gt;TODAY(),1,)</f>
        <v>1</v>
      </c>
    </row>
    <row r="508" spans="1:32" x14ac:dyDescent="0.25">
      <c r="A508" s="62"/>
      <c r="B508" s="99" t="s">
        <v>55</v>
      </c>
      <c r="C508" s="100" t="str">
        <f>VLOOKUP(Table2[[#This Row],[Course Title]],'TSD-Data'!$A$1:$E$56,2,FALSE)</f>
        <v>A-493-0103</v>
      </c>
      <c r="D508" s="100" t="str">
        <f>VLOOKUP(Table2[[#This Row],[Course Title]],'TSD-Data'!$A$1:$E$56,3,FALSE)</f>
        <v>12JY</v>
      </c>
      <c r="E508" s="124" t="s">
        <v>146</v>
      </c>
      <c r="F508" s="67">
        <v>45908</v>
      </c>
      <c r="G508" s="67">
        <v>45912</v>
      </c>
      <c r="H508" s="105">
        <v>0.33333333333333331</v>
      </c>
      <c r="I508" s="226"/>
      <c r="J508" s="226"/>
      <c r="K508" s="226"/>
      <c r="L508" s="226"/>
      <c r="M508" s="226"/>
      <c r="N508" s="226"/>
      <c r="O508" s="15" t="s">
        <v>160</v>
      </c>
      <c r="P508" s="15"/>
      <c r="Q508" s="15">
        <f>VLOOKUP(Table2[[#This Row],[Course Title]],'TSD-Data'!$A$1:$E$56,4,FALSE)</f>
        <v>25</v>
      </c>
      <c r="R508" s="15">
        <f>VLOOKUP(Table2[[#This Row],[Course Title]],'TSD-Data'!$A$1:$F$53,6,FALSE)</f>
        <v>40</v>
      </c>
      <c r="S508" s="15">
        <f>VLOOKUP(Table2[[#This Row],[Course Title]],'TSD-Data'!$A$1:$E$56,5,FALSE)</f>
        <v>5</v>
      </c>
      <c r="T508" s="15">
        <v>125</v>
      </c>
      <c r="U508" s="15"/>
      <c r="V508" s="15"/>
      <c r="W508" s="15"/>
      <c r="X508" s="103"/>
      <c r="Y508" s="15"/>
      <c r="Z508" s="15"/>
      <c r="AA508" s="15"/>
      <c r="AB508" s="99"/>
      <c r="AC508" s="71">
        <f ca="1">Table2[[#This Row],[End Date]]+2-TODAY()</f>
        <v>382</v>
      </c>
      <c r="AD508" s="15">
        <f>IF(ISBLANK(Table2[[#This Row],[Roster Received By]]),1,0)</f>
        <v>1</v>
      </c>
      <c r="AE508" s="15">
        <f ca="1">IF(Table2[[#This Row],[Start Date]]&gt;TODAY(),1,)</f>
        <v>1</v>
      </c>
    </row>
    <row r="509" spans="1:32" x14ac:dyDescent="0.25">
      <c r="A509" s="62" t="s">
        <v>397</v>
      </c>
      <c r="B509" s="99" t="s">
        <v>17</v>
      </c>
      <c r="C509" s="100" t="str">
        <f>VLOOKUP(Table2[[#This Row],[Course Title]],'TSD-Data'!$A$1:$E$56,2,FALSE)</f>
        <v>A-493-0012</v>
      </c>
      <c r="D509" s="100">
        <f>VLOOKUP(Table2[[#This Row],[Course Title]],'TSD-Data'!$A$1:$E$56,3,FALSE)</f>
        <v>3682</v>
      </c>
      <c r="E509" s="99" t="s">
        <v>238</v>
      </c>
      <c r="F509" s="102">
        <v>45908</v>
      </c>
      <c r="G509" s="102">
        <v>45912</v>
      </c>
      <c r="H509" s="105">
        <v>0.33333333333333331</v>
      </c>
      <c r="I509" s="105"/>
      <c r="J509" s="102"/>
      <c r="K509" s="102"/>
      <c r="L509" s="102"/>
      <c r="M509" s="102"/>
      <c r="N509" s="102"/>
      <c r="O509" s="15"/>
      <c r="P509" s="15"/>
      <c r="Q509" s="103">
        <f>VLOOKUP(Table2[[#This Row],[Course Title]],'TSD-Data'!$A$1:$E$56,4,FALSE)</f>
        <v>40</v>
      </c>
      <c r="R509" s="15">
        <f>VLOOKUP(Table2[[#This Row],[Course Title]],'TSD-Data'!$A$1:$F$53,6,FALSE)</f>
        <v>40</v>
      </c>
      <c r="S509" s="104">
        <f>VLOOKUP(Table2[[#This Row],[Course Title]],'TSD-Data'!$A$1:$E$56,5,FALSE)</f>
        <v>5</v>
      </c>
      <c r="T509" s="104">
        <v>0</v>
      </c>
      <c r="U509" s="104"/>
      <c r="V509" s="104"/>
      <c r="W509" s="103"/>
      <c r="X509" s="103"/>
      <c r="Y509" s="15"/>
      <c r="Z509" s="15"/>
      <c r="AA509" s="15"/>
      <c r="AB509" s="99"/>
      <c r="AC509" s="71">
        <f ca="1">Table2[[#This Row],[End Date]]+2-TODAY()</f>
        <v>382</v>
      </c>
      <c r="AD509" s="15">
        <f>IF(ISBLANK(Table2[[#This Row],[Roster Received By]]),1,0)</f>
        <v>1</v>
      </c>
      <c r="AE509" s="15">
        <f ca="1">IF(Table2[[#This Row],[Start Date]]&gt;TODAY(),1,)</f>
        <v>1</v>
      </c>
    </row>
    <row r="510" spans="1:32" s="9" customFormat="1" x14ac:dyDescent="0.25">
      <c r="A510" s="62"/>
      <c r="B510" s="99" t="s">
        <v>17</v>
      </c>
      <c r="C510" s="100" t="str">
        <f>VLOOKUP(Table2[[#This Row],[Course Title]],'TSD-Data'!$A$1:$E$56,2,FALSE)</f>
        <v>A-493-0012</v>
      </c>
      <c r="D510" s="100">
        <f>VLOOKUP(Table2[[#This Row],[Course Title]],'TSD-Data'!$A$1:$E$56,3,FALSE)</f>
        <v>3682</v>
      </c>
      <c r="E510" s="99" t="s">
        <v>180</v>
      </c>
      <c r="F510" s="102">
        <v>45908</v>
      </c>
      <c r="G510" s="102">
        <v>45912</v>
      </c>
      <c r="H510" s="105">
        <v>0.33333333333333331</v>
      </c>
      <c r="I510" s="101"/>
      <c r="J510" s="101"/>
      <c r="K510" s="101"/>
      <c r="L510" s="101"/>
      <c r="M510" s="101"/>
      <c r="N510" s="101"/>
      <c r="O510" s="15" t="s">
        <v>94</v>
      </c>
      <c r="P510" s="15"/>
      <c r="Q510" s="15">
        <f>VLOOKUP(Table2[[#This Row],[Course Title]],'TSD-Data'!$A$1:$E$56,4,FALSE)</f>
        <v>40</v>
      </c>
      <c r="R510" s="15">
        <f>VLOOKUP(Table2[[#This Row],[Course Title]],'TSD-Data'!$A$1:$F$53,6,FALSE)</f>
        <v>40</v>
      </c>
      <c r="S510" s="15">
        <f>VLOOKUP(Table2[[#This Row],[Course Title]],'TSD-Data'!$A$1:$E$56,5,FALSE)</f>
        <v>5</v>
      </c>
      <c r="T510" s="15">
        <v>80</v>
      </c>
      <c r="U510" s="15"/>
      <c r="V510" s="15"/>
      <c r="W510" s="15"/>
      <c r="X510" s="103"/>
      <c r="Y510" s="15"/>
      <c r="Z510" s="15"/>
      <c r="AA510" s="100"/>
      <c r="AB510" s="99"/>
      <c r="AC510" s="71">
        <f ca="1">Table2[[#This Row],[End Date]]+2-TODAY()</f>
        <v>382</v>
      </c>
      <c r="AD510" s="15">
        <f>IF(ISBLANK(Table2[[#This Row],[Roster Received By]]),1,0)</f>
        <v>1</v>
      </c>
      <c r="AE510" s="15">
        <f ca="1">IF(Table2[[#This Row],[Start Date]]&gt;TODAY(),1,)</f>
        <v>1</v>
      </c>
    </row>
    <row r="511" spans="1:32" x14ac:dyDescent="0.25">
      <c r="A511" s="62"/>
      <c r="B511" s="99" t="s">
        <v>38</v>
      </c>
      <c r="C511" s="100" t="str">
        <f>VLOOKUP(Table2[[#This Row],[Course Title]],'TSD-Data'!$A$1:$E$56,2,FALSE)</f>
        <v>A-493-0061</v>
      </c>
      <c r="D511" s="100" t="str">
        <f>VLOOKUP(Table2[[#This Row],[Course Title]],'TSD-Data'!$A$1:$E$56,3,FALSE)</f>
        <v>288E</v>
      </c>
      <c r="E511" s="99" t="s">
        <v>80</v>
      </c>
      <c r="F511" s="102">
        <v>45908</v>
      </c>
      <c r="G511" s="102">
        <v>45911</v>
      </c>
      <c r="H511" s="105"/>
      <c r="I511" s="105">
        <v>0.41666666666666669</v>
      </c>
      <c r="J511" s="101">
        <v>0.29166666666666669</v>
      </c>
      <c r="K511" s="101">
        <v>0.70833333333333337</v>
      </c>
      <c r="L511" s="101">
        <v>0.66666666666666663</v>
      </c>
      <c r="M511" s="101">
        <v>0.16666666666666666</v>
      </c>
      <c r="N511" s="101">
        <v>0.95833333333333337</v>
      </c>
      <c r="O511" s="15" t="s">
        <v>394</v>
      </c>
      <c r="P511" s="15"/>
      <c r="Q511" s="103">
        <f>VLOOKUP(Table2[[#This Row],[Course Title]],'TSD-Data'!$A$1:$E$56,4,FALSE)</f>
        <v>45</v>
      </c>
      <c r="R511" s="15">
        <f>VLOOKUP(Table2[[#This Row],[Course Title]],'TSD-Data'!$A$1:$F$53,6,FALSE)</f>
        <v>30</v>
      </c>
      <c r="S511" s="15">
        <f>VLOOKUP(Table2[[#This Row],[Course Title]],'TSD-Data'!$A$1:$E$56,5,FALSE)</f>
        <v>4</v>
      </c>
      <c r="T511" s="15"/>
      <c r="U511" s="15"/>
      <c r="V511" s="15"/>
      <c r="W511" s="103"/>
      <c r="X511" s="103"/>
      <c r="Y511" s="15"/>
      <c r="Z511" s="15"/>
      <c r="AA511" s="100"/>
      <c r="AB511" s="99"/>
      <c r="AC511" s="71">
        <f ca="1">Table2[[#This Row],[End Date]]+2-TODAY()</f>
        <v>381</v>
      </c>
      <c r="AD511" s="15">
        <f>IF(ISBLANK(Table2[[#This Row],[Roster Received By]]),1,0)</f>
        <v>1</v>
      </c>
      <c r="AE511" s="15">
        <f ca="1">IF(Table2[[#This Row],[Start Date]]&gt;TODAY(),1,)</f>
        <v>1</v>
      </c>
    </row>
    <row r="512" spans="1:32" x14ac:dyDescent="0.25">
      <c r="A512" s="62"/>
      <c r="B512" s="99" t="s">
        <v>29</v>
      </c>
      <c r="C512" s="100" t="str">
        <f>VLOOKUP(Table2[[#This Row],[Course Title]],'TSD-Data'!$A$1:$E$56,2,FALSE)</f>
        <v>A-493-0077</v>
      </c>
      <c r="D512" s="100" t="str">
        <f>VLOOKUP(Table2[[#This Row],[Course Title]],'TSD-Data'!$A$1:$E$56,3,FALSE)</f>
        <v>0381</v>
      </c>
      <c r="E512" s="99" t="s">
        <v>197</v>
      </c>
      <c r="F512" s="102">
        <v>45908</v>
      </c>
      <c r="G512" s="102">
        <v>45910</v>
      </c>
      <c r="H512" s="105">
        <v>0.33333333333333331</v>
      </c>
      <c r="I512" s="105"/>
      <c r="J512" s="105"/>
      <c r="K512" s="105"/>
      <c r="L512" s="105"/>
      <c r="M512" s="105"/>
      <c r="N512" s="105"/>
      <c r="O512" s="15" t="s">
        <v>94</v>
      </c>
      <c r="P512" s="15"/>
      <c r="Q512" s="15">
        <f>VLOOKUP(Table2[[#This Row],[Course Title]],'TSD-Data'!$A$1:$E$56,4,FALSE)</f>
        <v>25</v>
      </c>
      <c r="R512" s="15">
        <f>VLOOKUP(Table2[[#This Row],[Course Title]],'TSD-Data'!$A$1:$F$53,6,FALSE)</f>
        <v>24</v>
      </c>
      <c r="S512" s="15">
        <f>VLOOKUP(Table2[[#This Row],[Course Title]],'TSD-Data'!$A$1:$E$56,5,FALSE)</f>
        <v>3</v>
      </c>
      <c r="T512" s="15">
        <v>13</v>
      </c>
      <c r="U512" s="15"/>
      <c r="V512" s="15"/>
      <c r="W512" s="15"/>
      <c r="X512" s="103"/>
      <c r="Y512" s="15"/>
      <c r="Z512" s="15"/>
      <c r="AA512" s="100"/>
      <c r="AB512" s="99"/>
      <c r="AC512" s="71">
        <f ca="1">Table2[[#This Row],[End Date]]+2-TODAY()</f>
        <v>380</v>
      </c>
      <c r="AD512" s="15">
        <f>IF(ISBLANK(Table2[[#This Row],[Roster Received By]]),1,0)</f>
        <v>1</v>
      </c>
      <c r="AE512" s="15">
        <f ca="1">IF(Table2[[#This Row],[Start Date]]&gt;TODAY(),1,)</f>
        <v>1</v>
      </c>
    </row>
    <row r="513" spans="1:31" x14ac:dyDescent="0.25">
      <c r="A513" s="62"/>
      <c r="B513" s="99" t="s">
        <v>29</v>
      </c>
      <c r="C513" s="100" t="str">
        <f>VLOOKUP(Table2[[#This Row],[Course Title]],'TSD-Data'!$A$1:$E$56,2,FALSE)</f>
        <v>A-493-0077</v>
      </c>
      <c r="D513" s="100" t="str">
        <f>VLOOKUP(Table2[[#This Row],[Course Title]],'TSD-Data'!$A$1:$E$56,3,FALSE)</f>
        <v>0381</v>
      </c>
      <c r="E513" s="99" t="s">
        <v>275</v>
      </c>
      <c r="F513" s="102">
        <v>45908</v>
      </c>
      <c r="G513" s="102">
        <v>45910</v>
      </c>
      <c r="H513" s="105">
        <v>0.33333333333333331</v>
      </c>
      <c r="I513" s="105"/>
      <c r="J513" s="105"/>
      <c r="K513" s="105"/>
      <c r="L513" s="105"/>
      <c r="M513" s="105"/>
      <c r="N513" s="105"/>
      <c r="O513" s="15" t="s">
        <v>94</v>
      </c>
      <c r="P513" s="15"/>
      <c r="Q513" s="15">
        <f>VLOOKUP(Table2[[#This Row],[Course Title]],'TSD-Data'!$A$1:$E$56,4,FALSE)</f>
        <v>25</v>
      </c>
      <c r="R513" s="15">
        <f>VLOOKUP(Table2[[#This Row],[Course Title]],'TSD-Data'!$A$1:$F$53,6,FALSE)</f>
        <v>24</v>
      </c>
      <c r="S513" s="15">
        <f>VLOOKUP(Table2[[#This Row],[Course Title]],'TSD-Data'!$A$1:$E$56,5,FALSE)</f>
        <v>3</v>
      </c>
      <c r="T513" s="15">
        <v>32</v>
      </c>
      <c r="U513" s="15"/>
      <c r="V513" s="15"/>
      <c r="W513" s="15"/>
      <c r="X513" s="103"/>
      <c r="Y513" s="15"/>
      <c r="Z513" s="15"/>
      <c r="AA513" s="100"/>
      <c r="AB513" s="99"/>
      <c r="AC513" s="71">
        <f ca="1">Table2[[#This Row],[End Date]]+2-TODAY()</f>
        <v>380</v>
      </c>
      <c r="AD513" s="15">
        <f>IF(ISBLANK(Table2[[#This Row],[Roster Received By]]),1,0)</f>
        <v>1</v>
      </c>
      <c r="AE513" s="15">
        <f ca="1">IF(Table2[[#This Row],[Start Date]]&gt;TODAY(),1,)</f>
        <v>1</v>
      </c>
    </row>
    <row r="514" spans="1:31" x14ac:dyDescent="0.25">
      <c r="A514" s="62"/>
      <c r="B514" s="99" t="s">
        <v>49</v>
      </c>
      <c r="C514" s="100" t="str">
        <f>VLOOKUP(Table2[[#This Row],[Course Title]],'TSD-Data'!$A$1:$E$56,2,FALSE)</f>
        <v>A-493-0092</v>
      </c>
      <c r="D514" s="100">
        <f>VLOOKUP(Table2[[#This Row],[Course Title]],'TSD-Data'!$A$1:$E$56,3,FALSE)</f>
        <v>5891</v>
      </c>
      <c r="E514" s="65" t="s">
        <v>267</v>
      </c>
      <c r="F514" s="102">
        <v>45908</v>
      </c>
      <c r="G514" s="102">
        <v>45910</v>
      </c>
      <c r="H514" s="105">
        <v>0.33333333333333331</v>
      </c>
      <c r="I514" s="108"/>
      <c r="J514" s="102"/>
      <c r="K514" s="102"/>
      <c r="L514" s="102"/>
      <c r="M514" s="102"/>
      <c r="N514" s="102"/>
      <c r="O514" s="15" t="s">
        <v>394</v>
      </c>
      <c r="P514" s="15"/>
      <c r="Q514" s="15">
        <f>VLOOKUP(Table2[[#This Row],[Course Title]],'TSD-Data'!$A$1:$E$56,4,FALSE)</f>
        <v>25</v>
      </c>
      <c r="R514" s="15">
        <f>VLOOKUP(Table2[[#This Row],[Course Title]],'TSD-Data'!$A$1:$F$53,6,FALSE)</f>
        <v>24</v>
      </c>
      <c r="S514" s="15">
        <f>VLOOKUP(Table2[[#This Row],[Course Title]],'TSD-Data'!$A$1:$E$56,5,FALSE)</f>
        <v>3</v>
      </c>
      <c r="T514" s="15"/>
      <c r="U514" s="15"/>
      <c r="V514" s="15"/>
      <c r="W514" s="15"/>
      <c r="X514" s="103"/>
      <c r="Y514" s="15"/>
      <c r="Z514" s="15"/>
      <c r="AA514" s="103"/>
      <c r="AB514" s="99"/>
      <c r="AC514" s="71">
        <f ca="1">Table2[[#This Row],[End Date]]+2-TODAY()</f>
        <v>380</v>
      </c>
      <c r="AD514" s="15">
        <f>IF(ISBLANK(Table2[[#This Row],[Roster Received By]]),1,0)</f>
        <v>1</v>
      </c>
      <c r="AE514" s="15">
        <f ca="1">IF(Table2[[#This Row],[Start Date]]&gt;TODAY(),1,)</f>
        <v>1</v>
      </c>
    </row>
    <row r="515" spans="1:31" x14ac:dyDescent="0.25">
      <c r="A515" s="62"/>
      <c r="B515" s="99" t="s">
        <v>61</v>
      </c>
      <c r="C515" s="100" t="str">
        <f>VLOOKUP(Table2[[#This Row],[Course Title]],'TSD-Data'!$A$1:$E$56,2,FALSE)</f>
        <v>A-493-0078</v>
      </c>
      <c r="D515" s="100">
        <f>VLOOKUP(Table2[[#This Row],[Course Title]],'TSD-Data'!$A$1:$E$56,3,FALSE)</f>
        <v>1228</v>
      </c>
      <c r="E515" s="99" t="s">
        <v>80</v>
      </c>
      <c r="F515" s="102">
        <v>45908</v>
      </c>
      <c r="G515" s="102">
        <v>45911</v>
      </c>
      <c r="H515" s="105"/>
      <c r="I515" s="105">
        <v>0.54166666666666663</v>
      </c>
      <c r="J515" s="101">
        <v>0.41666666666666669</v>
      </c>
      <c r="K515" s="101">
        <v>0.83333333333333337</v>
      </c>
      <c r="L515" s="101">
        <v>0.75</v>
      </c>
      <c r="M515" s="101">
        <v>0.29166666666666669</v>
      </c>
      <c r="N515" s="101">
        <v>8.3333333333333329E-2</v>
      </c>
      <c r="O515" s="15" t="s">
        <v>394</v>
      </c>
      <c r="P515" s="15"/>
      <c r="Q515" s="15">
        <f>VLOOKUP(Table2[[#This Row],[Course Title]],'TSD-Data'!$A$1:$E$56,4,FALSE)</f>
        <v>45</v>
      </c>
      <c r="R515" s="15">
        <f>VLOOKUP(Table2[[#This Row],[Course Title]],'TSD-Data'!$A$1:$F$53,6,FALSE)</f>
        <v>32</v>
      </c>
      <c r="S515" s="15">
        <f>VLOOKUP(Table2[[#This Row],[Course Title]],'TSD-Data'!$A$1:$E$56,5,FALSE)</f>
        <v>4</v>
      </c>
      <c r="T515" s="15"/>
      <c r="U515" s="15"/>
      <c r="V515" s="15"/>
      <c r="W515" s="15"/>
      <c r="X515" s="103"/>
      <c r="Y515" s="15"/>
      <c r="Z515" s="15"/>
      <c r="AA515" s="15"/>
      <c r="AB515" s="99"/>
      <c r="AC515" s="71">
        <f ca="1">Table2[[#This Row],[End Date]]+2-TODAY()</f>
        <v>381</v>
      </c>
      <c r="AD515" s="15">
        <f>IF(ISBLANK(Table2[[#This Row],[Roster Received By]]),1,0)</f>
        <v>1</v>
      </c>
      <c r="AE515" s="15">
        <f ca="1">IF(Table2[[#This Row],[Start Date]]&gt;TODAY(),1,)</f>
        <v>1</v>
      </c>
    </row>
    <row r="516" spans="1:31" x14ac:dyDescent="0.25">
      <c r="A516" s="62"/>
      <c r="B516" s="99" t="s">
        <v>52</v>
      </c>
      <c r="C516" s="100" t="str">
        <f>VLOOKUP(Table2[[#This Row],[Course Title]],'TSD-Data'!$A$1:$E$56,2,FALSE)</f>
        <v>A-493-0085</v>
      </c>
      <c r="D516" s="100">
        <f>VLOOKUP(Table2[[#This Row],[Course Title]],'TSD-Data'!$A$1:$E$56,3,FALSE)</f>
        <v>3555</v>
      </c>
      <c r="E516" s="99" t="s">
        <v>80</v>
      </c>
      <c r="F516" s="102">
        <v>45908</v>
      </c>
      <c r="G516" s="102">
        <v>45911</v>
      </c>
      <c r="H516" s="102"/>
      <c r="I516" s="101">
        <v>0.5</v>
      </c>
      <c r="J516" s="101">
        <v>0.375</v>
      </c>
      <c r="K516" s="101">
        <v>0.79166666666666663</v>
      </c>
      <c r="L516" s="101">
        <v>0.75</v>
      </c>
      <c r="M516" s="101">
        <v>0.25</v>
      </c>
      <c r="N516" s="101">
        <v>4.1666666666666664E-2</v>
      </c>
      <c r="O516" s="15" t="s">
        <v>394</v>
      </c>
      <c r="P516" s="15"/>
      <c r="Q516" s="15">
        <f>VLOOKUP(Table2[[#This Row],[Course Title]],'TSD-Data'!$A$1:$E$56,4,FALSE)</f>
        <v>45</v>
      </c>
      <c r="R516" s="15">
        <f>VLOOKUP(Table2[[#This Row],[Course Title]],'TSD-Data'!$A$1:$F$53,6,FALSE)</f>
        <v>32</v>
      </c>
      <c r="S516" s="15">
        <f>VLOOKUP(Table2[[#This Row],[Course Title]],'TSD-Data'!$A$1:$E$56,5,FALSE)</f>
        <v>4</v>
      </c>
      <c r="T516" s="15"/>
      <c r="U516" s="15"/>
      <c r="V516" s="15"/>
      <c r="W516" s="15"/>
      <c r="X516" s="103"/>
      <c r="Y516" s="15"/>
      <c r="Z516" s="15"/>
      <c r="AA516" s="15"/>
      <c r="AB516" s="99"/>
      <c r="AC516" s="71">
        <f ca="1">Table2[[#This Row],[End Date]]+2-TODAY()</f>
        <v>381</v>
      </c>
      <c r="AD516" s="15">
        <f>IF(ISBLANK(Table2[[#This Row],[Roster Received By]]),1,0)</f>
        <v>1</v>
      </c>
      <c r="AE516" s="15">
        <f ca="1">IF(Table2[[#This Row],[Start Date]]&gt;TODAY(),1,)</f>
        <v>1</v>
      </c>
    </row>
    <row r="517" spans="1:31" x14ac:dyDescent="0.25">
      <c r="A517" s="100"/>
      <c r="B517" s="99" t="s">
        <v>39</v>
      </c>
      <c r="C517" s="100" t="str">
        <f>VLOOKUP(Table2[[#This Row],[Course Title]],'TSD-Data'!$A$1:$E$56,2,FALSE)</f>
        <v>A-570-0100</v>
      </c>
      <c r="D517" s="100" t="str">
        <f>VLOOKUP(Table2[[#This Row],[Course Title]],'TSD-Data'!$A$1:$E$56,3,FALSE)</f>
        <v>18B7</v>
      </c>
      <c r="E517" s="99" t="s">
        <v>80</v>
      </c>
      <c r="F517" s="102">
        <v>45908</v>
      </c>
      <c r="G517" s="102">
        <v>45911</v>
      </c>
      <c r="H517" s="105"/>
      <c r="I517" s="105">
        <v>0.54166666666666663</v>
      </c>
      <c r="J517" s="101">
        <v>0.41666666666666669</v>
      </c>
      <c r="K517" s="101">
        <v>0.83333333333333337</v>
      </c>
      <c r="L517" s="101">
        <v>0.75</v>
      </c>
      <c r="M517" s="101">
        <v>0.29166666666666669</v>
      </c>
      <c r="N517" s="101">
        <v>8.3333333333333329E-2</v>
      </c>
      <c r="O517" s="15" t="s">
        <v>394</v>
      </c>
      <c r="P517" s="15"/>
      <c r="Q517" s="15">
        <f>VLOOKUP(Table2[[#This Row],[Course Title]],'TSD-Data'!$A$1:$E$56,4,FALSE)</f>
        <v>45</v>
      </c>
      <c r="R517" s="15">
        <f>VLOOKUP(Table2[[#This Row],[Course Title]],'TSD-Data'!$A$1:$F$53,6,FALSE)</f>
        <v>16</v>
      </c>
      <c r="S517" s="15">
        <f>VLOOKUP(Table2[[#This Row],[Course Title]],'TSD-Data'!$A$1:$E$56,5,FALSE)</f>
        <v>2</v>
      </c>
      <c r="T517" s="15"/>
      <c r="U517" s="15"/>
      <c r="V517" s="15"/>
      <c r="W517" s="104"/>
      <c r="X517" s="104"/>
      <c r="Y517" s="100"/>
      <c r="Z517" s="100"/>
      <c r="AA517" s="104"/>
      <c r="AB517" s="99"/>
      <c r="AC517" s="71">
        <f ca="1">Table2[[#This Row],[End Date]]+2-TODAY()</f>
        <v>381</v>
      </c>
      <c r="AD517" s="15">
        <f>IF(ISBLANK(Table2[[#This Row],[Roster Received By]]),1,0)</f>
        <v>1</v>
      </c>
      <c r="AE517" s="15">
        <f ca="1">IF(Table2[[#This Row],[Start Date]]&gt;TODAY(),1,)</f>
        <v>1</v>
      </c>
    </row>
    <row r="518" spans="1:31" x14ac:dyDescent="0.25">
      <c r="A518" s="62"/>
      <c r="B518" s="99" t="s">
        <v>53</v>
      </c>
      <c r="C518" s="100" t="str">
        <f>VLOOKUP(Table2[[#This Row],[Course Title]],'TSD-Data'!$A$1:$E$56,2,FALSE)</f>
        <v>A-493-0072</v>
      </c>
      <c r="D518" s="100" t="str">
        <f>VLOOKUP(Table2[[#This Row],[Course Title]],'TSD-Data'!$A$1:$E$56,3,FALSE)</f>
        <v>713U</v>
      </c>
      <c r="E518" s="99" t="s">
        <v>292</v>
      </c>
      <c r="F518" s="102">
        <v>45908</v>
      </c>
      <c r="G518" s="102">
        <v>45912</v>
      </c>
      <c r="H518" s="105">
        <v>0.33333333333333331</v>
      </c>
      <c r="I518" s="105"/>
      <c r="J518" s="102"/>
      <c r="K518" s="102"/>
      <c r="L518" s="102"/>
      <c r="M518" s="102"/>
      <c r="N518" s="102"/>
      <c r="O518" s="15" t="s">
        <v>394</v>
      </c>
      <c r="P518" s="15"/>
      <c r="Q518" s="15">
        <f>VLOOKUP(Table2[[#This Row],[Course Title]],'TSD-Data'!$A$1:$E$56,4,FALSE)</f>
        <v>30</v>
      </c>
      <c r="R518" s="15">
        <f>VLOOKUP(Table2[[#This Row],[Course Title]],'TSD-Data'!$A$1:$F$53,6,FALSE)</f>
        <v>40</v>
      </c>
      <c r="S518" s="15">
        <f>VLOOKUP(Table2[[#This Row],[Course Title]],'TSD-Data'!$A$1:$E$56,5,FALSE)</f>
        <v>5</v>
      </c>
      <c r="T518" s="15"/>
      <c r="U518" s="15"/>
      <c r="V518" s="15"/>
      <c r="W518" s="15"/>
      <c r="X518" s="103"/>
      <c r="Y518" s="15"/>
      <c r="Z518" s="15"/>
      <c r="AA518" s="15"/>
      <c r="AB518" s="99"/>
      <c r="AC518" s="71">
        <f ca="1">Table2[[#This Row],[End Date]]+2-TODAY()</f>
        <v>382</v>
      </c>
      <c r="AD518" s="15">
        <f>IF(ISBLANK(Table2[[#This Row],[Roster Received By]]),1,0)</f>
        <v>1</v>
      </c>
      <c r="AE518" s="15">
        <f ca="1">IF(Table2[[#This Row],[Start Date]]&gt;TODAY(),1,)</f>
        <v>1</v>
      </c>
    </row>
    <row r="519" spans="1:31" x14ac:dyDescent="0.25">
      <c r="A519" s="62"/>
      <c r="B519" s="99" t="s">
        <v>31</v>
      </c>
      <c r="C519" s="100" t="str">
        <f>VLOOKUP(Table2[[#This Row],[Course Title]],'TSD-Data'!$A$1:$E$56,2,FALSE)</f>
        <v>A-493-0083</v>
      </c>
      <c r="D519" s="100" t="str">
        <f>VLOOKUP(Table2[[#This Row],[Course Title]],'TSD-Data'!$A$1:$E$56,3,FALSE)</f>
        <v>339E</v>
      </c>
      <c r="E519" s="99" t="s">
        <v>275</v>
      </c>
      <c r="F519" s="102">
        <v>45911</v>
      </c>
      <c r="G519" s="102">
        <v>45911</v>
      </c>
      <c r="H519" s="105">
        <v>0.33333333333333331</v>
      </c>
      <c r="I519" s="105"/>
      <c r="J519" s="105"/>
      <c r="K519" s="105"/>
      <c r="L519" s="105"/>
      <c r="M519" s="105"/>
      <c r="N519" s="105"/>
      <c r="O519" s="15" t="s">
        <v>94</v>
      </c>
      <c r="P519" s="15"/>
      <c r="Q519" s="15">
        <f>VLOOKUP(Table2[[#This Row],[Course Title]],'TSD-Data'!$A$1:$E$56,4,FALSE)</f>
        <v>30</v>
      </c>
      <c r="R519" s="15">
        <f>VLOOKUP(Table2[[#This Row],[Course Title]],'TSD-Data'!$A$1:$F$53,6,FALSE)</f>
        <v>8</v>
      </c>
      <c r="S519" s="15">
        <f>VLOOKUP(Table2[[#This Row],[Course Title]],'TSD-Data'!$A$1:$E$56,5,FALSE)</f>
        <v>1</v>
      </c>
      <c r="T519" s="15">
        <v>32</v>
      </c>
      <c r="U519" s="15"/>
      <c r="V519" s="15"/>
      <c r="W519" s="15"/>
      <c r="X519" s="103"/>
      <c r="Y519" s="15"/>
      <c r="Z519" s="15"/>
      <c r="AA519" s="100"/>
      <c r="AB519" s="99"/>
      <c r="AC519" s="71">
        <f ca="1">Table2[[#This Row],[End Date]]+2-TODAY()</f>
        <v>381</v>
      </c>
      <c r="AD519" s="15">
        <f>IF(ISBLANK(Table2[[#This Row],[Roster Received By]]),1,0)</f>
        <v>1</v>
      </c>
      <c r="AE519" s="15">
        <f ca="1">IF(Table2[[#This Row],[Start Date]]&gt;TODAY(),1,)</f>
        <v>1</v>
      </c>
    </row>
    <row r="520" spans="1:31" x14ac:dyDescent="0.25">
      <c r="A520" s="99"/>
      <c r="B520" s="99" t="s">
        <v>165</v>
      </c>
      <c r="C520" s="100" t="str">
        <f>VLOOKUP(Table2[[#This Row],[Course Title]],'TSD-Data'!$A$1:$E$56,2,FALSE)</f>
        <v>A-322-2604</v>
      </c>
      <c r="D520" s="100" t="str">
        <f>VLOOKUP(Table2[[#This Row],[Course Title]],'TSD-Data'!$A$1:$E$56,3,FALSE)</f>
        <v>10ZZ</v>
      </c>
      <c r="E520" s="99" t="s">
        <v>80</v>
      </c>
      <c r="F520" s="102">
        <v>45915</v>
      </c>
      <c r="G520" s="102">
        <v>45919</v>
      </c>
      <c r="H520" s="105"/>
      <c r="I520" s="105">
        <v>0.33333333333333331</v>
      </c>
      <c r="J520" s="105">
        <v>0.20833333333333334</v>
      </c>
      <c r="K520" s="105">
        <v>0.625</v>
      </c>
      <c r="L520" s="105">
        <v>0.54166666666666663</v>
      </c>
      <c r="M520" s="105">
        <v>8.3333333333333329E-2</v>
      </c>
      <c r="N520" s="105">
        <v>0.875</v>
      </c>
      <c r="O520" s="15" t="s">
        <v>394</v>
      </c>
      <c r="P520" s="15"/>
      <c r="Q520" s="15">
        <f>VLOOKUP(Table2[[#This Row],[Course Title]],'TSD-Data'!$A$1:$E$56,4,FALSE)</f>
        <v>45</v>
      </c>
      <c r="R520" s="15">
        <f>VLOOKUP(Table2[[#This Row],[Course Title]],'TSD-Data'!$A$1:$F$53,6,FALSE)</f>
        <v>24</v>
      </c>
      <c r="S520" s="15">
        <f>VLOOKUP(Table2[[#This Row],[Course Title]],'TSD-Data'!$A$1:$E$56,5,FALSE)</f>
        <v>3</v>
      </c>
      <c r="T520" s="15"/>
      <c r="U520" s="15"/>
      <c r="V520" s="15"/>
      <c r="W520" s="103"/>
      <c r="X520" s="103"/>
      <c r="Y520" s="15"/>
      <c r="Z520" s="15"/>
      <c r="AA520" s="15"/>
      <c r="AB520" s="99"/>
      <c r="AC520" s="71">
        <f ca="1">Table2[[#This Row],[End Date]]+2-TODAY()</f>
        <v>389</v>
      </c>
      <c r="AD520" s="15">
        <f>IF(ISBLANK(Table2[[#This Row],[Roster Received By]]),1,0)</f>
        <v>1</v>
      </c>
      <c r="AE520" s="15">
        <f ca="1">IF(Table2[[#This Row],[Start Date]]&gt;TODAY(),1,)</f>
        <v>1</v>
      </c>
    </row>
    <row r="521" spans="1:31" x14ac:dyDescent="0.25">
      <c r="A521" s="62"/>
      <c r="B521" s="99" t="s">
        <v>59</v>
      </c>
      <c r="C521" s="100" t="str">
        <f>VLOOKUP(Table2[[#This Row],[Course Title]],'TSD-Data'!$A$1:$E$56,2,FALSE)</f>
        <v>A-493-0550</v>
      </c>
      <c r="D521" s="100" t="str">
        <f>VLOOKUP(Table2[[#This Row],[Course Title]],'TSD-Data'!$A$1:$E$56,3,FALSE)</f>
        <v>09K5</v>
      </c>
      <c r="E521" s="99" t="s">
        <v>80</v>
      </c>
      <c r="F521" s="102">
        <v>45915</v>
      </c>
      <c r="G521" s="102">
        <v>45918</v>
      </c>
      <c r="H521" s="105"/>
      <c r="I521" s="101">
        <v>0.33333333333333331</v>
      </c>
      <c r="J521" s="105">
        <v>0.20833333333333334</v>
      </c>
      <c r="K521" s="105">
        <v>0.625</v>
      </c>
      <c r="L521" s="105">
        <v>0.54166666666666663</v>
      </c>
      <c r="M521" s="105">
        <v>8.3333333333333329E-2</v>
      </c>
      <c r="N521" s="105">
        <v>0.875</v>
      </c>
      <c r="O521" s="15" t="s">
        <v>394</v>
      </c>
      <c r="P521" s="15"/>
      <c r="Q521" s="103">
        <f>VLOOKUP(Table2[[#This Row],[Course Title]],'TSD-Data'!$A$1:$E$56,4,FALSE)</f>
        <v>45</v>
      </c>
      <c r="R521" s="15">
        <f>VLOOKUP(Table2[[#This Row],[Course Title]],'TSD-Data'!$A$1:$F$53,6,FALSE)</f>
        <v>32</v>
      </c>
      <c r="S521" s="15">
        <f>VLOOKUP(Table2[[#This Row],[Course Title]],'TSD-Data'!$A$1:$E$56,5,FALSE)</f>
        <v>4</v>
      </c>
      <c r="T521" s="15"/>
      <c r="U521" s="15"/>
      <c r="V521" s="15"/>
      <c r="W521" s="103"/>
      <c r="X521" s="103"/>
      <c r="Y521" s="15"/>
      <c r="Z521" s="15"/>
      <c r="AA521" s="15"/>
      <c r="AB521" s="99"/>
      <c r="AC521" s="71">
        <f ca="1">Table2[[#This Row],[End Date]]+2-TODAY()</f>
        <v>388</v>
      </c>
      <c r="AD521" s="15">
        <f>IF(ISBLANK(Table2[[#This Row],[Roster Received By]]),1,0)</f>
        <v>1</v>
      </c>
      <c r="AE521" s="15">
        <f ca="1">IF(Table2[[#This Row],[Start Date]]&gt;TODAY(),1,)</f>
        <v>1</v>
      </c>
    </row>
    <row r="522" spans="1:31" x14ac:dyDescent="0.25">
      <c r="A522" s="65"/>
      <c r="B522" s="99" t="s">
        <v>60</v>
      </c>
      <c r="C522" s="100" t="str">
        <f>VLOOKUP(Table2[[#This Row],[Course Title]],'TSD-Data'!$A$1:$E$56,2,FALSE)</f>
        <v>A-493-0073</v>
      </c>
      <c r="D522" s="100" t="str">
        <f>VLOOKUP(Table2[[#This Row],[Course Title]],'TSD-Data'!$A$1:$E$56,3,FALSE)</f>
        <v>714S</v>
      </c>
      <c r="E522" s="99" t="s">
        <v>80</v>
      </c>
      <c r="F522" s="102">
        <v>45915</v>
      </c>
      <c r="G522" s="102">
        <v>45918</v>
      </c>
      <c r="H522" s="108"/>
      <c r="I522" s="101">
        <v>8.3333333333333329E-2</v>
      </c>
      <c r="J522" s="101">
        <v>0.95833333333333337</v>
      </c>
      <c r="K522" s="101">
        <v>0.375</v>
      </c>
      <c r="L522" s="101">
        <v>0.33333333333333331</v>
      </c>
      <c r="M522" s="101">
        <v>0.83333333333333337</v>
      </c>
      <c r="N522" s="101">
        <v>0.625</v>
      </c>
      <c r="O522" s="15" t="s">
        <v>160</v>
      </c>
      <c r="P522" s="15"/>
      <c r="Q522" s="15">
        <f>VLOOKUP(Table2[[#This Row],[Course Title]],'TSD-Data'!$A$1:$E$56,4,FALSE)</f>
        <v>30</v>
      </c>
      <c r="R522" s="15">
        <f>VLOOKUP(Table2[[#This Row],[Course Title]],'TSD-Data'!$A$1:$F$53,6,FALSE)</f>
        <v>32</v>
      </c>
      <c r="S522" s="15">
        <f>VLOOKUP(Table2[[#This Row],[Course Title]],'TSD-Data'!$A$1:$E$56,5,FALSE)</f>
        <v>4</v>
      </c>
      <c r="T522" s="15">
        <v>45</v>
      </c>
      <c r="U522" s="15"/>
      <c r="V522" s="15"/>
      <c r="W522" s="15"/>
      <c r="X522" s="103"/>
      <c r="Y522" s="15"/>
      <c r="Z522" s="15"/>
      <c r="AA522" s="15"/>
      <c r="AB522" s="99"/>
      <c r="AC522" s="71">
        <f ca="1">Table2[[#This Row],[End Date]]+2-TODAY()</f>
        <v>388</v>
      </c>
      <c r="AD522" s="15">
        <f>IF(ISBLANK(Table2[[#This Row],[Roster Received By]]),1,0)</f>
        <v>1</v>
      </c>
      <c r="AE522" s="15">
        <f ca="1">IF(Table2[[#This Row],[Start Date]]&gt;TODAY(),1,)</f>
        <v>1</v>
      </c>
    </row>
    <row r="523" spans="1:31" x14ac:dyDescent="0.25">
      <c r="A523" s="62"/>
      <c r="B523" s="99" t="s">
        <v>53</v>
      </c>
      <c r="C523" s="100" t="str">
        <f>VLOOKUP(Table2[[#This Row],[Course Title]],'TSD-Data'!$A$1:$E$56,2,FALSE)</f>
        <v>A-493-0072</v>
      </c>
      <c r="D523" s="100" t="str">
        <f>VLOOKUP(Table2[[#This Row],[Course Title]],'TSD-Data'!$A$1:$E$56,3,FALSE)</f>
        <v>713U</v>
      </c>
      <c r="E523" s="99" t="s">
        <v>276</v>
      </c>
      <c r="F523" s="102">
        <v>45915</v>
      </c>
      <c r="G523" s="102">
        <v>45919</v>
      </c>
      <c r="H523" s="105">
        <v>0.33333333333333331</v>
      </c>
      <c r="I523" s="105"/>
      <c r="J523" s="102"/>
      <c r="K523" s="102"/>
      <c r="L523" s="102"/>
      <c r="M523" s="102"/>
      <c r="N523" s="102"/>
      <c r="O523" s="15" t="s">
        <v>394</v>
      </c>
      <c r="P523" s="15"/>
      <c r="Q523" s="15">
        <f>VLOOKUP(Table2[[#This Row],[Course Title]],'TSD-Data'!$A$1:$E$56,4,FALSE)</f>
        <v>30</v>
      </c>
      <c r="R523" s="15">
        <f>VLOOKUP(Table2[[#This Row],[Course Title]],'TSD-Data'!$A$1:$F$53,6,FALSE)</f>
        <v>40</v>
      </c>
      <c r="S523" s="15">
        <f>VLOOKUP(Table2[[#This Row],[Course Title]],'TSD-Data'!$A$1:$E$56,5,FALSE)</f>
        <v>5</v>
      </c>
      <c r="T523" s="15"/>
      <c r="U523" s="15"/>
      <c r="V523" s="15"/>
      <c r="W523" s="15"/>
      <c r="X523" s="103"/>
      <c r="Y523" s="15"/>
      <c r="Z523" s="15"/>
      <c r="AA523" s="15"/>
      <c r="AB523" s="99"/>
      <c r="AC523" s="71">
        <f ca="1">Table2[[#This Row],[End Date]]+2-TODAY()</f>
        <v>389</v>
      </c>
      <c r="AD523" s="15">
        <f>IF(ISBLANK(Table2[[#This Row],[Roster Received By]]),1,0)</f>
        <v>1</v>
      </c>
      <c r="AE523" s="15">
        <f ca="1">IF(Table2[[#This Row],[Start Date]]&gt;TODAY(),1,)</f>
        <v>1</v>
      </c>
    </row>
    <row r="524" spans="1:31" x14ac:dyDescent="0.25">
      <c r="A524" s="62"/>
      <c r="B524" s="99" t="s">
        <v>231</v>
      </c>
      <c r="C524" s="100" t="str">
        <f>VLOOKUP(Table2[[#This Row],[Course Title]],'TSD-Data'!$A$1:$E$56,2,FALSE)</f>
        <v>A-4J-0019</v>
      </c>
      <c r="D524" s="100" t="s">
        <v>381</v>
      </c>
      <c r="E524" s="99" t="s">
        <v>270</v>
      </c>
      <c r="F524" s="102">
        <v>45915</v>
      </c>
      <c r="G524" s="102">
        <v>45919</v>
      </c>
      <c r="H524" s="105">
        <v>0.33333333333333331</v>
      </c>
      <c r="I524" s="105"/>
      <c r="J524" s="102"/>
      <c r="K524" s="102"/>
      <c r="L524" s="102"/>
      <c r="M524" s="102"/>
      <c r="N524" s="102"/>
      <c r="O524" s="15" t="s">
        <v>205</v>
      </c>
      <c r="P524" s="15" t="s">
        <v>201</v>
      </c>
      <c r="Q524" s="103">
        <f>VLOOKUP(Table2[[#This Row],[Course Title]],'TSD-Data'!$A$1:$E$56,4,FALSE)</f>
        <v>20</v>
      </c>
      <c r="R524" s="15">
        <f>VLOOKUP(Table2[[#This Row],[Course Title]],'TSD-Data'!$A$1:$F$53,6,FALSE)</f>
        <v>0</v>
      </c>
      <c r="S524" s="104">
        <f>VLOOKUP(Table2[[#This Row],[Course Title]],'TSD-Data'!$A$1:$E$56,5,FALSE)</f>
        <v>5</v>
      </c>
      <c r="T524" s="104">
        <v>351</v>
      </c>
      <c r="U524" s="104"/>
      <c r="V524" s="104"/>
      <c r="W524" s="103"/>
      <c r="X524" s="103"/>
      <c r="Y524" s="15"/>
      <c r="Z524" s="15"/>
      <c r="AA524" s="15"/>
      <c r="AB524" s="99"/>
      <c r="AC524" s="71">
        <f ca="1">Table2[[#This Row],[End Date]]+2-TODAY()</f>
        <v>389</v>
      </c>
      <c r="AD524" s="15">
        <f>IF(ISBLANK(Table2[[#This Row],[Roster Received By]]),1,0)</f>
        <v>1</v>
      </c>
      <c r="AE524" s="15">
        <f ca="1">IF(Table2[[#This Row],[Start Date]]&gt;TODAY(),1,)</f>
        <v>1</v>
      </c>
    </row>
    <row r="525" spans="1:31" x14ac:dyDescent="0.25">
      <c r="A525" s="100"/>
      <c r="B525" s="99" t="s">
        <v>40</v>
      </c>
      <c r="C525" s="100" t="str">
        <f>VLOOKUP(Table2[[#This Row],[Course Title]],'TSD-Data'!$A$1:$E$56,2,FALSE)</f>
        <v>A-493-2098</v>
      </c>
      <c r="D525" s="100" t="str">
        <f>VLOOKUP(Table2[[#This Row],[Course Title]],'TSD-Data'!$A$1:$E$56,3,FALSE)</f>
        <v>09WW</v>
      </c>
      <c r="E525" s="99" t="s">
        <v>80</v>
      </c>
      <c r="F525" s="102">
        <v>45915</v>
      </c>
      <c r="G525" s="102">
        <v>45919</v>
      </c>
      <c r="H525" s="105"/>
      <c r="I525" s="105">
        <v>0.54166666666666663</v>
      </c>
      <c r="J525" s="101">
        <v>0.41666666666666669</v>
      </c>
      <c r="K525" s="101">
        <v>0.83333333333333337</v>
      </c>
      <c r="L525" s="101">
        <v>0.75</v>
      </c>
      <c r="M525" s="101">
        <v>0.29166666666666669</v>
      </c>
      <c r="N525" s="101">
        <v>8.3333333333333329E-2</v>
      </c>
      <c r="O525" s="15" t="s">
        <v>394</v>
      </c>
      <c r="P525" s="15"/>
      <c r="Q525" s="15">
        <f>VLOOKUP(Table2[[#This Row],[Course Title]],'TSD-Data'!$A$1:$E$56,4,FALSE)</f>
        <v>100</v>
      </c>
      <c r="R525" s="15">
        <f>VLOOKUP(Table2[[#This Row],[Course Title]],'TSD-Data'!$A$1:$F$53,6,FALSE)</f>
        <v>16</v>
      </c>
      <c r="S525" s="15">
        <f>VLOOKUP(Table2[[#This Row],[Course Title]],'TSD-Data'!$A$1:$E$56,5,FALSE)</f>
        <v>2</v>
      </c>
      <c r="T525" s="15"/>
      <c r="U525" s="15"/>
      <c r="V525" s="15"/>
      <c r="W525" s="104"/>
      <c r="X525" s="104"/>
      <c r="Y525" s="100"/>
      <c r="Z525" s="100"/>
      <c r="AA525" s="104"/>
      <c r="AB525" s="99"/>
      <c r="AC525" s="71">
        <f ca="1">Table2[[#This Row],[End Date]]+2-TODAY()</f>
        <v>389</v>
      </c>
      <c r="AD525" s="15">
        <f>IF(ISBLANK(Table2[[#This Row],[Roster Received By]]),1,0)</f>
        <v>1</v>
      </c>
      <c r="AE525" s="15">
        <f ca="1">IF(Table2[[#This Row],[Start Date]]&gt;TODAY(),1,)</f>
        <v>1</v>
      </c>
    </row>
    <row r="526" spans="1:31" x14ac:dyDescent="0.25">
      <c r="A526" s="62"/>
      <c r="B526" s="99" t="s">
        <v>57</v>
      </c>
      <c r="C526" s="100" t="str">
        <f>VLOOKUP(Table2[[#This Row],[Course Title]],'TSD-Data'!$A$1:$E$56,2,FALSE)</f>
        <v>A-493-0099</v>
      </c>
      <c r="D526" s="100" t="str">
        <f>VLOOKUP(Table2[[#This Row],[Course Title]],'TSD-Data'!$A$1:$E$56,3,FALSE)</f>
        <v>12JW</v>
      </c>
      <c r="E526" s="99" t="s">
        <v>80</v>
      </c>
      <c r="F526" s="102">
        <v>45916</v>
      </c>
      <c r="G526" s="102">
        <v>45918</v>
      </c>
      <c r="H526" s="105"/>
      <c r="I526" s="105">
        <v>0.33333333333333331</v>
      </c>
      <c r="J526" s="105">
        <v>0.20833333333333334</v>
      </c>
      <c r="K526" s="105">
        <v>0.625</v>
      </c>
      <c r="L526" s="105">
        <v>0.54166666666666663</v>
      </c>
      <c r="M526" s="105">
        <v>8.3333333333333329E-2</v>
      </c>
      <c r="N526" s="105">
        <v>0.875</v>
      </c>
      <c r="O526" s="15" t="s">
        <v>394</v>
      </c>
      <c r="P526" s="15"/>
      <c r="Q526" s="103">
        <f>VLOOKUP(Table2[[#This Row],[Course Title]],'TSD-Data'!$A$1:$E$56,4,FALSE)</f>
        <v>45</v>
      </c>
      <c r="R526" s="15">
        <f>VLOOKUP(Table2[[#This Row],[Course Title]],'TSD-Data'!$A$1:$F$53,6,FALSE)</f>
        <v>24</v>
      </c>
      <c r="S526" s="15">
        <f>VLOOKUP(Table2[[#This Row],[Course Title]],'TSD-Data'!$A$1:$E$56,5,FALSE)</f>
        <v>3</v>
      </c>
      <c r="T526" s="15"/>
      <c r="U526" s="15"/>
      <c r="V526" s="15"/>
      <c r="W526" s="103"/>
      <c r="X526" s="103"/>
      <c r="Y526" s="15"/>
      <c r="Z526" s="15"/>
      <c r="AA526" s="15"/>
      <c r="AB526" s="99"/>
      <c r="AC526" s="71">
        <f ca="1">Table2[[#This Row],[End Date]]+2-TODAY()</f>
        <v>388</v>
      </c>
      <c r="AD526" s="15">
        <f>IF(ISBLANK(Table2[[#This Row],[Roster Received By]]),1,0)</f>
        <v>1</v>
      </c>
      <c r="AE526" s="15">
        <f ca="1">IF(Table2[[#This Row],[Start Date]]&gt;TODAY(),1,)</f>
        <v>1</v>
      </c>
    </row>
    <row r="527" spans="1:31" x14ac:dyDescent="0.25">
      <c r="A527" s="62"/>
      <c r="B527" s="99" t="s">
        <v>58</v>
      </c>
      <c r="C527" s="100" t="str">
        <f>VLOOKUP(Table2[[#This Row],[Course Title]],'TSD-Data'!$A$1:$E$56,2,FALSE)</f>
        <v xml:space="preserve">A-493-0075 </v>
      </c>
      <c r="D527" s="100" t="str">
        <f>VLOOKUP(Table2[[#This Row],[Course Title]],'TSD-Data'!$A$1:$E$56,3,FALSE)</f>
        <v>714U</v>
      </c>
      <c r="E527" s="65" t="s">
        <v>267</v>
      </c>
      <c r="F527" s="102">
        <v>45916</v>
      </c>
      <c r="G527" s="102">
        <v>45919</v>
      </c>
      <c r="H527" s="105">
        <v>0.33333333333333331</v>
      </c>
      <c r="I527" s="101"/>
      <c r="J527" s="101"/>
      <c r="K527" s="101"/>
      <c r="L527" s="101"/>
      <c r="M527" s="101"/>
      <c r="N527" s="101"/>
      <c r="O527" s="15" t="s">
        <v>160</v>
      </c>
      <c r="P527" s="15"/>
      <c r="Q527" s="15">
        <f>VLOOKUP(Table2[[#This Row],[Course Title]],'TSD-Data'!$A$1:$E$56,4,FALSE)</f>
        <v>30</v>
      </c>
      <c r="R527" s="15">
        <f>VLOOKUP(Table2[[#This Row],[Course Title]],'TSD-Data'!$A$1:$F$53,6,FALSE)</f>
        <v>32</v>
      </c>
      <c r="S527" s="15">
        <f>VLOOKUP(Table2[[#This Row],[Course Title]],'TSD-Data'!$A$1:$E$56,5,FALSE)</f>
        <v>4</v>
      </c>
      <c r="T527" s="15">
        <v>61</v>
      </c>
      <c r="U527" s="15"/>
      <c r="V527" s="15"/>
      <c r="W527" s="15"/>
      <c r="X527" s="103"/>
      <c r="Y527" s="15"/>
      <c r="Z527" s="15"/>
      <c r="AA527" s="15"/>
      <c r="AB527" s="99"/>
      <c r="AC527" s="71">
        <f ca="1">Table2[[#This Row],[End Date]]+2-TODAY()</f>
        <v>389</v>
      </c>
      <c r="AD527" s="15">
        <f>IF(ISBLANK(Table2[[#This Row],[Roster Received By]]),1,0)</f>
        <v>1</v>
      </c>
      <c r="AE527" s="15">
        <f ca="1">IF(Table2[[#This Row],[Start Date]]&gt;TODAY(),1,)</f>
        <v>1</v>
      </c>
    </row>
    <row r="528" spans="1:31" x14ac:dyDescent="0.25">
      <c r="A528" s="62"/>
      <c r="B528" s="99" t="s">
        <v>50</v>
      </c>
      <c r="C528" s="100" t="str">
        <f>VLOOKUP(Table2[[#This Row],[Course Title]],'TSD-Data'!$A$1:$E$56,2,FALSE)</f>
        <v>A-493-0331</v>
      </c>
      <c r="D528" s="100" t="str">
        <f>VLOOKUP(Table2[[#This Row],[Course Title]],'TSD-Data'!$A$1:$E$56,3,FALSE)</f>
        <v>10UG</v>
      </c>
      <c r="E528" s="99" t="s">
        <v>80</v>
      </c>
      <c r="F528" s="102">
        <v>45916</v>
      </c>
      <c r="G528" s="102">
        <v>45918</v>
      </c>
      <c r="H528" s="102"/>
      <c r="I528" s="101">
        <v>0.5</v>
      </c>
      <c r="J528" s="101">
        <v>0.375</v>
      </c>
      <c r="K528" s="101">
        <v>0.79166666666666663</v>
      </c>
      <c r="L528" s="101">
        <v>0.75</v>
      </c>
      <c r="M528" s="101">
        <v>0.25</v>
      </c>
      <c r="N528" s="101">
        <v>4.1666666666666664E-2</v>
      </c>
      <c r="O528" s="15" t="s">
        <v>394</v>
      </c>
      <c r="P528" s="15"/>
      <c r="Q528" s="15">
        <f>VLOOKUP(Table2[[#This Row],[Course Title]],'TSD-Data'!$A$1:$E$56,4,FALSE)</f>
        <v>45</v>
      </c>
      <c r="R528" s="15">
        <f>VLOOKUP(Table2[[#This Row],[Course Title]],'TSD-Data'!$A$1:$F$53,6,FALSE)</f>
        <v>24</v>
      </c>
      <c r="S528" s="15">
        <f>VLOOKUP(Table2[[#This Row],[Course Title]],'TSD-Data'!$A$1:$E$56,5,FALSE)</f>
        <v>3</v>
      </c>
      <c r="T528" s="15"/>
      <c r="U528" s="15"/>
      <c r="V528" s="15"/>
      <c r="W528" s="15"/>
      <c r="X528" s="103"/>
      <c r="Y528" s="15"/>
      <c r="Z528" s="15"/>
      <c r="AA528" s="15"/>
      <c r="AB528" s="99"/>
      <c r="AC528" s="71">
        <f ca="1">Table2[[#This Row],[End Date]]+2-TODAY()</f>
        <v>388</v>
      </c>
      <c r="AD528" s="15">
        <f>IF(ISBLANK(Table2[[#This Row],[Roster Received By]]),1,0)</f>
        <v>1</v>
      </c>
      <c r="AE528" s="15">
        <f ca="1">IF(Table2[[#This Row],[Start Date]]&gt;TODAY(),1,)</f>
        <v>1</v>
      </c>
    </row>
    <row r="529" spans="1:31" x14ac:dyDescent="0.25">
      <c r="A529" s="62"/>
      <c r="B529" s="99" t="s">
        <v>28</v>
      </c>
      <c r="C529" s="100" t="str">
        <f>VLOOKUP(Table2[[#This Row],[Course Title]],'TSD-Data'!$A$1:$E$56,2,FALSE)</f>
        <v>A-493-0013</v>
      </c>
      <c r="D529" s="100">
        <f>VLOOKUP(Table2[[#This Row],[Course Title]],'TSD-Data'!$A$1:$E$56,3,FALSE)</f>
        <v>3683</v>
      </c>
      <c r="E529" s="99" t="s">
        <v>306</v>
      </c>
      <c r="F529" s="102">
        <v>45917</v>
      </c>
      <c r="G529" s="102">
        <v>45919</v>
      </c>
      <c r="H529" s="105">
        <v>0.33333333333333331</v>
      </c>
      <c r="I529" s="101"/>
      <c r="J529" s="101"/>
      <c r="K529" s="101"/>
      <c r="L529" s="101"/>
      <c r="M529" s="101"/>
      <c r="N529" s="101"/>
      <c r="O529" s="15" t="s">
        <v>94</v>
      </c>
      <c r="P529" s="15"/>
      <c r="Q529" s="15">
        <f>VLOOKUP(Table2[[#This Row],[Course Title]],'TSD-Data'!$A$1:$E$56,4,FALSE)</f>
        <v>40</v>
      </c>
      <c r="R529" s="15">
        <f>VLOOKUP(Table2[[#This Row],[Course Title]],'TSD-Data'!$A$1:$F$53,6,FALSE)</f>
        <v>24</v>
      </c>
      <c r="S529" s="15">
        <f>VLOOKUP(Table2[[#This Row],[Course Title]],'TSD-Data'!$A$1:$E$56,5,FALSE)</f>
        <v>3</v>
      </c>
      <c r="T529" s="15">
        <v>5</v>
      </c>
      <c r="U529" s="15"/>
      <c r="V529" s="15"/>
      <c r="W529" s="15"/>
      <c r="X529" s="103"/>
      <c r="Y529" s="15"/>
      <c r="Z529" s="15"/>
      <c r="AA529" s="100"/>
      <c r="AB529" s="99"/>
      <c r="AC529" s="71">
        <f ca="1">Table2[[#This Row],[End Date]]+2-TODAY()</f>
        <v>389</v>
      </c>
      <c r="AD529" s="15">
        <f>IF(ISBLANK(Table2[[#This Row],[Roster Received By]]),1,0)</f>
        <v>1</v>
      </c>
      <c r="AE529" s="15">
        <f ca="1">IF(Table2[[#This Row],[Start Date]]&gt;TODAY(),1,)</f>
        <v>1</v>
      </c>
    </row>
    <row r="530" spans="1:31" x14ac:dyDescent="0.25">
      <c r="A530" s="62"/>
      <c r="B530" s="99" t="s">
        <v>49</v>
      </c>
      <c r="C530" s="100" t="str">
        <f>VLOOKUP(Table2[[#This Row],[Course Title]],'TSD-Data'!$A$1:$E$56,2,FALSE)</f>
        <v>A-493-0092</v>
      </c>
      <c r="D530" s="100">
        <f>VLOOKUP(Table2[[#This Row],[Course Title]],'TSD-Data'!$A$1:$E$56,3,FALSE)</f>
        <v>5891</v>
      </c>
      <c r="E530" s="99" t="s">
        <v>304</v>
      </c>
      <c r="F530" s="102">
        <v>45917</v>
      </c>
      <c r="G530" s="102">
        <v>45919</v>
      </c>
      <c r="H530" s="105">
        <v>0.33333333333333331</v>
      </c>
      <c r="I530" s="101"/>
      <c r="J530" s="101"/>
      <c r="K530" s="101"/>
      <c r="L530" s="101"/>
      <c r="M530" s="101"/>
      <c r="N530" s="101"/>
      <c r="O530" s="15" t="s">
        <v>394</v>
      </c>
      <c r="P530" s="15"/>
      <c r="Q530" s="15">
        <f>VLOOKUP(Table2[[#This Row],[Course Title]],'TSD-Data'!$A$1:$E$56,4,FALSE)</f>
        <v>25</v>
      </c>
      <c r="R530" s="15">
        <f>VLOOKUP(Table2[[#This Row],[Course Title]],'TSD-Data'!$A$1:$F$53,6,FALSE)</f>
        <v>24</v>
      </c>
      <c r="S530" s="15">
        <f>VLOOKUP(Table2[[#This Row],[Course Title]],'TSD-Data'!$A$1:$E$56,5,FALSE)</f>
        <v>3</v>
      </c>
      <c r="T530" s="15"/>
      <c r="U530" s="15"/>
      <c r="V530" s="15"/>
      <c r="W530" s="15"/>
      <c r="X530" s="103"/>
      <c r="Y530" s="15"/>
      <c r="Z530" s="15"/>
      <c r="AA530" s="15"/>
      <c r="AB530" s="99"/>
      <c r="AC530" s="71">
        <f ca="1">Table2[[#This Row],[End Date]]+2-TODAY()</f>
        <v>389</v>
      </c>
      <c r="AD530" s="15">
        <f>IF(ISBLANK(Table2[[#This Row],[Roster Received By]]),1,0)</f>
        <v>1</v>
      </c>
      <c r="AE530" s="15">
        <f ca="1">IF(Table2[[#This Row],[Start Date]]&gt;TODAY(),1,)</f>
        <v>1</v>
      </c>
    </row>
    <row r="531" spans="1:31" x14ac:dyDescent="0.25">
      <c r="A531" s="62"/>
      <c r="B531" s="99" t="s">
        <v>37</v>
      </c>
      <c r="C531" s="100" t="str">
        <f>VLOOKUP(Table2[[#This Row],[Course Title]],'TSD-Data'!$A$1:$E$56,2,FALSE)</f>
        <v>A-493-0665</v>
      </c>
      <c r="D531" s="100" t="str">
        <f>VLOOKUP(Table2[[#This Row],[Course Title]],'TSD-Data'!$A$1:$E$56,3,FALSE)</f>
        <v>10KW</v>
      </c>
      <c r="E531" s="99" t="s">
        <v>80</v>
      </c>
      <c r="F531" s="102">
        <v>45921</v>
      </c>
      <c r="G531" s="102">
        <v>45925</v>
      </c>
      <c r="H531" s="102"/>
      <c r="I531" s="101">
        <v>0.79166666666666663</v>
      </c>
      <c r="J531" s="101">
        <v>0.66666666666666663</v>
      </c>
      <c r="K531" s="101">
        <v>8.3333333333333329E-2</v>
      </c>
      <c r="L531" s="101">
        <v>0</v>
      </c>
      <c r="M531" s="101">
        <v>0.54166666666666663</v>
      </c>
      <c r="N531" s="101">
        <v>0.33333333333333331</v>
      </c>
      <c r="O531" s="15" t="s">
        <v>394</v>
      </c>
      <c r="P531" s="15"/>
      <c r="Q531" s="15">
        <f>VLOOKUP(Table2[[#This Row],[Course Title]],'TSD-Data'!$A$1:$E$56,4,FALSE)</f>
        <v>45</v>
      </c>
      <c r="R531" s="15">
        <f>VLOOKUP(Table2[[#This Row],[Course Title]],'TSD-Data'!$A$1:$F$53,6,FALSE)</f>
        <v>24</v>
      </c>
      <c r="S531" s="15">
        <f>VLOOKUP(Table2[[#This Row],[Course Title]],'TSD-Data'!$A$1:$E$56,5,FALSE)</f>
        <v>3</v>
      </c>
      <c r="T531" s="15"/>
      <c r="U531" s="15"/>
      <c r="V531" s="15"/>
      <c r="W531" s="15"/>
      <c r="X531" s="103"/>
      <c r="Y531" s="15"/>
      <c r="Z531" s="15"/>
      <c r="AA531" s="100"/>
      <c r="AB531" s="99"/>
      <c r="AC531" s="71">
        <f ca="1">Table2[[#This Row],[End Date]]+2-TODAY()</f>
        <v>395</v>
      </c>
      <c r="AD531" s="15">
        <f>IF(ISBLANK(Table2[[#This Row],[Roster Received By]]),1,0)</f>
        <v>1</v>
      </c>
      <c r="AE531" s="15">
        <f ca="1">IF(Table2[[#This Row],[Start Date]]&gt;TODAY(),1,)</f>
        <v>1</v>
      </c>
    </row>
    <row r="532" spans="1:31" x14ac:dyDescent="0.25">
      <c r="A532" s="62"/>
      <c r="B532" s="99" t="s">
        <v>55</v>
      </c>
      <c r="C532" s="100" t="str">
        <f>VLOOKUP(Table2[[#This Row],[Course Title]],'TSD-Data'!$A$1:$E$56,2,FALSE)</f>
        <v>A-493-0103</v>
      </c>
      <c r="D532" s="100" t="str">
        <f>VLOOKUP(Table2[[#This Row],[Course Title]],'TSD-Data'!$A$1:$E$56,3,FALSE)</f>
        <v>12JY</v>
      </c>
      <c r="E532" s="65" t="s">
        <v>268</v>
      </c>
      <c r="F532" s="102">
        <v>45922</v>
      </c>
      <c r="G532" s="102">
        <v>45926</v>
      </c>
      <c r="H532" s="105">
        <v>0.33333333333333331</v>
      </c>
      <c r="I532" s="226"/>
      <c r="J532" s="108"/>
      <c r="K532" s="108"/>
      <c r="L532" s="108"/>
      <c r="M532" s="108"/>
      <c r="N532" s="108"/>
      <c r="O532" s="15" t="s">
        <v>160</v>
      </c>
      <c r="P532" s="15"/>
      <c r="Q532" s="15">
        <f>VLOOKUP(Table2[[#This Row],[Course Title]],'TSD-Data'!$A$1:$E$56,4,FALSE)</f>
        <v>25</v>
      </c>
      <c r="R532" s="15">
        <f>VLOOKUP(Table2[[#This Row],[Course Title]],'TSD-Data'!$A$1:$F$53,6,FALSE)</f>
        <v>40</v>
      </c>
      <c r="S532" s="15">
        <f>VLOOKUP(Table2[[#This Row],[Course Title]],'TSD-Data'!$A$1:$E$56,5,FALSE)</f>
        <v>5</v>
      </c>
      <c r="T532" s="15">
        <v>332</v>
      </c>
      <c r="U532" s="15"/>
      <c r="V532" s="15"/>
      <c r="W532" s="15"/>
      <c r="X532" s="103"/>
      <c r="Y532" s="15"/>
      <c r="Z532" s="15"/>
      <c r="AA532" s="15"/>
      <c r="AB532" s="99"/>
      <c r="AC532" s="71">
        <f ca="1">Table2[[#This Row],[End Date]]+2-TODAY()</f>
        <v>396</v>
      </c>
      <c r="AD532" s="15">
        <f>IF(ISBLANK(Table2[[#This Row],[Roster Received By]]),1,0)</f>
        <v>1</v>
      </c>
      <c r="AE532" s="15">
        <f ca="1">IF(Table2[[#This Row],[Start Date]]&gt;TODAY(),1,)</f>
        <v>1</v>
      </c>
    </row>
    <row r="533" spans="1:31" x14ac:dyDescent="0.25">
      <c r="A533" s="99"/>
      <c r="B533" s="99" t="s">
        <v>55</v>
      </c>
      <c r="C533" s="100" t="str">
        <f>VLOOKUP(Table2[[#This Row],[Course Title]],'TSD-Data'!$A$1:$E$56,2,FALSE)</f>
        <v>A-493-0103</v>
      </c>
      <c r="D533" s="100" t="str">
        <f>VLOOKUP(Table2[[#This Row],[Course Title]],'TSD-Data'!$A$1:$E$56,3,FALSE)</f>
        <v>12JY</v>
      </c>
      <c r="E533" s="99" t="s">
        <v>146</v>
      </c>
      <c r="F533" s="102">
        <v>45922</v>
      </c>
      <c r="G533" s="102">
        <v>45926</v>
      </c>
      <c r="H533" s="105">
        <v>0.33333333333333331</v>
      </c>
      <c r="I533" s="108"/>
      <c r="J533" s="230"/>
      <c r="K533" s="230"/>
      <c r="L533" s="230"/>
      <c r="M533" s="230"/>
      <c r="N533" s="230"/>
      <c r="O533" s="15" t="s">
        <v>160</v>
      </c>
      <c r="P533" s="15"/>
      <c r="Q533" s="15">
        <f>VLOOKUP(Table2[[#This Row],[Course Title]],'TSD-Data'!$A$1:$E$56,4,FALSE)</f>
        <v>25</v>
      </c>
      <c r="R533" s="15">
        <f>VLOOKUP(Table2[[#This Row],[Course Title]],'TSD-Data'!$A$1:$F$53,6,FALSE)</f>
        <v>40</v>
      </c>
      <c r="S533" s="15">
        <f>VLOOKUP(Table2[[#This Row],[Course Title]],'TSD-Data'!$A$1:$E$56,5,FALSE)</f>
        <v>5</v>
      </c>
      <c r="T533" s="15">
        <v>125</v>
      </c>
      <c r="U533" s="15"/>
      <c r="V533" s="15"/>
      <c r="W533" s="15"/>
      <c r="X533" s="103"/>
      <c r="Y533" s="15"/>
      <c r="Z533" s="15"/>
      <c r="AA533" s="15"/>
      <c r="AB533" s="99"/>
      <c r="AC533" s="71">
        <f ca="1">Table2[[#This Row],[End Date]]+2-TODAY()</f>
        <v>396</v>
      </c>
      <c r="AD533" s="15">
        <f>IF(ISBLANK(Table2[[#This Row],[Roster Received By]]),1,0)</f>
        <v>1</v>
      </c>
      <c r="AE533" s="15">
        <f ca="1">IF(Table2[[#This Row],[Start Date]]&gt;TODAY(),1,)</f>
        <v>1</v>
      </c>
    </row>
    <row r="534" spans="1:31" x14ac:dyDescent="0.25">
      <c r="A534" s="62" t="s">
        <v>427</v>
      </c>
      <c r="B534" s="99" t="s">
        <v>17</v>
      </c>
      <c r="C534" s="100" t="str">
        <f>VLOOKUP(Table2[[#This Row],[Course Title]],'TSD-Data'!$A$1:$E$56,2,FALSE)</f>
        <v>A-493-0012</v>
      </c>
      <c r="D534" s="100">
        <f>VLOOKUP(Table2[[#This Row],[Course Title]],'TSD-Data'!$A$1:$E$56,3,FALSE)</f>
        <v>3682</v>
      </c>
      <c r="E534" s="99" t="s">
        <v>227</v>
      </c>
      <c r="F534" s="102">
        <v>45922</v>
      </c>
      <c r="G534" s="102">
        <v>45926</v>
      </c>
      <c r="H534" s="105">
        <v>0.33333333333333331</v>
      </c>
      <c r="I534" s="108"/>
      <c r="J534" s="102"/>
      <c r="K534" s="102"/>
      <c r="L534" s="102"/>
      <c r="M534" s="102"/>
      <c r="N534" s="102"/>
      <c r="O534" s="15" t="s">
        <v>94</v>
      </c>
      <c r="P534" s="15"/>
      <c r="Q534" s="15">
        <f>VLOOKUP(Table2[[#This Row],[Course Title]],'TSD-Data'!$A$1:$E$56,4,FALSE)</f>
        <v>40</v>
      </c>
      <c r="R534" s="15">
        <f>VLOOKUP(Table2[[#This Row],[Course Title]],'TSD-Data'!$A$1:$F$53,6,FALSE)</f>
        <v>40</v>
      </c>
      <c r="S534" s="15">
        <f>VLOOKUP(Table2[[#This Row],[Course Title]],'TSD-Data'!$A$1:$E$56,5,FALSE)</f>
        <v>5</v>
      </c>
      <c r="T534" s="15">
        <v>35</v>
      </c>
      <c r="U534" s="15"/>
      <c r="V534" s="15"/>
      <c r="W534" s="15"/>
      <c r="X534" s="103"/>
      <c r="Y534" s="15"/>
      <c r="Z534" s="15"/>
      <c r="AA534" s="100"/>
      <c r="AB534" s="99"/>
      <c r="AC534" s="71">
        <f ca="1">Table2[[#This Row],[End Date]]+2-TODAY()</f>
        <v>396</v>
      </c>
      <c r="AD534" s="15">
        <f>IF(ISBLANK(Table2[[#This Row],[Roster Received By]]),1,0)</f>
        <v>1</v>
      </c>
      <c r="AE534" s="15">
        <f ca="1">IF(Table2[[#This Row],[Start Date]]&gt;TODAY(),1,)</f>
        <v>1</v>
      </c>
    </row>
    <row r="535" spans="1:31" x14ac:dyDescent="0.25">
      <c r="A535" s="62"/>
      <c r="B535" s="99" t="s">
        <v>38</v>
      </c>
      <c r="C535" s="100" t="str">
        <f>VLOOKUP(Table2[[#This Row],[Course Title]],'TSD-Data'!$A$1:$E$56,2,FALSE)</f>
        <v>A-493-0061</v>
      </c>
      <c r="D535" s="100" t="str">
        <f>VLOOKUP(Table2[[#This Row],[Course Title]],'TSD-Data'!$A$1:$E$56,3,FALSE)</f>
        <v>288E</v>
      </c>
      <c r="E535" s="99" t="s">
        <v>80</v>
      </c>
      <c r="F535" s="102">
        <v>45922</v>
      </c>
      <c r="G535" s="102">
        <v>45925</v>
      </c>
      <c r="H535" s="105"/>
      <c r="I535" s="108">
        <v>0.33333333333333331</v>
      </c>
      <c r="J535" s="105">
        <v>0.20833333333333334</v>
      </c>
      <c r="K535" s="105">
        <v>0.625</v>
      </c>
      <c r="L535" s="105">
        <v>0.54166666666666663</v>
      </c>
      <c r="M535" s="105">
        <v>8.3333333333333329E-2</v>
      </c>
      <c r="N535" s="105">
        <v>0.875</v>
      </c>
      <c r="O535" s="15" t="s">
        <v>394</v>
      </c>
      <c r="P535" s="15"/>
      <c r="Q535" s="103">
        <f>VLOOKUP(Table2[[#This Row],[Course Title]],'TSD-Data'!$A$1:$E$56,4,FALSE)</f>
        <v>45</v>
      </c>
      <c r="R535" s="15">
        <f>VLOOKUP(Table2[[#This Row],[Course Title]],'TSD-Data'!$A$1:$F$53,6,FALSE)</f>
        <v>30</v>
      </c>
      <c r="S535" s="15">
        <f>VLOOKUP(Table2[[#This Row],[Course Title]],'TSD-Data'!$A$1:$E$56,5,FALSE)</f>
        <v>4</v>
      </c>
      <c r="T535" s="15"/>
      <c r="U535" s="15"/>
      <c r="V535" s="15"/>
      <c r="W535" s="103"/>
      <c r="X535" s="103"/>
      <c r="Y535" s="15"/>
      <c r="Z535" s="15"/>
      <c r="AA535" s="100"/>
      <c r="AB535" s="99"/>
      <c r="AC535" s="71">
        <f ca="1">Table2[[#This Row],[End Date]]+2-TODAY()</f>
        <v>395</v>
      </c>
      <c r="AD535" s="15">
        <f>IF(ISBLANK(Table2[[#This Row],[Roster Received By]]),1,0)</f>
        <v>1</v>
      </c>
      <c r="AE535" s="15">
        <f ca="1">IF(Table2[[#This Row],[Start Date]]&gt;TODAY(),1,)</f>
        <v>1</v>
      </c>
    </row>
    <row r="536" spans="1:31" x14ac:dyDescent="0.25">
      <c r="A536" s="99"/>
      <c r="B536" s="99" t="s">
        <v>51</v>
      </c>
      <c r="C536" s="100" t="str">
        <f>VLOOKUP(Table2[[#This Row],[Course Title]],'TSD-Data'!$A$1:$E$56,2,FALSE)</f>
        <v>A-493-0335</v>
      </c>
      <c r="D536" s="100" t="str">
        <f>VLOOKUP(Table2[[#This Row],[Course Title]],'TSD-Data'!$A$1:$E$56,3,FALSE)</f>
        <v>09ND</v>
      </c>
      <c r="E536" s="99" t="s">
        <v>80</v>
      </c>
      <c r="F536" s="102">
        <v>45922</v>
      </c>
      <c r="G536" s="102">
        <v>45925</v>
      </c>
      <c r="H536" s="105"/>
      <c r="I536" s="101">
        <v>0.5</v>
      </c>
      <c r="J536" s="101">
        <v>0.375</v>
      </c>
      <c r="K536" s="101">
        <v>0.79166666666666663</v>
      </c>
      <c r="L536" s="101">
        <v>0.75</v>
      </c>
      <c r="M536" s="101">
        <v>0.25</v>
      </c>
      <c r="N536" s="101">
        <v>4.1666666666666664E-2</v>
      </c>
      <c r="O536" s="15" t="s">
        <v>394</v>
      </c>
      <c r="P536" s="15"/>
      <c r="Q536" s="15">
        <f>VLOOKUP(Table2[[#This Row],[Course Title]],'TSD-Data'!$A$1:$E$56,4,FALSE)</f>
        <v>45</v>
      </c>
      <c r="R536" s="15">
        <f>VLOOKUP(Table2[[#This Row],[Course Title]],'TSD-Data'!$A$1:$F$53,6,FALSE)</f>
        <v>32</v>
      </c>
      <c r="S536" s="15">
        <f>VLOOKUP(Table2[[#This Row],[Course Title]],'TSD-Data'!$A$1:$E$56,5,FALSE)</f>
        <v>4</v>
      </c>
      <c r="T536" s="15"/>
      <c r="U536" s="15"/>
      <c r="V536" s="15"/>
      <c r="W536" s="15"/>
      <c r="X536" s="103"/>
      <c r="Y536" s="15"/>
      <c r="Z536" s="15"/>
      <c r="AA536" s="15"/>
      <c r="AB536" s="99"/>
      <c r="AC536" s="71">
        <f ca="1">Table2[[#This Row],[End Date]]+2-TODAY()</f>
        <v>395</v>
      </c>
      <c r="AD536" s="15">
        <f>IF(ISBLANK(Table2[[#This Row],[Roster Received By]]),1,0)</f>
        <v>1</v>
      </c>
      <c r="AE536" s="15">
        <f ca="1">IF(Table2[[#This Row],[Start Date]]&gt;TODAY(),1,)</f>
        <v>1</v>
      </c>
    </row>
    <row r="537" spans="1:31" x14ac:dyDescent="0.25">
      <c r="A537" s="62"/>
      <c r="B537" s="99" t="s">
        <v>61</v>
      </c>
      <c r="C537" s="100" t="str">
        <f>VLOOKUP(Table2[[#This Row],[Course Title]],'TSD-Data'!$A$1:$E$56,2,FALSE)</f>
        <v>A-493-0078</v>
      </c>
      <c r="D537" s="100">
        <f>VLOOKUP(Table2[[#This Row],[Course Title]],'TSD-Data'!$A$1:$E$56,3,FALSE)</f>
        <v>1228</v>
      </c>
      <c r="E537" s="99" t="s">
        <v>80</v>
      </c>
      <c r="F537" s="102">
        <v>45922</v>
      </c>
      <c r="G537" s="102">
        <v>45925</v>
      </c>
      <c r="H537" s="105"/>
      <c r="I537" s="105">
        <v>0.29166666666666669</v>
      </c>
      <c r="J537" s="105">
        <v>0.16666666666666666</v>
      </c>
      <c r="K537" s="105">
        <v>0.58333333333333337</v>
      </c>
      <c r="L537" s="105">
        <v>0.5</v>
      </c>
      <c r="M537" s="105">
        <v>4.1666666666666664E-2</v>
      </c>
      <c r="N537" s="105">
        <v>0.83333333333333337</v>
      </c>
      <c r="O537" s="15" t="s">
        <v>394</v>
      </c>
      <c r="P537" s="15"/>
      <c r="Q537" s="15">
        <f>VLOOKUP(Table2[[#This Row],[Course Title]],'TSD-Data'!$A$1:$E$56,4,FALSE)</f>
        <v>45</v>
      </c>
      <c r="R537" s="15">
        <f>VLOOKUP(Table2[[#This Row],[Course Title]],'TSD-Data'!$A$1:$F$53,6,FALSE)</f>
        <v>32</v>
      </c>
      <c r="S537" s="15">
        <f>VLOOKUP(Table2[[#This Row],[Course Title]],'TSD-Data'!$A$1:$E$56,5,FALSE)</f>
        <v>4</v>
      </c>
      <c r="T537" s="15"/>
      <c r="U537" s="15"/>
      <c r="V537" s="15"/>
      <c r="W537" s="15"/>
      <c r="X537" s="103"/>
      <c r="Y537" s="15"/>
      <c r="Z537" s="15"/>
      <c r="AA537" s="15"/>
      <c r="AB537" s="99"/>
      <c r="AC537" s="71">
        <f ca="1">Table2[[#This Row],[End Date]]+2-TODAY()</f>
        <v>395</v>
      </c>
      <c r="AD537" s="15">
        <f>IF(ISBLANK(Table2[[#This Row],[Roster Received By]]),1,0)</f>
        <v>1</v>
      </c>
      <c r="AE537" s="15">
        <f ca="1">IF(Table2[[#This Row],[Start Date]]&gt;TODAY(),1,)</f>
        <v>1</v>
      </c>
    </row>
    <row r="538" spans="1:31" x14ac:dyDescent="0.25">
      <c r="A538" s="62"/>
      <c r="B538" s="99" t="s">
        <v>52</v>
      </c>
      <c r="C538" s="100" t="str">
        <f>VLOOKUP(Table2[[#This Row],[Course Title]],'TSD-Data'!$A$1:$E$56,2,FALSE)</f>
        <v>A-493-0085</v>
      </c>
      <c r="D538" s="100">
        <f>VLOOKUP(Table2[[#This Row],[Course Title]],'TSD-Data'!$A$1:$E$56,3,FALSE)</f>
        <v>3555</v>
      </c>
      <c r="E538" s="99" t="s">
        <v>80</v>
      </c>
      <c r="F538" s="102">
        <v>45922</v>
      </c>
      <c r="G538" s="102">
        <v>45925</v>
      </c>
      <c r="H538" s="102"/>
      <c r="I538" s="101">
        <v>1900.7916666666667</v>
      </c>
      <c r="J538" s="101">
        <v>0.66666666666666663</v>
      </c>
      <c r="K538" s="101">
        <v>8.3333333333333329E-2</v>
      </c>
      <c r="L538" s="101">
        <v>0</v>
      </c>
      <c r="M538" s="101">
        <v>0.54166666666666663</v>
      </c>
      <c r="N538" s="101">
        <v>0.33333333333333331</v>
      </c>
      <c r="O538" s="15" t="s">
        <v>394</v>
      </c>
      <c r="P538" s="15"/>
      <c r="Q538" s="15">
        <f>VLOOKUP(Table2[[#This Row],[Course Title]],'TSD-Data'!$A$1:$E$56,4,FALSE)</f>
        <v>45</v>
      </c>
      <c r="R538" s="15">
        <f>VLOOKUP(Table2[[#This Row],[Course Title]],'TSD-Data'!$A$1:$F$53,6,FALSE)</f>
        <v>32</v>
      </c>
      <c r="S538" s="15">
        <f>VLOOKUP(Table2[[#This Row],[Course Title]],'TSD-Data'!$A$1:$E$56,5,FALSE)</f>
        <v>4</v>
      </c>
      <c r="T538" s="15"/>
      <c r="U538" s="15"/>
      <c r="V538" s="15"/>
      <c r="W538" s="15"/>
      <c r="X538" s="103"/>
      <c r="Y538" s="15"/>
      <c r="Z538" s="15"/>
      <c r="AA538" s="15"/>
      <c r="AB538" s="99"/>
      <c r="AC538" s="71">
        <f ca="1">Table2[[#This Row],[End Date]]+2-TODAY()</f>
        <v>395</v>
      </c>
      <c r="AD538" s="15">
        <f>IF(ISBLANK(Table2[[#This Row],[Roster Received By]]),1,0)</f>
        <v>1</v>
      </c>
      <c r="AE538" s="15">
        <f ca="1">IF(Table2[[#This Row],[Start Date]]&gt;TODAY(),1,)</f>
        <v>1</v>
      </c>
    </row>
    <row r="539" spans="1:31" x14ac:dyDescent="0.25">
      <c r="A539" s="62"/>
      <c r="B539" s="99" t="s">
        <v>53</v>
      </c>
      <c r="C539" s="100" t="str">
        <f>VLOOKUP(Table2[[#This Row],[Course Title]],'TSD-Data'!$A$1:$E$56,2,FALSE)</f>
        <v>A-493-0072</v>
      </c>
      <c r="D539" s="100" t="str">
        <f>VLOOKUP(Table2[[#This Row],[Course Title]],'TSD-Data'!$A$1:$E$56,3,FALSE)</f>
        <v>713U</v>
      </c>
      <c r="E539" s="99" t="s">
        <v>304</v>
      </c>
      <c r="F539" s="102">
        <v>45922</v>
      </c>
      <c r="G539" s="102">
        <v>45926</v>
      </c>
      <c r="H539" s="105">
        <v>0.33333333333333331</v>
      </c>
      <c r="I539" s="101"/>
      <c r="J539" s="101"/>
      <c r="K539" s="101"/>
      <c r="L539" s="101"/>
      <c r="M539" s="101"/>
      <c r="N539" s="101"/>
      <c r="O539" s="15" t="s">
        <v>394</v>
      </c>
      <c r="P539" s="15"/>
      <c r="Q539" s="15">
        <f>VLOOKUP(Table2[[#This Row],[Course Title]],'TSD-Data'!$A$1:$E$56,4,FALSE)</f>
        <v>30</v>
      </c>
      <c r="R539" s="15">
        <f>VLOOKUP(Table2[[#This Row],[Course Title]],'TSD-Data'!$A$1:$F$53,6,FALSE)</f>
        <v>40</v>
      </c>
      <c r="S539" s="15">
        <f>VLOOKUP(Table2[[#This Row],[Course Title]],'TSD-Data'!$A$1:$E$56,5,FALSE)</f>
        <v>5</v>
      </c>
      <c r="T539" s="15"/>
      <c r="U539" s="15"/>
      <c r="V539" s="15"/>
      <c r="W539" s="15"/>
      <c r="X539" s="103"/>
      <c r="Y539" s="15"/>
      <c r="Z539" s="15"/>
      <c r="AA539" s="15"/>
      <c r="AB539" s="99"/>
      <c r="AC539" s="71">
        <f ca="1">Table2[[#This Row],[End Date]]+2-TODAY()</f>
        <v>396</v>
      </c>
      <c r="AD539" s="15">
        <f>IF(ISBLANK(Table2[[#This Row],[Roster Received By]]),1,0)</f>
        <v>1</v>
      </c>
      <c r="AE539" s="15">
        <f ca="1">IF(Table2[[#This Row],[Start Date]]&gt;TODAY(),1,)</f>
        <v>1</v>
      </c>
    </row>
    <row r="540" spans="1:31" x14ac:dyDescent="0.25">
      <c r="A540" s="62" t="s">
        <v>392</v>
      </c>
      <c r="B540" s="99" t="s">
        <v>31</v>
      </c>
      <c r="C540" s="100" t="str">
        <f>VLOOKUP(Table2[[#This Row],[Course Title]],'TSD-Data'!$A$1:$E$56,2,FALSE)</f>
        <v>A-493-0083</v>
      </c>
      <c r="D540" s="100" t="str">
        <f>VLOOKUP(Table2[[#This Row],[Course Title]],'TSD-Data'!$A$1:$E$56,3,FALSE)</f>
        <v>339E</v>
      </c>
      <c r="E540" s="99" t="s">
        <v>80</v>
      </c>
      <c r="F540" s="102">
        <v>45923</v>
      </c>
      <c r="G540" s="102">
        <v>45923</v>
      </c>
      <c r="H540" s="105"/>
      <c r="I540" s="105">
        <v>8.3333333333333329E-2</v>
      </c>
      <c r="J540" s="101">
        <v>0.95833333333333337</v>
      </c>
      <c r="K540" s="101">
        <v>0.375</v>
      </c>
      <c r="L540" s="101">
        <v>0.33333333333333331</v>
      </c>
      <c r="M540" s="101">
        <v>0.83333333333333337</v>
      </c>
      <c r="N540" s="101">
        <v>0.625</v>
      </c>
      <c r="O540" s="15" t="s">
        <v>94</v>
      </c>
      <c r="P540" s="15"/>
      <c r="Q540" s="15">
        <f>VLOOKUP(Table2[[#This Row],[Course Title]],'TSD-Data'!$A$1:$E$56,4,FALSE)</f>
        <v>30</v>
      </c>
      <c r="R540" s="15">
        <f>VLOOKUP(Table2[[#This Row],[Course Title]],'TSD-Data'!$A$1:$F$53,6,FALSE)</f>
        <v>8</v>
      </c>
      <c r="S540" s="15">
        <f>VLOOKUP(Table2[[#This Row],[Course Title]],'TSD-Data'!$A$1:$E$56,5,FALSE)</f>
        <v>1</v>
      </c>
      <c r="T540" s="15">
        <v>0</v>
      </c>
      <c r="U540" s="15"/>
      <c r="V540" s="15"/>
      <c r="W540" s="15"/>
      <c r="X540" s="103"/>
      <c r="Y540" s="15"/>
      <c r="Z540" s="15"/>
      <c r="AA540" s="100"/>
      <c r="AB540" s="99"/>
      <c r="AC540" s="71">
        <f ca="1">Table2[[#This Row],[End Date]]+2-TODAY()</f>
        <v>393</v>
      </c>
      <c r="AD540" s="15">
        <f>IF(ISBLANK(Table2[[#This Row],[Roster Received By]]),1,0)</f>
        <v>1</v>
      </c>
      <c r="AE540" s="15">
        <f ca="1">IF(Table2[[#This Row],[Start Date]]&gt;TODAY(),1,)</f>
        <v>1</v>
      </c>
    </row>
    <row r="541" spans="1:31" x14ac:dyDescent="0.25">
      <c r="A541" s="99" t="s">
        <v>428</v>
      </c>
      <c r="B541" s="99" t="s">
        <v>28</v>
      </c>
      <c r="C541" s="100" t="str">
        <f>VLOOKUP(Table2[[#This Row],[Course Title]],'TSD-Data'!$A$1:$E$56,2,FALSE)</f>
        <v>A-493-0013</v>
      </c>
      <c r="D541" s="100">
        <f>VLOOKUP(Table2[[#This Row],[Course Title]],'TSD-Data'!$A$1:$E$56,3,FALSE)</f>
        <v>3683</v>
      </c>
      <c r="E541" s="99" t="s">
        <v>279</v>
      </c>
      <c r="F541" s="102">
        <v>45924</v>
      </c>
      <c r="G541" s="102">
        <v>45926</v>
      </c>
      <c r="H541" s="105">
        <v>0.33333333333333331</v>
      </c>
      <c r="I541" s="108"/>
      <c r="J541" s="102"/>
      <c r="K541" s="102"/>
      <c r="L541" s="102"/>
      <c r="M541" s="102"/>
      <c r="N541" s="102"/>
      <c r="O541" s="15" t="s">
        <v>94</v>
      </c>
      <c r="P541" s="15"/>
      <c r="Q541" s="15">
        <f>VLOOKUP(Table2[[#This Row],[Course Title]],'TSD-Data'!$A$1:$E$56,4,FALSE)</f>
        <v>40</v>
      </c>
      <c r="R541" s="15">
        <f>VLOOKUP(Table2[[#This Row],[Course Title]],'TSD-Data'!$A$1:$F$53,6,FALSE)</f>
        <v>24</v>
      </c>
      <c r="S541" s="15">
        <f>VLOOKUP(Table2[[#This Row],[Course Title]],'TSD-Data'!$A$1:$E$56,5,FALSE)</f>
        <v>3</v>
      </c>
      <c r="T541" s="15">
        <v>0</v>
      </c>
      <c r="U541" s="15"/>
      <c r="V541" s="15"/>
      <c r="W541" s="15"/>
      <c r="X541" s="103"/>
      <c r="Y541" s="15"/>
      <c r="Z541" s="15"/>
      <c r="AA541" s="100"/>
      <c r="AB541" s="99"/>
      <c r="AC541" s="71">
        <f ca="1">Table2[[#This Row],[End Date]]+2-TODAY()</f>
        <v>396</v>
      </c>
      <c r="AD541" s="15">
        <f>IF(ISBLANK(Table2[[#This Row],[Roster Received By]]),1,0)</f>
        <v>1</v>
      </c>
      <c r="AE541" s="15">
        <f ca="1">IF(Table2[[#This Row],[Start Date]]&gt;TODAY(),1,)</f>
        <v>1</v>
      </c>
    </row>
    <row r="542" spans="1:31" x14ac:dyDescent="0.25">
      <c r="A542" s="62"/>
      <c r="B542" s="99" t="s">
        <v>59</v>
      </c>
      <c r="C542" s="100" t="str">
        <f>VLOOKUP(Table2[[#This Row],[Course Title]],'TSD-Data'!$A$1:$E$56,2,FALSE)</f>
        <v>A-493-0550</v>
      </c>
      <c r="D542" s="100" t="str">
        <f>VLOOKUP(Table2[[#This Row],[Course Title]],'TSD-Data'!$A$1:$E$56,3,FALSE)</f>
        <v>09K5</v>
      </c>
      <c r="E542" s="99" t="s">
        <v>80</v>
      </c>
      <c r="F542" s="67">
        <v>45929</v>
      </c>
      <c r="G542" s="67">
        <v>45932</v>
      </c>
      <c r="H542" s="102"/>
      <c r="I542" s="105">
        <v>0.33333333333333331</v>
      </c>
      <c r="J542" s="105">
        <v>0.20833333333333334</v>
      </c>
      <c r="K542" s="105">
        <v>0.625</v>
      </c>
      <c r="L542" s="105">
        <v>0.54166666666666663</v>
      </c>
      <c r="M542" s="105">
        <v>8.3333333333333329E-2</v>
      </c>
      <c r="N542" s="105">
        <v>0.875</v>
      </c>
      <c r="O542" s="15" t="s">
        <v>394</v>
      </c>
      <c r="P542" s="15"/>
      <c r="Q542" s="15">
        <f>VLOOKUP(Table2[[#This Row],[Course Title]],'TSD-Data'!$A$1:$E$56,4,FALSE)</f>
        <v>45</v>
      </c>
      <c r="R542" s="15">
        <f>VLOOKUP(Table2[[#This Row],[Course Title]],'TSD-Data'!$A$1:$F$53,6,FALSE)</f>
        <v>32</v>
      </c>
      <c r="S542" s="15">
        <f>VLOOKUP(Table2[[#This Row],[Course Title]],'TSD-Data'!$A$1:$E$56,5,FALSE)</f>
        <v>4</v>
      </c>
      <c r="T542" s="15"/>
      <c r="U542" s="15"/>
      <c r="V542" s="15"/>
      <c r="W542" s="15"/>
      <c r="X542" s="103"/>
      <c r="Y542" s="15"/>
      <c r="Z542" s="15"/>
      <c r="AA542" s="15"/>
      <c r="AB542" s="99"/>
      <c r="AC542" s="71">
        <f ca="1">Table2[[#This Row],[End Date]]+2-TODAY()</f>
        <v>402</v>
      </c>
      <c r="AD542" s="15">
        <f>IF(ISBLANK(Table2[[#This Row],[Roster Received By]]),1,0)</f>
        <v>1</v>
      </c>
      <c r="AE542" s="15">
        <f ca="1">IF(Table2[[#This Row],[Start Date]]&gt;TODAY(),1,)</f>
        <v>1</v>
      </c>
    </row>
    <row r="543" spans="1:31" x14ac:dyDescent="0.25">
      <c r="A543" s="99"/>
      <c r="B543" s="99" t="s">
        <v>57</v>
      </c>
      <c r="C543" s="100" t="str">
        <f>VLOOKUP(Table2[[#This Row],[Course Title]],'TSD-Data'!$A$1:$E$56,2,FALSE)</f>
        <v>A-493-0099</v>
      </c>
      <c r="D543" s="100" t="str">
        <f>VLOOKUP(Table2[[#This Row],[Course Title]],'TSD-Data'!$A$1:$E$56,3,FALSE)</f>
        <v>12JW</v>
      </c>
      <c r="E543" s="99" t="s">
        <v>80</v>
      </c>
      <c r="F543" s="102">
        <v>45930</v>
      </c>
      <c r="G543" s="102">
        <v>45932</v>
      </c>
      <c r="H543" s="105"/>
      <c r="I543" s="101">
        <v>0.54166666666666663</v>
      </c>
      <c r="J543" s="101">
        <v>0.41666666666666669</v>
      </c>
      <c r="K543" s="101">
        <v>0.83333333333333337</v>
      </c>
      <c r="L543" s="101">
        <v>0.75</v>
      </c>
      <c r="M543" s="101">
        <v>0.29166666666666669</v>
      </c>
      <c r="N543" s="101">
        <v>8.3333333333333329E-2</v>
      </c>
      <c r="O543" s="15" t="s">
        <v>394</v>
      </c>
      <c r="P543" s="15"/>
      <c r="Q543" s="103">
        <f>VLOOKUP(Table2[[#This Row],[Course Title]],'TSD-Data'!$A$1:$E$56,4,FALSE)</f>
        <v>45</v>
      </c>
      <c r="R543" s="15">
        <f>VLOOKUP(Table2[[#This Row],[Course Title]],'TSD-Data'!$A$1:$F$53,6,FALSE)</f>
        <v>24</v>
      </c>
      <c r="S543" s="15">
        <f>VLOOKUP(Table2[[#This Row],[Course Title]],'TSD-Data'!$A$1:$E$56,5,FALSE)</f>
        <v>3</v>
      </c>
      <c r="T543" s="15"/>
      <c r="U543" s="15"/>
      <c r="V543" s="15"/>
      <c r="W543" s="103"/>
      <c r="X543" s="103"/>
      <c r="Y543" s="15"/>
      <c r="Z543" s="15"/>
      <c r="AA543" s="100"/>
      <c r="AB543" s="99"/>
      <c r="AC543" s="71">
        <f ca="1">Table2[[#This Row],[End Date]]+2-TODAY()</f>
        <v>402</v>
      </c>
      <c r="AD543" s="15">
        <f>IF(ISBLANK(Table2[[#This Row],[Roster Received By]]),1,0)</f>
        <v>1</v>
      </c>
      <c r="AE543" s="15">
        <f ca="1">IF(Table2[[#This Row],[Start Date]]&gt;TODAY(),1,)</f>
        <v>1</v>
      </c>
    </row>
    <row r="544" spans="1:31" x14ac:dyDescent="0.25">
      <c r="A544" s="169" t="s">
        <v>62</v>
      </c>
      <c r="B544" s="169">
        <f>SUBTOTAL(103,Table2[Course Title])</f>
        <v>540</v>
      </c>
      <c r="C544" s="169"/>
      <c r="D544" s="169"/>
      <c r="E544" s="169"/>
      <c r="F544" s="170"/>
      <c r="G544" s="170"/>
      <c r="H544" s="169"/>
      <c r="I544" s="169"/>
      <c r="J544" s="169"/>
      <c r="K544" s="169"/>
      <c r="L544" s="169"/>
      <c r="M544" s="169"/>
      <c r="N544" s="169"/>
      <c r="O544" s="169"/>
      <c r="P544" s="169"/>
      <c r="Q544" s="171">
        <f>SUBTOTAL(109,Q4:Q543)</f>
        <v>19880</v>
      </c>
      <c r="R544" s="171">
        <f>SUBTOTAL(109,Table2[Course Length (Hours)])</f>
        <v>13220</v>
      </c>
      <c r="S544" s="171">
        <f>SUBTOTAL(109,Table2[Course Length (Days)])</f>
        <v>1683</v>
      </c>
      <c r="T544" s="171"/>
      <c r="U544" s="171"/>
      <c r="V544" s="171"/>
      <c r="W544" s="171">
        <f>SUBTOTAL(109,W4:W543)</f>
        <v>0</v>
      </c>
      <c r="X544" s="171">
        <f>SUBTOTAL(109,X4:X543)</f>
        <v>0</v>
      </c>
      <c r="Y544" s="171">
        <f>SUBTOTAL(109,Y4:Y543)</f>
        <v>0</v>
      </c>
      <c r="Z544" s="171">
        <f>SUBTOTAL(109,Z4:Z543)</f>
        <v>0</v>
      </c>
      <c r="AA544" s="171">
        <f>SUBTOTAL(109,AA4:AA543)</f>
        <v>0</v>
      </c>
      <c r="AB544" s="169">
        <f>SUBTOTAL(103,Table2[Roster Received By])</f>
        <v>20</v>
      </c>
      <c r="AC544" s="172"/>
      <c r="AD544" s="169"/>
      <c r="AE544" s="169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543" name="CIN CDP_1"/>
  </protectedRanges>
  <phoneticPr fontId="3" type="noConversion"/>
  <conditionalFormatting sqref="A5:A8 A12 A36:A40 A41:B41 A42:A64 B44:B46 F44:G50 J44:N50 E51:G51 B51:B96 F52:G52 E53:G54 M54:N54 F55:G56 F57:F58 M57:N58 E59:F59 E60:G60 M60:N60 E65:E66 E67:F71 A67:A75 M71:N71 F72:F73 E74:F74 A77:A78 M80:N80 J82:K82 M82:N82 A83:A85 M86:N87 A95:A96 A107:B107 B108:B130 F114:G114 A118 A127:A128 M135:N135 M138:N138 A138:A143 M145:N145 A145:A153 M152:N152 A155:A165 A167:A186 B181:B210 A188 J189:N189 A190:A193 J194:N194 A195 A201:A205 F202:G202 F204:G206 N207 A208:A210 E209 A211:B211 B212:B239 A212:A252 B241 B243 B247 B249 A254:A257 A261:A262 A269 A294 A304 A312 E313:E321 E324:E338 F326:G326 F328:G328 E341:E342 A356 A405 E408 E415:E420 E422:E428 M429:N429 E430:E432 E434:E437 A445 E446:E453 A451 A456">
    <cfRule type="expression" dxfId="1099" priority="652">
      <formula>$X5="Benzick, Sue"</formula>
    </cfRule>
    <cfRule type="expression" dxfId="1098" priority="653">
      <formula>$X5="Jenne, Richard"</formula>
    </cfRule>
    <cfRule type="expression" dxfId="1097" priority="654">
      <formula>$X5="McQueen, Jennifer"</formula>
    </cfRule>
  </conditionalFormatting>
  <conditionalFormatting sqref="A199">
    <cfRule type="expression" dxfId="1096" priority="677">
      <formula>$X199="Jenne, Richard"</formula>
    </cfRule>
    <cfRule type="expression" dxfId="1095" priority="678">
      <formula>$X199="McQueen, Jennifer"</formula>
    </cfRule>
    <cfRule type="expression" dxfId="1094" priority="676">
      <formula>$X199="Benzick, Sue"</formula>
    </cfRule>
  </conditionalFormatting>
  <conditionalFormatting sqref="A284">
    <cfRule type="expression" dxfId="1093" priority="35">
      <formula>$X284="Jenne, Richard"</formula>
    </cfRule>
    <cfRule type="expression" dxfId="1092" priority="36">
      <formula>$X284="McQueen, Jennifer"</formula>
    </cfRule>
    <cfRule type="expression" dxfId="1091" priority="34">
      <formula>$X284="Benzick, Sue"</formula>
    </cfRule>
  </conditionalFormatting>
  <conditionalFormatting sqref="A338">
    <cfRule type="expression" dxfId="1090" priority="31">
      <formula>$X338="Benzick, Sue"</formula>
    </cfRule>
    <cfRule type="expression" dxfId="1089" priority="32">
      <formula>$X338="Jenne, Richard"</formula>
    </cfRule>
    <cfRule type="expression" dxfId="1088" priority="33">
      <formula>$X338="McQueen, Jennifer"</formula>
    </cfRule>
  </conditionalFormatting>
  <conditionalFormatting sqref="E134:E206">
    <cfRule type="expression" dxfId="1087" priority="544">
      <formula>$W134="Benzick, Sue"</formula>
    </cfRule>
    <cfRule type="expression" dxfId="1086" priority="545">
      <formula>$W134="Jenne, Richard"</formula>
    </cfRule>
    <cfRule type="expression" dxfId="1085" priority="546">
      <formula>$W134="McQueen, Jennifer"</formula>
    </cfRule>
  </conditionalFormatting>
  <conditionalFormatting sqref="E23:F23 H234 H297">
    <cfRule type="expression" dxfId="1084" priority="646">
      <formula>$S23="Benzick, Sue"</formula>
    </cfRule>
    <cfRule type="expression" dxfId="1083" priority="648">
      <formula>$S23="McQueen, Jennifer"</formula>
    </cfRule>
    <cfRule type="expression" dxfId="1082" priority="647">
      <formula>$S23="Jenne, Richard"</formula>
    </cfRule>
  </conditionalFormatting>
  <conditionalFormatting sqref="E133:G133 H204:H214 F479:G494">
    <cfRule type="expression" dxfId="1081" priority="1008">
      <formula>#REF!="McQueen, Jennifer"</formula>
    </cfRule>
    <cfRule type="expression" dxfId="1080" priority="1007">
      <formula>#REF!="Jenne, Richard"</formula>
    </cfRule>
    <cfRule type="expression" dxfId="1079" priority="1006">
      <formula>#REF!="Benzick, Sue"</formula>
    </cfRule>
  </conditionalFormatting>
  <conditionalFormatting sqref="F168 F174:F175 F178">
    <cfRule type="expression" dxfId="1078" priority="894">
      <formula>$W169="McQueen, Jennifer"</formula>
    </cfRule>
    <cfRule type="expression" dxfId="1077" priority="893">
      <formula>$W169="Jenne, Richard"</formula>
    </cfRule>
    <cfRule type="expression" dxfId="1076" priority="892">
      <formula>$W169="Benzick, Sue"</formula>
    </cfRule>
  </conditionalFormatting>
  <conditionalFormatting sqref="F169:F170 F179">
    <cfRule type="expression" dxfId="1075" priority="891">
      <formula>$W171="McQueen, Jennifer"</formula>
    </cfRule>
    <cfRule type="expression" dxfId="1074" priority="889">
      <formula>$W171="Benzick, Sue"</formula>
    </cfRule>
    <cfRule type="expression" dxfId="1073" priority="890">
      <formula>$W171="Jenne, Richard"</formula>
    </cfRule>
  </conditionalFormatting>
  <conditionalFormatting sqref="F177">
    <cfRule type="expression" dxfId="1072" priority="874">
      <formula>#REF!="Benzick, Sue"</formula>
    </cfRule>
    <cfRule type="expression" dxfId="1071" priority="875">
      <formula>#REF!="Jenne, Richard"</formula>
    </cfRule>
    <cfRule type="expression" dxfId="1070" priority="876">
      <formula>#REF!="McQueen, Jennifer"</formula>
    </cfRule>
  </conditionalFormatting>
  <conditionalFormatting sqref="F180">
    <cfRule type="expression" dxfId="1069" priority="3523">
      <formula>#REF!="McQueen, Jennifer"</formula>
    </cfRule>
    <cfRule type="expression" dxfId="1068" priority="3522">
      <formula>#REF!="Jenne, Richard"</formula>
    </cfRule>
    <cfRule type="expression" dxfId="1067" priority="3521">
      <formula>#REF!="Benzick, Sue"</formula>
    </cfRule>
  </conditionalFormatting>
  <conditionalFormatting sqref="F181">
    <cfRule type="expression" dxfId="1066" priority="871">
      <formula>$W185="Benzick, Sue"</formula>
    </cfRule>
    <cfRule type="expression" dxfId="1065" priority="872">
      <formula>$W185="Jenne, Richard"</formula>
    </cfRule>
    <cfRule type="expression" dxfId="1064" priority="873">
      <formula>$W185="McQueen, Jennifer"</formula>
    </cfRule>
  </conditionalFormatting>
  <conditionalFormatting sqref="F208">
    <cfRule type="expression" dxfId="1063" priority="4186">
      <formula>#REF!="McQueen, Jennifer"</formula>
    </cfRule>
    <cfRule type="expression" dxfId="1062" priority="4185">
      <formula>#REF!="Jenne, Richard"</formula>
    </cfRule>
    <cfRule type="expression" dxfId="1061" priority="4184">
      <formula>#REF!="Benzick, Sue"</formula>
    </cfRule>
  </conditionalFormatting>
  <conditionalFormatting sqref="F209 F211">
    <cfRule type="expression" dxfId="1060" priority="1026">
      <formula>$X210="McQueen, Jennifer"</formula>
    </cfRule>
    <cfRule type="expression" dxfId="1059" priority="1024">
      <formula>$X210="Benzick, Sue"</formula>
    </cfRule>
    <cfRule type="expression" dxfId="1058" priority="1025">
      <formula>$X210="Jenne, Richard"</formula>
    </cfRule>
  </conditionalFormatting>
  <conditionalFormatting sqref="F210">
    <cfRule type="expression" dxfId="1057" priority="6409">
      <formula>#REF!="McQueen, Jennifer"</formula>
    </cfRule>
    <cfRule type="expression" dxfId="1056" priority="6407">
      <formula>#REF!="Benzick, Sue"</formula>
    </cfRule>
    <cfRule type="expression" dxfId="1055" priority="6408">
      <formula>#REF!="Jenne, Richard"</formula>
    </cfRule>
  </conditionalFormatting>
  <conditionalFormatting sqref="F75:G75 E76:H76 H77 H90 F95:F96 F98 H105 E106:F106 F107 H125 H145 F149:G149 H158 F165:F166 H175:H176 H185 H187 H193 H202:H203 H215:H217 H224 H226 H232 H247:H249 H258 H267 H285 H316 H319 H336 H341 H349:H351 H361 H365 H386:H387 H399 H405 H417 H427:H428 H431 H444 H452 H454 H460 H465">
    <cfRule type="expression" dxfId="1054" priority="1157">
      <formula>$S75="Jenne, Richard"</formula>
    </cfRule>
    <cfRule type="expression" dxfId="1053" priority="1158">
      <formula>$S75="McQueen, Jennifer"</formula>
    </cfRule>
    <cfRule type="expression" dxfId="1052" priority="1156">
      <formula>$S75="Benzick, Sue"</formula>
    </cfRule>
  </conditionalFormatting>
  <conditionalFormatting sqref="F115:G121 F130:G131">
    <cfRule type="expression" dxfId="1051" priority="1010">
      <formula>#REF!="Jenne, Richard"</formula>
    </cfRule>
    <cfRule type="expression" dxfId="1050" priority="1009">
      <formula>#REF!="Benzick, Sue"</formula>
    </cfRule>
  </conditionalFormatting>
  <conditionalFormatting sqref="F134:G140">
    <cfRule type="expression" dxfId="1049" priority="987">
      <formula>#REF!="McQueen, Jennifer"</formula>
    </cfRule>
    <cfRule type="expression" dxfId="1048" priority="986">
      <formula>#REF!="Jenne, Richard"</formula>
    </cfRule>
    <cfRule type="expression" dxfId="1047" priority="985">
      <formula>#REF!="Benzick, Sue"</formula>
    </cfRule>
  </conditionalFormatting>
  <conditionalFormatting sqref="F177:G177">
    <cfRule type="expression" dxfId="1046" priority="886">
      <formula>#REF!="Benzick, Sue"</formula>
    </cfRule>
    <cfRule type="expression" dxfId="1045" priority="887">
      <formula>#REF!="Jenne, Richard"</formula>
    </cfRule>
    <cfRule type="expression" dxfId="1044" priority="888">
      <formula>#REF!="McQueen, Jennifer"</formula>
    </cfRule>
  </conditionalFormatting>
  <conditionalFormatting sqref="F216:G222 E223:G223 F224:G231 I271 H288:I289 H294:I294 H296:I296">
    <cfRule type="expression" dxfId="1043" priority="981">
      <formula>#REF!="McQueen, Jennifer"</formula>
    </cfRule>
    <cfRule type="expression" dxfId="1042" priority="980">
      <formula>#REF!="Jenne, Richard"</formula>
    </cfRule>
    <cfRule type="expression" dxfId="1041" priority="979">
      <formula>#REF!="Benzick, Sue"</formula>
    </cfRule>
  </conditionalFormatting>
  <conditionalFormatting sqref="F322:G323 H432:I436 H437">
    <cfRule type="expression" dxfId="1040" priority="962">
      <formula>#REF!="Jenne, Richard"</formula>
    </cfRule>
    <cfRule type="expression" dxfId="1039" priority="963">
      <formula>#REF!="McQueen, Jennifer"</formula>
    </cfRule>
    <cfRule type="expression" dxfId="1038" priority="961">
      <formula>#REF!="Benzick, Sue"</formula>
    </cfRule>
  </conditionalFormatting>
  <conditionalFormatting sqref="F324:G325 F416:H416 F418:H418 F419:G420">
    <cfRule type="expression" dxfId="1037" priority="958">
      <formula>$P324="Benzick, Sue"</formula>
    </cfRule>
    <cfRule type="expression" dxfId="1036" priority="959">
      <formula>$P324="Jenne, Richard"</formula>
    </cfRule>
    <cfRule type="expression" dxfId="1035" priority="960">
      <formula>$P324="McQueen, Jennifer"</formula>
    </cfRule>
  </conditionalFormatting>
  <conditionalFormatting sqref="F141:H141 F145:G145 F146:I146 F147:H147 H151:I153 H154 H155:I156 H157 I159 H160:I160 H164:I164 H169 H177:I177 H180 H182:H183 H188 H189:I189 H194:I194 H201:I201 I202:I204 I520">
    <cfRule type="expression" dxfId="1034" priority="991">
      <formula>#REF!="Benzick, Sue"</formula>
    </cfRule>
  </conditionalFormatting>
  <conditionalFormatting sqref="F141:H141 F145:G145 F146:I146 F147:H147 H151:I153 H154 H155:I156 H157 I159 H160:I160 H164:I164 H169 H177:I177 H180 H189:I189 H194:I194 H201:I201 I202:I204 I520">
    <cfRule type="expression" dxfId="1033" priority="992">
      <formula>#REF!="Jenne, Richard"</formula>
    </cfRule>
  </conditionalFormatting>
  <conditionalFormatting sqref="F141:H141 F145:G145 F146:I146 F147:H147 H151:I153 H154 H155:I156 H157 I159 H160:I160 H164:I164 H169 H177:I177 H189:I189 H194:I194 H200:I201 I202:I204 I520">
    <cfRule type="expression" dxfId="1032" priority="993">
      <formula>#REF!="McQueen, Jennifer"</formula>
    </cfRule>
  </conditionalFormatting>
  <conditionalFormatting sqref="F415:H415 F417:G417 F421:H422 F423:G424 F425:H426 F427:G428 F429:I429 F430:H430 F431:G433 H438:I438 H440:H443">
    <cfRule type="expression" dxfId="1031" priority="952">
      <formula>#REF!="Benzick, Sue"</formula>
    </cfRule>
    <cfRule type="expression" dxfId="1030" priority="954">
      <formula>#REF!="McQueen, Jennifer"</formula>
    </cfRule>
    <cfRule type="expression" dxfId="1029" priority="953">
      <formula>#REF!="Jenne, Richard"</formula>
    </cfRule>
  </conditionalFormatting>
  <conditionalFormatting sqref="G391:G397 F398:G401">
    <cfRule type="expression" dxfId="1028" priority="543">
      <formula>#REF!="McQueen, Jennifer"</formula>
    </cfRule>
    <cfRule type="expression" dxfId="1027" priority="541">
      <formula>#REF!="Benzick, Sue"</formula>
    </cfRule>
    <cfRule type="expression" dxfId="1026" priority="542">
      <formula>#REF!="Jenne, Richard"</formula>
    </cfRule>
  </conditionalFormatting>
  <conditionalFormatting sqref="G4:N4 I19:I23 H21:I21 H24:I26 G34 G35:H35 G36 G37:I37 G38:N38 I39:N39 G39:G40 I40:I41 F41:G43 H42:I42 I43 H44:I44 I45:I50 I51:N51 J52:K53 M52:N53 I52:I62 L52:L87 J59:K59 M59:N59 H63:I64 I65:K66 M65:N66 J68:K68 M68:N68 I68:I69 J74:K76 M74:N78 I76 I77:K77 H78:K78 I79:I80 H81:K81 M81:N81 H82:I82 I83:K83 M83:N83 I84 H85:K85 M85:N85 H86:I87 I88:I90 M88:M100 H91:I91 I92 H93:I100 H102:H104 H106:H108 J114:N128 J129:K132 M129:N134 L129:L154 F132:G132 I133:K134 J136:K136 I138:I139 I141 F142:G142 I145 I150 J160:N160 I161:I163 H173:H174 H181 H186 H197 H198:I198 H200:I200 J206:N206 I210:N211 I212 I213:N213 I214 J224:N224 I258:N259 I270:N270 I272:N272 J274:N276 I283:N287 J290:N290 I291:N291 I293:N293 I295:N295 J300:N300 J332:N332 I341:N341 I421:N422 I425:N425 I426 I427:N428 I430:N431 J444:N445 H446 J447:N448 H449:H450 H455 H456:I459 I460 H461:I462 I462:I463 H464:I464 I465 I466:N466 H467:I467 I468 H469:I470 H477:I485 I486:I487 J540:N540">
    <cfRule type="expression" dxfId="1025" priority="1013">
      <formula>#REF!="Jenne, Richard"</formula>
    </cfRule>
    <cfRule type="expression" dxfId="1024" priority="1012">
      <formula>#REF!="Benzick, Sue"</formula>
    </cfRule>
  </conditionalFormatting>
  <conditionalFormatting sqref="G4:N4 I19:I23 H21:I21 H24:I26 G34 G35:H35 G36 G37:I37 G38:N38 I39:N39 G39:G40 I40:I41 F41:G43 H42:I42 I43 H44:I44 I45:I50 I51:N51 J52:K53 M52:N53 I52:I62 L52:L87 J59:K59 M59:N59 H63:I64 I65:K66 M65:N66 J68:K68 M68:N68 I68:I69 J74:K76 M74:N78 I76 I77:K77 H78:K78 I79:I80 H81:K81 M81:N81 H82:I82 I83:K83 M83:N83 I84 H85:K85 M85:N85 H86:I87 I88:I90 M88:M100 H91:I91 I92 H93:I100 H102:H104 H106:H108 J114:N128 J129:K132 M129:N134 L129:L154 I133:K134 J136:K136 I138:I139 I141 F142:G142 I145 I150 J160:N160 I161:I163 H173:H174 H186 H197 H198:I198 J206:N206 I210:N211 I212 I213:N213 I214 J224:N224 I258:N259 I270:N270 I272:N272 J274:N276 I283:N287 J290:N290 I291:N291 I293:N293 I295:N295 J300:N300 J332:N332 I341:N341 I421:N422 I425:N425 I426 I427:N428 I430:N431 J444:N445 H446 J447:N448 H449:H450 H455 H456:I459 I460 H461:I462 I462:I463 H464:I464 I465 I466:N466 H467:I467 I468 H469:I470 H477:I485 I486:I487 J540:N540">
    <cfRule type="expression" dxfId="1023" priority="1014">
      <formula>#REF!="McQueen, Jennifer"</formula>
    </cfRule>
  </conditionalFormatting>
  <conditionalFormatting sqref="G199:N199">
    <cfRule type="expression" dxfId="1022" priority="675">
      <formula>#REF!="McQueen, Jennifer"</formula>
    </cfRule>
    <cfRule type="expression" dxfId="1021" priority="673">
      <formula>#REF!="Benzick, Sue"</formula>
    </cfRule>
    <cfRule type="expression" dxfId="1020" priority="674">
      <formula>#REF!="Jenne, Richard"</formula>
    </cfRule>
  </conditionalFormatting>
  <conditionalFormatting sqref="H19:H20">
    <cfRule type="expression" dxfId="1019" priority="536">
      <formula>#REF!="Jenne, Richard"</formula>
    </cfRule>
    <cfRule type="expression" dxfId="1018" priority="535">
      <formula>#REF!="Benzick, Sue"</formula>
    </cfRule>
    <cfRule type="expression" dxfId="1017" priority="537">
      <formula>#REF!="McQueen, Jennifer"</formula>
    </cfRule>
  </conditionalFormatting>
  <conditionalFormatting sqref="H22:H23 H27:H34 H36 H39:H41 H43 H45 H49:H62 H126:H139 H218:H223 H225 H227:H231 H233 H235:H246 H250:H257">
    <cfRule type="expression" dxfId="1016" priority="651">
      <formula>#REF!="McQueen, Jennifer"</formula>
    </cfRule>
    <cfRule type="expression" dxfId="1015" priority="650">
      <formula>#REF!="Jenne, Richard"</formula>
    </cfRule>
    <cfRule type="expression" dxfId="1014" priority="649">
      <formula>#REF!="Benzick, Sue"</formula>
    </cfRule>
  </conditionalFormatting>
  <conditionalFormatting sqref="H47:H48">
    <cfRule type="expression" dxfId="1013" priority="45">
      <formula>$S47="McQueen, Jennifer"</formula>
    </cfRule>
    <cfRule type="expression" dxfId="1012" priority="44">
      <formula>$S47="Jenne, Richard"</formula>
    </cfRule>
    <cfRule type="expression" dxfId="1011" priority="43">
      <formula>$S47="Benzick, Sue"</formula>
    </cfRule>
  </conditionalFormatting>
  <conditionalFormatting sqref="H65">
    <cfRule type="expression" dxfId="1010" priority="573">
      <formula>#REF!="McQueen, Jennifer"</formula>
    </cfRule>
    <cfRule type="expression" dxfId="1009" priority="572">
      <formula>#REF!="Jenne, Richard"</formula>
    </cfRule>
    <cfRule type="expression" dxfId="1008" priority="571">
      <formula>#REF!="Benzick, Sue"</formula>
    </cfRule>
  </conditionalFormatting>
  <conditionalFormatting sqref="H66">
    <cfRule type="expression" dxfId="1007" priority="41">
      <formula>$S66="Jenne, Richard"</formula>
    </cfRule>
    <cfRule type="expression" dxfId="1006" priority="42">
      <formula>$S66="McQueen, Jennifer"</formula>
    </cfRule>
    <cfRule type="expression" dxfId="1005" priority="40">
      <formula>$S66="Benzick, Sue"</formula>
    </cfRule>
  </conditionalFormatting>
  <conditionalFormatting sqref="H69 H140:I140 H142 H143:I144 H180:H184 H188 H190:H192">
    <cfRule type="expression" dxfId="1004" priority="984">
      <formula>#REF!="McQueen, Jennifer"</formula>
    </cfRule>
  </conditionalFormatting>
  <conditionalFormatting sqref="H69 H140:I140 H142 H143:I144 H182:H184 H188 H190:H192">
    <cfRule type="expression" dxfId="1003" priority="983">
      <formula>#REF!="Jenne, Richard"</formula>
    </cfRule>
  </conditionalFormatting>
  <conditionalFormatting sqref="H69 H140:I140 H142 H143:I144 H184 H188 H190:H192">
    <cfRule type="expression" dxfId="1002" priority="982">
      <formula>#REF!="Benzick, Sue"</formula>
    </cfRule>
  </conditionalFormatting>
  <conditionalFormatting sqref="H73">
    <cfRule type="expression" dxfId="1001" priority="37">
      <formula>$S73="Benzick, Sue"</formula>
    </cfRule>
    <cfRule type="expression" dxfId="1000" priority="39">
      <formula>$S73="McQueen, Jennifer"</formula>
    </cfRule>
    <cfRule type="expression" dxfId="999" priority="38">
      <formula>$S73="Jenne, Richard"</formula>
    </cfRule>
  </conditionalFormatting>
  <conditionalFormatting sqref="H268:H283">
    <cfRule type="expression" dxfId="998" priority="5">
      <formula>#REF!="Jenne, Richard"</formula>
    </cfRule>
    <cfRule type="expression" dxfId="997" priority="4">
      <formula>#REF!="Benzick, Sue"</formula>
    </cfRule>
  </conditionalFormatting>
  <conditionalFormatting sqref="H268:H284">
    <cfRule type="expression" dxfId="996" priority="6">
      <formula>#REF!="McQueen, Jennifer"</formula>
    </cfRule>
  </conditionalFormatting>
  <conditionalFormatting sqref="H284">
    <cfRule type="expression" dxfId="995" priority="29">
      <formula>#REF!="Jenne, Richard"</formula>
    </cfRule>
    <cfRule type="expression" dxfId="994" priority="28">
      <formula>#REF!="Benzick, Sue"</formula>
    </cfRule>
  </conditionalFormatting>
  <conditionalFormatting sqref="H301:H315 H317:H318 H320:H335 H352:H360 H362:H364 H366:H385 H388:H398 H400:H404">
    <cfRule type="expression" dxfId="993" priority="625">
      <formula>#REF!="Benzick, Sue"</formula>
    </cfRule>
    <cfRule type="expression" dxfId="992" priority="627">
      <formula>#REF!="McQueen, Jennifer"</formula>
    </cfRule>
    <cfRule type="expression" dxfId="991" priority="626">
      <formula>#REF!="Jenne, Richard"</formula>
    </cfRule>
  </conditionalFormatting>
  <conditionalFormatting sqref="H337:H340">
    <cfRule type="expression" dxfId="990" priority="27">
      <formula>#REF!="McQueen, Jennifer"</formula>
    </cfRule>
    <cfRule type="expression" dxfId="989" priority="26">
      <formula>#REF!="Jenne, Richard"</formula>
    </cfRule>
    <cfRule type="expression" dxfId="988" priority="25">
      <formula>#REF!="Benzick, Sue"</formula>
    </cfRule>
  </conditionalFormatting>
  <conditionalFormatting sqref="H406:H413">
    <cfRule type="expression" dxfId="987" priority="2">
      <formula>#REF!="Jenne, Richard"</formula>
    </cfRule>
    <cfRule type="expression" dxfId="986" priority="3">
      <formula>#REF!="McQueen, Jennifer"</formula>
    </cfRule>
    <cfRule type="expression" dxfId="985" priority="1">
      <formula>#REF!="Benzick, Sue"</formula>
    </cfRule>
  </conditionalFormatting>
  <conditionalFormatting sqref="H5:I18 H70:I72 I73 H74:I75 F115:G132 I292:L292 N292 H298:I298 H299 H300:I300 H488:I494">
    <cfRule type="expression" dxfId="984" priority="996">
      <formula>#REF!="McQueen, Jennifer"</formula>
    </cfRule>
  </conditionalFormatting>
  <conditionalFormatting sqref="H5:I18 H70:I72 I73 H74:I75 F122:G129 I292:L292 N292 H298:I298 H299 H300:I300 H488:I494">
    <cfRule type="expression" dxfId="983" priority="994">
      <formula>#REF!="Benzick, Sue"</formula>
    </cfRule>
    <cfRule type="expression" dxfId="982" priority="995">
      <formula>#REF!="Jenne, Richard"</formula>
    </cfRule>
  </conditionalFormatting>
  <conditionalFormatting sqref="I27:I36">
    <cfRule type="expression" dxfId="981" priority="581">
      <formula>#REF!="Jenne, Richard"</formula>
    </cfRule>
    <cfRule type="expression" dxfId="980" priority="582">
      <formula>#REF!="McQueen, Jennifer"</formula>
    </cfRule>
    <cfRule type="expression" dxfId="979" priority="580">
      <formula>#REF!="Benzick, Sue"</formula>
    </cfRule>
  </conditionalFormatting>
  <conditionalFormatting sqref="I101:I132">
    <cfRule type="expression" dxfId="978" priority="363">
      <formula>#REF!="McQueen, Jennifer"</formula>
    </cfRule>
    <cfRule type="expression" dxfId="977" priority="361">
      <formula>#REF!="Benzick, Sue"</formula>
    </cfRule>
    <cfRule type="expression" dxfId="976" priority="362">
      <formula>#REF!="Jenne, Richard"</formula>
    </cfRule>
  </conditionalFormatting>
  <conditionalFormatting sqref="I135:I136 M136:N137 I137:K137">
    <cfRule type="expression" dxfId="975" priority="348">
      <formula>#REF!="McQueen, Jennifer"</formula>
    </cfRule>
    <cfRule type="expression" dxfId="974" priority="346">
      <formula>#REF!="Benzick, Sue"</formula>
    </cfRule>
    <cfRule type="expression" dxfId="973" priority="347">
      <formula>#REF!="Jenne, Richard"</formula>
    </cfRule>
  </conditionalFormatting>
  <conditionalFormatting sqref="I147">
    <cfRule type="expression" dxfId="972" priority="76">
      <formula>#REF!="Benzick, Sue"</formula>
    </cfRule>
    <cfRule type="expression" dxfId="971" priority="77">
      <formula>#REF!="Jenne, Richard"</formula>
    </cfRule>
    <cfRule type="expression" dxfId="970" priority="78">
      <formula>#REF!="McQueen, Jennifer"</formula>
    </cfRule>
  </conditionalFormatting>
  <conditionalFormatting sqref="I154">
    <cfRule type="expression" dxfId="969" priority="298">
      <formula>#REF!="Benzick, Sue"</formula>
    </cfRule>
    <cfRule type="expression" dxfId="968" priority="299">
      <formula>#REF!="Jenne, Richard"</formula>
    </cfRule>
    <cfRule type="expression" dxfId="967" priority="300">
      <formula>#REF!="McQueen, Jennifer"</formula>
    </cfRule>
  </conditionalFormatting>
  <conditionalFormatting sqref="I165">
    <cfRule type="expression" dxfId="966" priority="273">
      <formula>#REF!="McQueen, Jennifer"</formula>
    </cfRule>
    <cfRule type="expression" dxfId="965" priority="272">
      <formula>#REF!="Jenne, Richard"</formula>
    </cfRule>
    <cfRule type="expression" dxfId="964" priority="271">
      <formula>#REF!="Benzick, Sue"</formula>
    </cfRule>
  </conditionalFormatting>
  <conditionalFormatting sqref="I168:I176">
    <cfRule type="expression" dxfId="963" priority="255">
      <formula>#REF!="McQueen, Jennifer"</formula>
    </cfRule>
    <cfRule type="expression" dxfId="962" priority="254">
      <formula>#REF!="Jenne, Richard"</formula>
    </cfRule>
    <cfRule type="expression" dxfId="961" priority="253">
      <formula>#REF!="Benzick, Sue"</formula>
    </cfRule>
  </conditionalFormatting>
  <conditionalFormatting sqref="I178:I188">
    <cfRule type="expression" dxfId="960" priority="236">
      <formula>#REF!="Jenne, Richard"</formula>
    </cfRule>
    <cfRule type="expression" dxfId="959" priority="235">
      <formula>#REF!="Benzick, Sue"</formula>
    </cfRule>
    <cfRule type="expression" dxfId="958" priority="237">
      <formula>#REF!="McQueen, Jennifer"</formula>
    </cfRule>
  </conditionalFormatting>
  <conditionalFormatting sqref="I190:I193">
    <cfRule type="expression" dxfId="957" priority="562">
      <formula>#REF!="Benzick, Sue"</formula>
    </cfRule>
    <cfRule type="expression" dxfId="956" priority="563">
      <formula>#REF!="Jenne, Richard"</formula>
    </cfRule>
    <cfRule type="expression" dxfId="955" priority="564">
      <formula>#REF!="McQueen, Jennifer"</formula>
    </cfRule>
  </conditionalFormatting>
  <conditionalFormatting sqref="I195:I197">
    <cfRule type="expression" dxfId="954" priority="202">
      <formula>#REF!="Benzick, Sue"</formula>
    </cfRule>
    <cfRule type="expression" dxfId="953" priority="204">
      <formula>#REF!="McQueen, Jennifer"</formula>
    </cfRule>
    <cfRule type="expression" dxfId="952" priority="203">
      <formula>#REF!="Jenne, Richard"</formula>
    </cfRule>
  </conditionalFormatting>
  <conditionalFormatting sqref="I206:I208">
    <cfRule type="expression" dxfId="951" priority="190">
      <formula>#REF!="McQueen, Jennifer"</formula>
    </cfRule>
    <cfRule type="expression" dxfId="950" priority="191">
      <formula>#REF!="Benzick, Sue"</formula>
    </cfRule>
    <cfRule type="expression" dxfId="949" priority="192">
      <formula>#REF!="Jenne, Richard"</formula>
    </cfRule>
  </conditionalFormatting>
  <conditionalFormatting sqref="I218:I222">
    <cfRule type="expression" dxfId="948" priority="171">
      <formula>#REF!="McQueen, Jennifer"</formula>
    </cfRule>
    <cfRule type="expression" dxfId="947" priority="169">
      <formula>#REF!="Benzick, Sue"</formula>
    </cfRule>
    <cfRule type="expression" dxfId="946" priority="170">
      <formula>#REF!="Jenne, Richard"</formula>
    </cfRule>
  </conditionalFormatting>
  <conditionalFormatting sqref="I228:I257">
    <cfRule type="expression" dxfId="945" priority="586">
      <formula>#REF!="Benzick, Sue"</formula>
    </cfRule>
    <cfRule type="expression" dxfId="944" priority="588">
      <formula>#REF!="McQueen, Jennifer"</formula>
    </cfRule>
    <cfRule type="expression" dxfId="943" priority="587">
      <formula>#REF!="Jenne, Richard"</formula>
    </cfRule>
  </conditionalFormatting>
  <conditionalFormatting sqref="I273:I282">
    <cfRule type="expression" dxfId="942" priority="559">
      <formula>#REF!="Benzick, Sue"</formula>
    </cfRule>
    <cfRule type="expression" dxfId="941" priority="561">
      <formula>#REF!="McQueen, Jennifer"</formula>
    </cfRule>
    <cfRule type="expression" dxfId="940" priority="560">
      <formula>#REF!="Jenne, Richard"</formula>
    </cfRule>
  </conditionalFormatting>
  <conditionalFormatting sqref="I290 I332">
    <cfRule type="expression" dxfId="939" priority="598">
      <formula>#REF!="Benzick, Sue"</formula>
    </cfRule>
    <cfRule type="expression" dxfId="938" priority="600">
      <formula>#REF!="McQueen, Jennifer"</formula>
    </cfRule>
    <cfRule type="expression" dxfId="937" priority="599">
      <formula>#REF!="Jenne, Richard"</formula>
    </cfRule>
  </conditionalFormatting>
  <conditionalFormatting sqref="I301:I302 I303:N307 I308:I309 I310:N310 I330:N331">
    <cfRule type="expression" dxfId="936" priority="622">
      <formula>#REF!="Benzick, Sue"</formula>
    </cfRule>
    <cfRule type="expression" dxfId="935" priority="624">
      <formula>#REF!="McQueen, Jennifer"</formula>
    </cfRule>
    <cfRule type="expression" dxfId="934" priority="623">
      <formula>#REF!="Jenne, Richard"</formula>
    </cfRule>
  </conditionalFormatting>
  <conditionalFormatting sqref="I311:I317 I318:N321 I322:I325 I326:N326 I327:I329">
    <cfRule type="expression" dxfId="933" priority="592">
      <formula>#REF!="Benzick, Sue"</formula>
    </cfRule>
    <cfRule type="expression" dxfId="932" priority="594">
      <formula>#REF!="McQueen, Jennifer"</formula>
    </cfRule>
    <cfRule type="expression" dxfId="931" priority="593">
      <formula>#REF!="Jenne, Richard"</formula>
    </cfRule>
  </conditionalFormatting>
  <conditionalFormatting sqref="I340 I342:I362">
    <cfRule type="expression" dxfId="930" priority="524">
      <formula>#REF!="Jenne, Richard"</formula>
    </cfRule>
    <cfRule type="expression" dxfId="929" priority="525">
      <formula>#REF!="McQueen, Jennifer"</formula>
    </cfRule>
    <cfRule type="expression" dxfId="928" priority="523">
      <formula>#REF!="Benzick, Sue"</formula>
    </cfRule>
  </conditionalFormatting>
  <conditionalFormatting sqref="I364:I407">
    <cfRule type="expression" dxfId="927" priority="10">
      <formula>#REF!="Benzick, Sue"</formula>
    </cfRule>
    <cfRule type="expression" dxfId="926" priority="11">
      <formula>#REF!="Jenne, Richard"</formula>
    </cfRule>
    <cfRule type="expression" dxfId="925" priority="12">
      <formula>#REF!="McQueen, Jennifer"</formula>
    </cfRule>
  </conditionalFormatting>
  <conditionalFormatting sqref="I439:I455">
    <cfRule type="expression" dxfId="924" priority="520">
      <formula>#REF!="Benzick, Sue"</formula>
    </cfRule>
    <cfRule type="expression" dxfId="923" priority="521">
      <formula>#REF!="Jenne, Richard"</formula>
    </cfRule>
    <cfRule type="expression" dxfId="922" priority="522">
      <formula>#REF!="McQueen, Jennifer"</formula>
    </cfRule>
  </conditionalFormatting>
  <conditionalFormatting sqref="I510">
    <cfRule type="expression" dxfId="921" priority="79">
      <formula>#REF!="Benzick, Sue"</formula>
    </cfRule>
    <cfRule type="expression" dxfId="920" priority="80">
      <formula>#REF!="Jenne, Richard"</formula>
    </cfRule>
    <cfRule type="expression" dxfId="919" priority="81">
      <formula>#REF!="McQueen, Jennifer"</formula>
    </cfRule>
  </conditionalFormatting>
  <conditionalFormatting sqref="I157:J158">
    <cfRule type="expression" dxfId="918" priority="292">
      <formula>#REF!="Benzick, Sue"</formula>
    </cfRule>
    <cfRule type="expression" dxfId="917" priority="293">
      <formula>#REF!="Jenne, Richard"</formula>
    </cfRule>
    <cfRule type="expression" dxfId="916" priority="294">
      <formula>#REF!="McQueen, Jennifer"</formula>
    </cfRule>
  </conditionalFormatting>
  <conditionalFormatting sqref="I142:K142">
    <cfRule type="expression" dxfId="915" priority="331">
      <formula>#REF!="Benzick, Sue"</formula>
    </cfRule>
    <cfRule type="expression" dxfId="914" priority="333">
      <formula>#REF!="McQueen, Jennifer"</formula>
    </cfRule>
    <cfRule type="expression" dxfId="913" priority="332">
      <formula>#REF!="Jenne, Richard"</formula>
    </cfRule>
  </conditionalFormatting>
  <conditionalFormatting sqref="I166:N167">
    <cfRule type="expression" dxfId="912" priority="262">
      <formula>#REF!="Benzick, Sue"</formula>
    </cfRule>
    <cfRule type="expression" dxfId="911" priority="263">
      <formula>#REF!="Jenne, Richard"</formula>
    </cfRule>
    <cfRule type="expression" dxfId="910" priority="264">
      <formula>#REF!="McQueen, Jennifer"</formula>
    </cfRule>
  </conditionalFormatting>
  <conditionalFormatting sqref="I205:N205">
    <cfRule type="expression" dxfId="909" priority="738">
      <formula>#REF!="McQueen, Jennifer"</formula>
    </cfRule>
    <cfRule type="expression" dxfId="908" priority="737">
      <formula>#REF!="Jenne, Richard"</formula>
    </cfRule>
    <cfRule type="expression" dxfId="907" priority="736">
      <formula>#REF!="Benzick, Sue"</formula>
    </cfRule>
  </conditionalFormatting>
  <conditionalFormatting sqref="I223:N223 I224:I225">
    <cfRule type="expression" dxfId="906" priority="164">
      <formula>#REF!="Jenne, Richard"</formula>
    </cfRule>
    <cfRule type="expression" dxfId="905" priority="163">
      <formula>#REF!="Benzick, Sue"</formula>
    </cfRule>
    <cfRule type="expression" dxfId="904" priority="165">
      <formula>#REF!="McQueen, Jennifer"</formula>
    </cfRule>
  </conditionalFormatting>
  <conditionalFormatting sqref="I299:N299">
    <cfRule type="expression" dxfId="903" priority="662">
      <formula>#REF!="Jenne, Richard"</formula>
    </cfRule>
    <cfRule type="expression" dxfId="902" priority="661">
      <formula>#REF!="Benzick, Sue"</formula>
    </cfRule>
    <cfRule type="expression" dxfId="901" priority="663">
      <formula>#REF!="McQueen, Jennifer"</formula>
    </cfRule>
  </conditionalFormatting>
  <conditionalFormatting sqref="I437:N437">
    <cfRule type="expression" dxfId="900" priority="735">
      <formula>#REF!="McQueen, Jennifer"</formula>
    </cfRule>
    <cfRule type="expression" dxfId="899" priority="734">
      <formula>#REF!="Jenne, Richard"</formula>
    </cfRule>
    <cfRule type="expression" dxfId="898" priority="733">
      <formula>#REF!="Benzick, Sue"</formula>
    </cfRule>
  </conditionalFormatting>
  <conditionalFormatting sqref="I471:N471 I472 I473:N475 I476">
    <cfRule type="expression" dxfId="897" priority="782">
      <formula>#REF!="Jenne, Richard"</formula>
    </cfRule>
    <cfRule type="expression" dxfId="896" priority="781">
      <formula>#REF!="Benzick, Sue"</formula>
    </cfRule>
    <cfRule type="expression" dxfId="895" priority="783">
      <formula>#REF!="McQueen, Jennifer"</formula>
    </cfRule>
  </conditionalFormatting>
  <conditionalFormatting sqref="J192">
    <cfRule type="expression" dxfId="894" priority="219">
      <formula>#REF!="McQueen, Jennifer"</formula>
    </cfRule>
    <cfRule type="expression" dxfId="893" priority="218">
      <formula>#REF!="Jenne, Richard"</formula>
    </cfRule>
    <cfRule type="expression" dxfId="892" priority="217">
      <formula>#REF!="Benzick, Sue"</formula>
    </cfRule>
  </conditionalFormatting>
  <conditionalFormatting sqref="J216:J221 L216:L221 J222:N222">
    <cfRule type="expression" dxfId="891" priority="168">
      <formula>#REF!="McQueen, Jennifer"</formula>
    </cfRule>
    <cfRule type="expression" dxfId="890" priority="167">
      <formula>#REF!="Jenne, Richard"</formula>
    </cfRule>
    <cfRule type="expression" dxfId="889" priority="166">
      <formula>#REF!="Benzick, Sue"</formula>
    </cfRule>
  </conditionalFormatting>
  <conditionalFormatting sqref="J267">
    <cfRule type="expression" dxfId="888" priority="711">
      <formula>$X267="McQueen, Jennifer"</formula>
    </cfRule>
    <cfRule type="expression" dxfId="887" priority="710">
      <formula>$X267="Jenne, Richard"</formula>
    </cfRule>
    <cfRule type="expression" dxfId="886" priority="709">
      <formula>$X267="Benzick, Sue"</formula>
    </cfRule>
  </conditionalFormatting>
  <conditionalFormatting sqref="J277">
    <cfRule type="expression" dxfId="885" priority="708">
      <formula>$X277="McQueen, Jennifer"</formula>
    </cfRule>
    <cfRule type="expression" dxfId="884" priority="707">
      <formula>$X277="Jenne, Richard"</formula>
    </cfRule>
    <cfRule type="expression" dxfId="883" priority="706">
      <formula>$X277="Benzick, Sue"</formula>
    </cfRule>
  </conditionalFormatting>
  <conditionalFormatting sqref="J294">
    <cfRule type="expression" dxfId="882" priority="639">
      <formula>#REF!="McQueen, Jennifer"</formula>
    </cfRule>
    <cfRule type="expression" dxfId="881" priority="638">
      <formula>#REF!="Jenne, Richard"</formula>
    </cfRule>
    <cfRule type="expression" dxfId="880" priority="637">
      <formula>#REF!="Benzick, Sue"</formula>
    </cfRule>
  </conditionalFormatting>
  <conditionalFormatting sqref="J363">
    <cfRule type="expression" dxfId="879" priority="23">
      <formula>$W363="Jenne, Richard"</formula>
    </cfRule>
    <cfRule type="expression" dxfId="878" priority="22">
      <formula>$W363="Benzick, Sue"</formula>
    </cfRule>
    <cfRule type="expression" dxfId="877" priority="24">
      <formula>$W363="McQueen, Jennifer"</formula>
    </cfRule>
  </conditionalFormatting>
  <conditionalFormatting sqref="J483">
    <cfRule type="expression" dxfId="876" priority="702">
      <formula>$X483="McQueen, Jennifer"</formula>
    </cfRule>
    <cfRule type="expression" dxfId="875" priority="701">
      <formula>$X483="Jenne, Richard"</formula>
    </cfRule>
    <cfRule type="expression" dxfId="874" priority="700">
      <formula>$X483="Benzick, Sue"</formula>
    </cfRule>
  </conditionalFormatting>
  <conditionalFormatting sqref="J54:K54">
    <cfRule type="expression" dxfId="873" priority="467">
      <formula>$X54="Jenne, Richard"</formula>
    </cfRule>
    <cfRule type="expression" dxfId="872" priority="466">
      <formula>$X54="Benzick, Sue"</formula>
    </cfRule>
    <cfRule type="expression" dxfId="871" priority="468">
      <formula>$X54="McQueen, Jennifer"</formula>
    </cfRule>
  </conditionalFormatting>
  <conditionalFormatting sqref="J57:K58">
    <cfRule type="expression" dxfId="870" priority="457">
      <formula>$X57="Benzick, Sue"</formula>
    </cfRule>
    <cfRule type="expression" dxfId="869" priority="459">
      <formula>$X57="McQueen, Jennifer"</formula>
    </cfRule>
    <cfRule type="expression" dxfId="868" priority="458">
      <formula>$X57="Jenne, Richard"</formula>
    </cfRule>
  </conditionalFormatting>
  <conditionalFormatting sqref="J60:K60">
    <cfRule type="expression" dxfId="867" priority="453">
      <formula>$X60="McQueen, Jennifer"</formula>
    </cfRule>
    <cfRule type="expression" dxfId="866" priority="452">
      <formula>$X60="Jenne, Richard"</formula>
    </cfRule>
    <cfRule type="expression" dxfId="865" priority="451">
      <formula>$X60="Benzick, Sue"</formula>
    </cfRule>
  </conditionalFormatting>
  <conditionalFormatting sqref="J61:K63 M61:N63">
    <cfRule type="expression" dxfId="864" priority="636">
      <formula>#REF!="McQueen, Jennifer"</formula>
    </cfRule>
    <cfRule type="expression" dxfId="863" priority="635">
      <formula>#REF!="Jenne, Richard"</formula>
    </cfRule>
    <cfRule type="expression" dxfId="862" priority="634">
      <formula>#REF!="Benzick, Sue"</formula>
    </cfRule>
  </conditionalFormatting>
  <conditionalFormatting sqref="J71:K71">
    <cfRule type="expression" dxfId="861" priority="438">
      <formula>$X71="McQueen, Jennifer"</formula>
    </cfRule>
    <cfRule type="expression" dxfId="860" priority="437">
      <formula>$X71="Jenne, Richard"</formula>
    </cfRule>
    <cfRule type="expression" dxfId="859" priority="436">
      <formula>$X71="Benzick, Sue"</formula>
    </cfRule>
  </conditionalFormatting>
  <conditionalFormatting sqref="J80:K80">
    <cfRule type="expression" dxfId="858" priority="426">
      <formula>$X80="McQueen, Jennifer"</formula>
    </cfRule>
    <cfRule type="expression" dxfId="857" priority="424">
      <formula>$X80="Benzick, Sue"</formula>
    </cfRule>
    <cfRule type="expression" dxfId="856" priority="425">
      <formula>$X80="Jenne, Richard"</formula>
    </cfRule>
  </conditionalFormatting>
  <conditionalFormatting sqref="J86:K87">
    <cfRule type="expression" dxfId="855" priority="419">
      <formula>$X86="Jenne, Richard"</formula>
    </cfRule>
    <cfRule type="expression" dxfId="854" priority="420">
      <formula>$X86="McQueen, Jennifer"</formula>
    </cfRule>
    <cfRule type="expression" dxfId="853" priority="418">
      <formula>$X86="Benzick, Sue"</formula>
    </cfRule>
  </conditionalFormatting>
  <conditionalFormatting sqref="J135:K135">
    <cfRule type="expression" dxfId="852" priority="351">
      <formula>$X135="McQueen, Jennifer"</formula>
    </cfRule>
    <cfRule type="expression" dxfId="851" priority="349">
      <formula>$X135="Benzick, Sue"</formula>
    </cfRule>
    <cfRule type="expression" dxfId="850" priority="350">
      <formula>$X135="Jenne, Richard"</formula>
    </cfRule>
  </conditionalFormatting>
  <conditionalFormatting sqref="J138:K138">
    <cfRule type="expression" dxfId="849" priority="345">
      <formula>$X138="McQueen, Jennifer"</formula>
    </cfRule>
    <cfRule type="expression" dxfId="848" priority="344">
      <formula>$X138="Jenne, Richard"</formula>
    </cfRule>
    <cfRule type="expression" dxfId="847" priority="343">
      <formula>$X138="Benzick, Sue"</formula>
    </cfRule>
  </conditionalFormatting>
  <conditionalFormatting sqref="J140:K140 M140:N140">
    <cfRule type="expression" dxfId="846" priority="338">
      <formula>#REF!="Jenne, Richard"</formula>
    </cfRule>
    <cfRule type="expression" dxfId="845" priority="337">
      <formula>#REF!="Benzick, Sue"</formula>
    </cfRule>
  </conditionalFormatting>
  <conditionalFormatting sqref="J140:K141">
    <cfRule type="expression" dxfId="844" priority="336">
      <formula>#REF!="McQueen, Jennifer"</formula>
    </cfRule>
  </conditionalFormatting>
  <conditionalFormatting sqref="J141:K141">
    <cfRule type="expression" dxfId="843" priority="334">
      <formula>#REF!="Benzick, Sue"</formula>
    </cfRule>
    <cfRule type="expression" dxfId="842" priority="335">
      <formula>#REF!="Jenne, Richard"</formula>
    </cfRule>
  </conditionalFormatting>
  <conditionalFormatting sqref="J145:K145">
    <cfRule type="expression" dxfId="841" priority="327">
      <formula>$X145="McQueen, Jennifer"</formula>
    </cfRule>
    <cfRule type="expression" dxfId="840" priority="326">
      <formula>$X145="Jenne, Richard"</formula>
    </cfRule>
    <cfRule type="expression" dxfId="839" priority="325">
      <formula>$X145="Benzick, Sue"</formula>
    </cfRule>
  </conditionalFormatting>
  <conditionalFormatting sqref="J146:K149 M146:N149 J176:N183 J520:N523 J538:N538">
    <cfRule type="expression" dxfId="838" priority="111">
      <formula>#REF!="McQueen, Jennifer"</formula>
    </cfRule>
    <cfRule type="expression" dxfId="837" priority="110">
      <formula>#REF!="Jenne, Richard"</formula>
    </cfRule>
    <cfRule type="expression" dxfId="836" priority="109">
      <formula>#REF!="Benzick, Sue"</formula>
    </cfRule>
  </conditionalFormatting>
  <conditionalFormatting sqref="J152:K152">
    <cfRule type="expression" dxfId="835" priority="307">
      <formula>$X152="Benzick, Sue"</formula>
    </cfRule>
    <cfRule type="expression" dxfId="834" priority="308">
      <formula>$X152="Jenne, Richard"</formula>
    </cfRule>
    <cfRule type="expression" dxfId="833" priority="309">
      <formula>$X152="McQueen, Jennifer"</formula>
    </cfRule>
  </conditionalFormatting>
  <conditionalFormatting sqref="J154:K154 M154:N154">
    <cfRule type="expression" dxfId="832" priority="302">
      <formula>#REF!="Jenne, Richard"</formula>
    </cfRule>
    <cfRule type="expression" dxfId="831" priority="301">
      <formula>#REF!="Benzick, Sue"</formula>
    </cfRule>
  </conditionalFormatting>
  <conditionalFormatting sqref="J207:L207">
    <cfRule type="expression" dxfId="830" priority="189">
      <formula>$X207="McQueen, Jennifer"</formula>
    </cfRule>
    <cfRule type="expression" dxfId="829" priority="188">
      <formula>$X207="Jenne, Richard"</formula>
    </cfRule>
    <cfRule type="expression" dxfId="828" priority="187">
      <formula>$X207="Benzick, Sue"</formula>
    </cfRule>
  </conditionalFormatting>
  <conditionalFormatting sqref="J197:M197">
    <cfRule type="expression" dxfId="827" priority="200">
      <formula>#REF!="Jenne, Richard"</formula>
    </cfRule>
    <cfRule type="expression" dxfId="826" priority="199">
      <formula>#REF!="Benzick, Sue"</formula>
    </cfRule>
    <cfRule type="expression" dxfId="825" priority="201">
      <formula>#REF!="McQueen, Jennifer"</formula>
    </cfRule>
  </conditionalFormatting>
  <conditionalFormatting sqref="J5:N5">
    <cfRule type="expression" dxfId="824" priority="516">
      <formula>#REF!="McQueen, Jennifer"</formula>
    </cfRule>
    <cfRule type="expression" dxfId="823" priority="514">
      <formula>#REF!="Benzick, Sue"</formula>
    </cfRule>
    <cfRule type="expression" dxfId="822" priority="515">
      <formula>#REF!="Jenne, Richard"</formula>
    </cfRule>
  </conditionalFormatting>
  <conditionalFormatting sqref="J6:N7 X12:X42 A34:A35 W34:W40 W42 W44:W53 X44:X59 W55 J55:K56 M55:N56 W57:W59 E61:F62 W61:X62 W64:X73 J69:K70 M69:N70 X74:X81 F77:G78 W77:W81 E79:H79 J79:K79 M79:N79 F80:H80 E81:G81 F82:G82 F83:H84 W83:X85 E83:E92 J84:K84 M84:N84 F85:G85 F86:F90 A86:A91 J88:L100 N88:N100 W89 X89:X90 W91:X111 E94:E105 J101:K113 M101:M113 A105:A106 E107:E132 F110:G110 W113:X129 A114:A117 W131:X136 X137 W138:X151 J139:K139 M139:N139 A144 F150:H150 J150:K150 M150:N150 F151:G151 W152:W153 X152:X159 F153 F155:G158 W155:W159 F159:H159 J159:N159 F160:F163 J162:N162 F167 W167:X206 J186:N187 J198 L198 F202:F203 E208 J208:J209 L208:L209 N208:N209 W208:X223 E210:E222 X224:X225 E224:E242 W226:X252 E249 W254:W257 X254:X259 X261:X265 J262 L262:N262 X268 J269:N269 W269:X269 X270:X319 J273 L273:N273 J288 L288:N288 J301:J302 L301:N302 A306 J316:J317 L316:N317 X321:X360 J324:J325 L324:N325 J343:J344 L343:N344 A360 X362:X377 L363 J366:J367 L366:N367 X380:X381 X383:X469 J386:J387 L386:N387 F402:G406 J406:J407 L406:N407 J420 L420:N420 J426 L426:N426 J435 L435:N435 J442:J443 L442:N443 A446 A457 J463:J464 L463:N464 X471:X494 J480:J481 L480:N481 J504 L504:N504 J511:J512 L511:N512 J524 L524:N524 J541 L541:N541">
    <cfRule type="expression" dxfId="821" priority="1231">
      <formula>$W6="Benzick, Sue"</formula>
    </cfRule>
    <cfRule type="expression" dxfId="820" priority="1232">
      <formula>$W6="Jenne, Richard"</formula>
    </cfRule>
    <cfRule type="expression" dxfId="819" priority="1233">
      <formula>$W6="McQueen, Jennifer"</formula>
    </cfRule>
  </conditionalFormatting>
  <conditionalFormatting sqref="J8:N21">
    <cfRule type="expression" dxfId="818" priority="75">
      <formula>#REF!="McQueen, Jennifer"</formula>
    </cfRule>
    <cfRule type="expression" dxfId="817" priority="74">
      <formula>#REF!="Jenne, Richard"</formula>
    </cfRule>
    <cfRule type="expression" dxfId="816" priority="73">
      <formula>#REF!="Benzick, Sue"</formula>
    </cfRule>
  </conditionalFormatting>
  <conditionalFormatting sqref="J22:N37">
    <cfRule type="expression" dxfId="815" priority="475">
      <formula>$W22="Benzick, Sue"</formula>
    </cfRule>
    <cfRule type="expression" dxfId="814" priority="476">
      <formula>$W22="Jenne, Richard"</formula>
    </cfRule>
    <cfRule type="expression" dxfId="813" priority="477">
      <formula>$W22="McQueen, Jennifer"</formula>
    </cfRule>
  </conditionalFormatting>
  <conditionalFormatting sqref="J40:N40">
    <cfRule type="expression" dxfId="812" priority="472">
      <formula>#REF!="Benzick, Sue"</formula>
    </cfRule>
    <cfRule type="expression" dxfId="811" priority="474">
      <formula>#REF!="McQueen, Jennifer"</formula>
    </cfRule>
    <cfRule type="expression" dxfId="810" priority="473">
      <formula>#REF!="Jenne, Richard"</formula>
    </cfRule>
  </conditionalFormatting>
  <conditionalFormatting sqref="J42:N43">
    <cfRule type="expression" dxfId="809" priority="513">
      <formula>$W42="McQueen, Jennifer"</formula>
    </cfRule>
    <cfRule type="expression" dxfId="808" priority="511">
      <formula>$W42="Benzick, Sue"</formula>
    </cfRule>
    <cfRule type="expression" dxfId="807" priority="512">
      <formula>$W42="Jenne, Richard"</formula>
    </cfRule>
  </conditionalFormatting>
  <conditionalFormatting sqref="J155:N156">
    <cfRule type="expression" dxfId="806" priority="295">
      <formula>#REF!="Benzick, Sue"</formula>
    </cfRule>
    <cfRule type="expression" dxfId="805" priority="296">
      <formula>#REF!="Jenne, Richard"</formula>
    </cfRule>
    <cfRule type="expression" dxfId="804" priority="297">
      <formula>#REF!="McQueen, Jennifer"</formula>
    </cfRule>
  </conditionalFormatting>
  <conditionalFormatting sqref="J163:N164">
    <cfRule type="expression" dxfId="803" priority="276">
      <formula>#REF!="McQueen, Jennifer"</formula>
    </cfRule>
    <cfRule type="expression" dxfId="802" priority="275">
      <formula>#REF!="Jenne, Richard"</formula>
    </cfRule>
    <cfRule type="expression" dxfId="801" priority="274">
      <formula>#REF!="Benzick, Sue"</formula>
    </cfRule>
  </conditionalFormatting>
  <conditionalFormatting sqref="J165:N165">
    <cfRule type="expression" dxfId="800" priority="268">
      <formula>$X165="Benzick, Sue"</formula>
    </cfRule>
    <cfRule type="expression" dxfId="799" priority="270">
      <formula>$X165="McQueen, Jennifer"</formula>
    </cfRule>
    <cfRule type="expression" dxfId="798" priority="269">
      <formula>$X165="Jenne, Richard"</formula>
    </cfRule>
  </conditionalFormatting>
  <conditionalFormatting sqref="J168:N172">
    <cfRule type="expression" dxfId="797" priority="259">
      <formula>#REF!="Benzick, Sue"</formula>
    </cfRule>
    <cfRule type="expression" dxfId="796" priority="261">
      <formula>#REF!="McQueen, Jennifer"</formula>
    </cfRule>
    <cfRule type="expression" dxfId="795" priority="260">
      <formula>#REF!="Jenne, Richard"</formula>
    </cfRule>
  </conditionalFormatting>
  <conditionalFormatting sqref="J173:N175">
    <cfRule type="expression" dxfId="794" priority="256">
      <formula>$X173="Benzick, Sue"</formula>
    </cfRule>
    <cfRule type="expression" dxfId="793" priority="257">
      <formula>$X173="Jenne, Richard"</formula>
    </cfRule>
    <cfRule type="expression" dxfId="792" priority="258">
      <formula>$X173="McQueen, Jennifer"</formula>
    </cfRule>
  </conditionalFormatting>
  <conditionalFormatting sqref="J184:N184">
    <cfRule type="expression" dxfId="791" priority="246">
      <formula>$X184="McQueen, Jennifer"</formula>
    </cfRule>
    <cfRule type="expression" dxfId="790" priority="245">
      <formula>$X184="Jenne, Richard"</formula>
    </cfRule>
    <cfRule type="expression" dxfId="789" priority="244">
      <formula>$X184="Benzick, Sue"</formula>
    </cfRule>
  </conditionalFormatting>
  <conditionalFormatting sqref="J185:N185">
    <cfRule type="expression" dxfId="788" priority="239">
      <formula>#REF!="Jenne, Richard"</formula>
    </cfRule>
    <cfRule type="expression" dxfId="787" priority="238">
      <formula>#REF!="Benzick, Sue"</formula>
    </cfRule>
    <cfRule type="expression" dxfId="786" priority="240">
      <formula>#REF!="McQueen, Jennifer"</formula>
    </cfRule>
  </conditionalFormatting>
  <conditionalFormatting sqref="J188:N188">
    <cfRule type="expression" dxfId="785" priority="616">
      <formula>#REF!="Benzick, Sue"</formula>
    </cfRule>
    <cfRule type="expression" dxfId="784" priority="617">
      <formula>#REF!="Jenne, Richard"</formula>
    </cfRule>
    <cfRule type="expression" dxfId="783" priority="618">
      <formula>#REF!="McQueen, Jennifer"</formula>
    </cfRule>
  </conditionalFormatting>
  <conditionalFormatting sqref="J190:N190">
    <cfRule type="expression" dxfId="782" priority="225">
      <formula>#REF!="McQueen, Jennifer"</formula>
    </cfRule>
    <cfRule type="expression" dxfId="781" priority="224">
      <formula>#REF!="Jenne, Richard"</formula>
    </cfRule>
    <cfRule type="expression" dxfId="780" priority="223">
      <formula>#REF!="Benzick, Sue"</formula>
    </cfRule>
  </conditionalFormatting>
  <conditionalFormatting sqref="J193:N193">
    <cfRule type="expression" dxfId="779" priority="212">
      <formula>#REF!="Jenne, Richard"</formula>
    </cfRule>
    <cfRule type="expression" dxfId="778" priority="211">
      <formula>#REF!="Benzick, Sue"</formula>
    </cfRule>
    <cfRule type="expression" dxfId="777" priority="213">
      <formula>#REF!="McQueen, Jennifer"</formula>
    </cfRule>
  </conditionalFormatting>
  <conditionalFormatting sqref="J195:N195">
    <cfRule type="expression" dxfId="776" priority="210">
      <formula>#REF!="McQueen, Jennifer"</formula>
    </cfRule>
    <cfRule type="expression" dxfId="775" priority="209">
      <formula>#REF!="Jenne, Richard"</formula>
    </cfRule>
    <cfRule type="expression" dxfId="774" priority="208">
      <formula>#REF!="Benzick, Sue"</formula>
    </cfRule>
  </conditionalFormatting>
  <conditionalFormatting sqref="J200:N204">
    <cfRule type="expression" dxfId="773" priority="193">
      <formula>$X200="Benzick, Sue"</formula>
    </cfRule>
    <cfRule type="expression" dxfId="772" priority="194">
      <formula>$X200="Jenne, Richard"</formula>
    </cfRule>
    <cfRule type="expression" dxfId="771" priority="195">
      <formula>$X200="McQueen, Jennifer"</formula>
    </cfRule>
  </conditionalFormatting>
  <conditionalFormatting sqref="J212:N212">
    <cfRule type="expression" dxfId="770" priority="181">
      <formula>$X212="Benzick, Sue"</formula>
    </cfRule>
    <cfRule type="expression" dxfId="769" priority="182">
      <formula>$X212="Jenne, Richard"</formula>
    </cfRule>
    <cfRule type="expression" dxfId="768" priority="183">
      <formula>$X212="McQueen, Jennifer"</formula>
    </cfRule>
  </conditionalFormatting>
  <conditionalFormatting sqref="J214:N214 I215:N215">
    <cfRule type="expression" dxfId="767" priority="179">
      <formula>#REF!="Jenne, Richard"</formula>
    </cfRule>
    <cfRule type="expression" dxfId="766" priority="178">
      <formula>#REF!="Benzick, Sue"</formula>
    </cfRule>
    <cfRule type="expression" dxfId="765" priority="180">
      <formula>#REF!="McQueen, Jennifer"</formula>
    </cfRule>
  </conditionalFormatting>
  <conditionalFormatting sqref="J225:N225">
    <cfRule type="expression" dxfId="764" priority="160">
      <formula>$X225="Benzick, Sue"</formula>
    </cfRule>
    <cfRule type="expression" dxfId="763" priority="161">
      <formula>$X225="Jenne, Richard"</formula>
    </cfRule>
    <cfRule type="expression" dxfId="762" priority="162">
      <formula>$X225="McQueen, Jennifer"</formula>
    </cfRule>
  </conditionalFormatting>
  <conditionalFormatting sqref="J226:N227">
    <cfRule type="expression" dxfId="761" priority="157">
      <formula>$W226="Benzick, Sue"</formula>
    </cfRule>
    <cfRule type="expression" dxfId="760" priority="155">
      <formula>#REF!="Jenne, Richard"</formula>
    </cfRule>
    <cfRule type="expression" dxfId="759" priority="159">
      <formula>$W226="McQueen, Jennifer"</formula>
    </cfRule>
    <cfRule type="expression" dxfId="758" priority="158">
      <formula>$W226="Jenne, Richard"</formula>
    </cfRule>
  </conditionalFormatting>
  <conditionalFormatting sqref="J226:N257 J281:N282 J311:N315 J345:N362 J364:N365 J388:N405 J432:N434 J476:N479 J505:N505 J531:N536">
    <cfRule type="expression" dxfId="757" priority="82">
      <formula>#REF!="Benzick, Sue"</formula>
    </cfRule>
    <cfRule type="expression" dxfId="756" priority="84">
      <formula>#REF!="McQueen, Jennifer"</formula>
    </cfRule>
  </conditionalFormatting>
  <conditionalFormatting sqref="J228:N257 J281:N282 J311:N315 J345:N362 J364:N365 J388:N405 J432:N434 J476:N479 J505:N505 J531:N536">
    <cfRule type="expression" dxfId="755" priority="83">
      <formula>#REF!="Jenne, Richard"</formula>
    </cfRule>
  </conditionalFormatting>
  <conditionalFormatting sqref="J271:N271 J439:N441">
    <cfRule type="expression" dxfId="754" priority="101">
      <formula>#REF!="Jenne, Richard"</formula>
    </cfRule>
    <cfRule type="expression" dxfId="753" priority="100">
      <formula>#REF!="Benzick, Sue"</formula>
    </cfRule>
    <cfRule type="expression" dxfId="752" priority="102">
      <formula>#REF!="McQueen, Jennifer"</formula>
    </cfRule>
  </conditionalFormatting>
  <conditionalFormatting sqref="J278:N279 J308:N309 J322:N323 J327:N329 J342:N342 J413:N413 J418:N419 J487:N487 J489:N493 J502:N503 J526:N526">
    <cfRule type="expression" dxfId="751" priority="95">
      <formula>#REF!="Jenne, Richard"</formula>
    </cfRule>
    <cfRule type="expression" dxfId="750" priority="94">
      <formula>#REF!="Benzick, Sue"</formula>
    </cfRule>
    <cfRule type="expression" dxfId="749" priority="96">
      <formula>#REF!="McQueen, Jennifer"</formula>
    </cfRule>
  </conditionalFormatting>
  <conditionalFormatting sqref="J298:N298">
    <cfRule type="expression" dxfId="748" priority="612">
      <formula>#REF!="McQueen, Jennifer"</formula>
    </cfRule>
    <cfRule type="expression" dxfId="747" priority="610">
      <formula>#REF!="Benzick, Sue"</formula>
    </cfRule>
    <cfRule type="expression" dxfId="746" priority="611">
      <formula>#REF!="Jenne, Richard"</formula>
    </cfRule>
  </conditionalFormatting>
  <conditionalFormatting sqref="J340:N340">
    <cfRule type="expression" dxfId="745" priority="104">
      <formula>#REF!="Jenne, Richard"</formula>
    </cfRule>
    <cfRule type="expression" dxfId="744" priority="103">
      <formula>#REF!="Benzick, Sue"</formula>
    </cfRule>
    <cfRule type="expression" dxfId="743" priority="105">
      <formula>#REF!="McQueen, Jennifer"</formula>
    </cfRule>
  </conditionalFormatting>
  <conditionalFormatting sqref="J368:N385">
    <cfRule type="expression" dxfId="742" priority="7">
      <formula>#REF!="Benzick, Sue"</formula>
    </cfRule>
    <cfRule type="expression" dxfId="741" priority="8">
      <formula>#REF!="Jenne, Richard"</formula>
    </cfRule>
    <cfRule type="expression" dxfId="740" priority="9">
      <formula>#REF!="McQueen, Jennifer"</formula>
    </cfRule>
  </conditionalFormatting>
  <conditionalFormatting sqref="J451:N453 J465:N465 J468:N468 J472:N472">
    <cfRule type="expression" dxfId="739" priority="87">
      <formula>#REF!="McQueen, Jennifer"</formula>
    </cfRule>
    <cfRule type="expression" dxfId="738" priority="85">
      <formula>#REF!="Benzick, Sue"</formula>
    </cfRule>
    <cfRule type="expression" dxfId="737" priority="86">
      <formula>#REF!="Jenne, Richard"</formula>
    </cfRule>
  </conditionalFormatting>
  <conditionalFormatting sqref="J458:N462 J509:N510">
    <cfRule type="expression" dxfId="736" priority="88">
      <formula>#REF!="Benzick, Sue"</formula>
    </cfRule>
    <cfRule type="expression" dxfId="735" priority="89">
      <formula>#REF!="Jenne, Richard"</formula>
    </cfRule>
    <cfRule type="expression" dxfId="734" priority="90">
      <formula>#REF!="McQueen, Jennifer"</formula>
    </cfRule>
  </conditionalFormatting>
  <conditionalFormatting sqref="K153 M153:N153">
    <cfRule type="expression" dxfId="733" priority="304">
      <formula>#REF!="Benzick, Sue"</formula>
    </cfRule>
    <cfRule type="expression" dxfId="732" priority="305">
      <formula>#REF!="Jenne, Richard"</formula>
    </cfRule>
  </conditionalFormatting>
  <conditionalFormatting sqref="K153">
    <cfRule type="expression" dxfId="731" priority="306">
      <formula>#REF!="McQueen, Jennifer"</formula>
    </cfRule>
  </conditionalFormatting>
  <conditionalFormatting sqref="K198 K208:K209 K262 K273 K288 K301:K302 K316:K317 K324:K325 K343:K344 K366:K367 K386:K387 K406:K407 K420 K426 K435 K442:K443 K463:K464 K480:K481 K504 K511:K512 K524 K541">
    <cfRule type="expression" dxfId="730" priority="121">
      <formula>#REF!="Benzick, Sue"</formula>
    </cfRule>
    <cfRule type="expression" dxfId="729" priority="122">
      <formula>#REF!="Jenne, Richard"</formula>
    </cfRule>
    <cfRule type="expression" dxfId="728" priority="123">
      <formula>#REF!="McQueen, Jennifer"</formula>
    </cfRule>
  </conditionalFormatting>
  <conditionalFormatting sqref="K216:K221">
    <cfRule type="expression" dxfId="727" priority="68">
      <formula>#REF!="Jenne, Richard"</formula>
    </cfRule>
    <cfRule type="expression" dxfId="726" priority="67">
      <formula>#REF!="Benzick, Sue"</formula>
    </cfRule>
    <cfRule type="expression" dxfId="725" priority="69">
      <formula>#REF!="McQueen, Jennifer"</formula>
    </cfRule>
  </conditionalFormatting>
  <conditionalFormatting sqref="K363">
    <cfRule type="expression" dxfId="724" priority="20">
      <formula>#REF!="Jenne, Richard"</formula>
    </cfRule>
    <cfRule type="expression" dxfId="723" priority="21">
      <formula>#REF!="McQueen, Jennifer"</formula>
    </cfRule>
    <cfRule type="expression" dxfId="722" priority="19">
      <formula>#REF!="Benzick, Sue"</formula>
    </cfRule>
  </conditionalFormatting>
  <conditionalFormatting sqref="K157:N158">
    <cfRule type="expression" dxfId="721" priority="289">
      <formula>#REF!="Benzick, Sue"</formula>
    </cfRule>
    <cfRule type="expression" dxfId="720" priority="290">
      <formula>#REF!="Jenne, Richard"</formula>
    </cfRule>
    <cfRule type="expression" dxfId="719" priority="291">
      <formula>#REF!="McQueen, Jennifer"</formula>
    </cfRule>
  </conditionalFormatting>
  <conditionalFormatting sqref="K161:N161">
    <cfRule type="expression" dxfId="718" priority="285">
      <formula>#REF!="McQueen, Jennifer"</formula>
    </cfRule>
    <cfRule type="expression" dxfId="717" priority="283">
      <formula>#REF!="Benzick, Sue"</formula>
    </cfRule>
    <cfRule type="expression" dxfId="716" priority="284">
      <formula>#REF!="Jenne, Richard"</formula>
    </cfRule>
  </conditionalFormatting>
  <conditionalFormatting sqref="K191:N192">
    <cfRule type="expression" dxfId="715" priority="215">
      <formula>#REF!="Jenne, Richard"</formula>
    </cfRule>
    <cfRule type="expression" dxfId="714" priority="214">
      <formula>#REF!="Benzick, Sue"</formula>
    </cfRule>
    <cfRule type="expression" dxfId="713" priority="216">
      <formula>#REF!="McQueen, Jennifer"</formula>
    </cfRule>
  </conditionalFormatting>
  <conditionalFormatting sqref="L101:L113">
    <cfRule type="expression" dxfId="712" priority="399">
      <formula>$X101="McQueen, Jennifer"</formula>
    </cfRule>
    <cfRule type="expression" dxfId="711" priority="397">
      <formula>$X101="Benzick, Sue"</formula>
    </cfRule>
    <cfRule type="expression" dxfId="710" priority="398">
      <formula>$X101="Jenne, Richard"</formula>
    </cfRule>
  </conditionalFormatting>
  <conditionalFormatting sqref="L296">
    <cfRule type="expression" dxfId="709" priority="642">
      <formula>#REF!="McQueen, Jennifer"</formula>
    </cfRule>
    <cfRule type="expression" dxfId="708" priority="641">
      <formula>#REF!="Jenne, Richard"</formula>
    </cfRule>
    <cfRule type="expression" dxfId="707" priority="640">
      <formula>#REF!="Benzick, Sue"</formula>
    </cfRule>
  </conditionalFormatting>
  <conditionalFormatting sqref="M198">
    <cfRule type="expression" dxfId="706" priority="119">
      <formula>$W198="Jenne, Richard"</formula>
    </cfRule>
    <cfRule type="expression" dxfId="705" priority="118">
      <formula>$W198="Benzick, Sue"</formula>
    </cfRule>
    <cfRule type="expression" dxfId="704" priority="120">
      <formula>$W198="McQueen, Jennifer"</formula>
    </cfRule>
  </conditionalFormatting>
  <conditionalFormatting sqref="M207:M209">
    <cfRule type="expression" dxfId="703" priority="112">
      <formula>#REF!="Benzick, Sue"</formula>
    </cfRule>
    <cfRule type="expression" dxfId="702" priority="114">
      <formula>#REF!="McQueen, Jennifer"</formula>
    </cfRule>
    <cfRule type="expression" dxfId="701" priority="113">
      <formula>#REF!="Jenne, Richard"</formula>
    </cfRule>
  </conditionalFormatting>
  <conditionalFormatting sqref="M216:M221">
    <cfRule type="expression" dxfId="700" priority="63">
      <formula>#REF!="McQueen, Jennifer"</formula>
    </cfRule>
    <cfRule type="expression" dxfId="699" priority="62">
      <formula>#REF!="Jenne, Richard"</formula>
    </cfRule>
    <cfRule type="expression" dxfId="698" priority="61">
      <formula>#REF!="Benzick, Sue"</formula>
    </cfRule>
  </conditionalFormatting>
  <conditionalFormatting sqref="M292">
    <cfRule type="expression" dxfId="697" priority="596">
      <formula>#REF!="Jenne, Richard"</formula>
    </cfRule>
    <cfRule type="expression" dxfId="696" priority="597">
      <formula>#REF!="McQueen, Jennifer"</formula>
    </cfRule>
    <cfRule type="expression" dxfId="695" priority="595">
      <formula>#REF!="Benzick, Sue"</formula>
    </cfRule>
  </conditionalFormatting>
  <conditionalFormatting sqref="M363">
    <cfRule type="expression" dxfId="694" priority="14">
      <formula>#REF!="Jenne, Richard"</formula>
    </cfRule>
    <cfRule type="expression" dxfId="693" priority="15">
      <formula>#REF!="McQueen, Jennifer"</formula>
    </cfRule>
    <cfRule type="expression" dxfId="692" priority="13">
      <formula>#REF!="Benzick, Sue"</formula>
    </cfRule>
  </conditionalFormatting>
  <conditionalFormatting sqref="M140:N144 K143">
    <cfRule type="expression" dxfId="691" priority="330">
      <formula>#REF!="McQueen, Jennifer"</formula>
    </cfRule>
  </conditionalFormatting>
  <conditionalFormatting sqref="M141:N144 K143">
    <cfRule type="expression" dxfId="690" priority="328">
      <formula>#REF!="Benzick, Sue"</formula>
    </cfRule>
    <cfRule type="expression" dxfId="689" priority="329">
      <formula>#REF!="Jenne, Richard"</formula>
    </cfRule>
  </conditionalFormatting>
  <conditionalFormatting sqref="M153:N154 J154:K154">
    <cfRule type="expression" dxfId="688" priority="303">
      <formula>#REF!="McQueen, Jennifer"</formula>
    </cfRule>
  </conditionalFormatting>
  <conditionalFormatting sqref="N101:N113 H113:H124 J144:K144 H148:I149 J151:K151 M151:N151 F233:G238 H259:H266 I260:I269 I297 F329 I333:N339 H342:H344 H346:H348 I408:N412 I413 I414:N417 I418">
    <cfRule type="expression" dxfId="687" priority="5422">
      <formula>#REF!="McQueen, Jennifer"</formula>
    </cfRule>
    <cfRule type="expression" dxfId="686" priority="5421">
      <formula>#REF!="Jenne, Richard"</formula>
    </cfRule>
    <cfRule type="expression" dxfId="685" priority="5420">
      <formula>#REF!="Benzick, Sue"</formula>
    </cfRule>
  </conditionalFormatting>
  <conditionalFormatting sqref="N198">
    <cfRule type="expression" dxfId="684" priority="117">
      <formula>$W198="McQueen, Jennifer"</formula>
    </cfRule>
    <cfRule type="expression" dxfId="683" priority="116">
      <formula>$W198="Jenne, Richard"</formula>
    </cfRule>
    <cfRule type="expression" dxfId="682" priority="115">
      <formula>$W198="Benzick, Sue"</formula>
    </cfRule>
  </conditionalFormatting>
  <conditionalFormatting sqref="N216:N221">
    <cfRule type="expression" dxfId="681" priority="50">
      <formula>#REF!="Jenne, Richard"</formula>
    </cfRule>
    <cfRule type="expression" dxfId="680" priority="49">
      <formula>#REF!="Benzick, Sue"</formula>
    </cfRule>
    <cfRule type="expression" dxfId="679" priority="52">
      <formula>$W216="Benzick, Sue"</formula>
    </cfRule>
    <cfRule type="expression" dxfId="678" priority="53">
      <formula>$W216="Jenne, Richard"</formula>
    </cfRule>
    <cfRule type="expression" dxfId="677" priority="54">
      <formula>$W216="McQueen, Jennifer"</formula>
    </cfRule>
    <cfRule type="expression" dxfId="676" priority="51">
      <formula>#REF!="McQueen, Jennifer"</formula>
    </cfRule>
  </conditionalFormatting>
  <conditionalFormatting sqref="N363">
    <cfRule type="expression" dxfId="675" priority="18">
      <formula>$W363="McQueen, Jennifer"</formula>
    </cfRule>
    <cfRule type="expression" dxfId="674" priority="17">
      <formula>$W363="Jenne, Richard"</formula>
    </cfRule>
    <cfRule type="expression" dxfId="673" priority="16">
      <formula>$W363="Benzick, Sue"</formula>
    </cfRule>
  </conditionalFormatting>
  <conditionalFormatting sqref="O24:O28">
    <cfRule type="expression" dxfId="672" priority="498">
      <formula>$W24="McQueen, Jennifer"</formula>
    </cfRule>
    <cfRule type="expression" dxfId="671" priority="497">
      <formula>$W24="Jenne, Richard"</formula>
    </cfRule>
    <cfRule type="expression" dxfId="670" priority="496">
      <formula>$W24="Benzick, Sue"</formula>
    </cfRule>
  </conditionalFormatting>
  <conditionalFormatting sqref="O79">
    <cfRule type="expression" dxfId="669" priority="428">
      <formula>$X79="Jenne, Richard"</formula>
    </cfRule>
    <cfRule type="expression" dxfId="668" priority="429">
      <formula>$X79="McQueen, Jennifer"</formula>
    </cfRule>
    <cfRule type="expression" dxfId="667" priority="427">
      <formula>$X79="Benzick, Sue"</formula>
    </cfRule>
  </conditionalFormatting>
  <conditionalFormatting sqref="O146">
    <cfRule type="expression" dxfId="666" priority="319">
      <formula>$X146="Benzick, Sue"</formula>
    </cfRule>
    <cfRule type="expression" dxfId="665" priority="320">
      <formula>$X146="Jenne, Richard"</formula>
    </cfRule>
    <cfRule type="expression" dxfId="664" priority="321">
      <formula>$X146="McQueen, Jennifer"</formula>
    </cfRule>
  </conditionalFormatting>
  <conditionalFormatting sqref="W160:X165">
    <cfRule type="expression" dxfId="663" priority="679">
      <formula>$W160="Benzick, Sue"</formula>
    </cfRule>
    <cfRule type="expression" dxfId="662" priority="680">
      <formula>$W160="Jenne, Richard"</formula>
    </cfRule>
    <cfRule type="expression" dxfId="661" priority="681">
      <formula>$W160="McQueen, Jennifer"</formula>
    </cfRule>
  </conditionalFormatting>
  <conditionalFormatting sqref="X4:X9">
    <cfRule type="expression" dxfId="660" priority="589">
      <formula>$W4="Benzick, Sue"</formula>
    </cfRule>
    <cfRule type="expression" dxfId="659" priority="590">
      <formula>$W4="Jenne, Richard"</formula>
    </cfRule>
    <cfRule type="expression" dxfId="658" priority="591">
      <formula>$W4="McQueen, Jennifer"</formula>
    </cfRule>
  </conditionalFormatting>
  <conditionalFormatting sqref="AA365:AA367">
    <cfRule type="expression" dxfId="657" priority="1633">
      <formula>$AC365="Benzick, Sue"</formula>
    </cfRule>
    <cfRule type="expression" dxfId="656" priority="1634">
      <formula>$AC365="Jenne, Richard"</formula>
    </cfRule>
    <cfRule type="expression" dxfId="655" priority="1635">
      <formula>$AC365="McQueen, Jennifer"</formula>
    </cfRule>
  </conditionalFormatting>
  <conditionalFormatting sqref="AC4:AC543 AA13:AA40 J41:N41 AA42 AA44:AA53 AA55 AA57:AA59 AA61:AA62 AA64:AA73 AA77:AA81 AA83:AA85 AA89 AA91:AA111 AA113:AA129 AA131:AA136 AA138:AA165 AA167:AA172 AA199">
    <cfRule type="expression" dxfId="654" priority="682">
      <formula>$AB4="Benzick, Sue"</formula>
    </cfRule>
    <cfRule type="expression" dxfId="653" priority="683">
      <formula>$AB4="Jenne, Richard"</formula>
    </cfRule>
    <cfRule type="expression" dxfId="652" priority="684">
      <formula>$AB4="McQueen, Jennifer"</formula>
    </cfRule>
  </conditionalFormatting>
  <dataValidations count="4">
    <dataValidation type="list" allowBlank="1" showInputMessage="1" showErrorMessage="1" sqref="O545:O767" xr:uid="{93408E8B-7E09-4C21-B848-A361945AF9EE}">
      <formula1>Instructor</formula1>
    </dataValidation>
    <dataValidation type="list" allowBlank="1" showInputMessage="1" showErrorMessage="1" sqref="B545:B551 B553:B823 B4:B543" xr:uid="{231FC8DC-2D1B-441E-BEEA-EBFED84B5840}">
      <formula1>Class</formula1>
    </dataValidation>
    <dataValidation type="list" allowBlank="1" showInputMessage="1" showErrorMessage="1" sqref="A79:A81 A196:A198 A200" xr:uid="{5467C5E3-8E1A-40EF-8F26-7EEF4934CCB6}">
      <formula1>Location</formula1>
    </dataValidation>
    <dataValidation allowBlank="1" showInputMessage="1" showErrorMessage="1" sqref="X266:AA266 X166:AA166 X10:AA11 X43:AA43 X60:AA60 X63:AA63 X82:AA82 X86:AA88 X112:AA112 X130:AA130 X253:AA253 X260:AA260 X320:AA320 X361:AA361 X378:AA379 X382:AA382 X470:AA470 W496:AA496 W208:W266 W4:W206 W268:W494" xr:uid="{E9AC80D8-58DA-4189-A8C8-B6228C569786}"/>
  </dataValidations>
  <printOptions horizontalCentered="1" verticalCentered="1"/>
  <pageMargins left="0.7" right="0.7" top="0.75" bottom="0.75" header="0.3" footer="0.3"/>
  <pageSetup scale="7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 xr:uid="{355A01DF-9CEE-46A4-AC29-5B42A81FEC83}">
          <x14:formula1>
            <xm:f>'TSD-Data'!$G$2:$G$35</xm:f>
          </x14:formula1>
          <xm:sqref>P407:P416 P340:P377 P4:P120 O35 O47:O48 P521:P543 P123:P327 P440:P497</xm:sqref>
        </x14:dataValidation>
        <x14:dataValidation type="list" allowBlank="1" showInputMessage="1" showErrorMessage="1" xr:uid="{D75EFDDB-176B-41F1-865C-22C69C6190B2}">
          <x14:formula1>
            <xm:f>'TSD-Data'!$K$2:$K$125</xm:f>
          </x14:formula1>
          <xm:sqref>E545:E1008</xm:sqref>
        </x14:dataValidation>
        <x14:dataValidation type="list" allowBlank="1" showInputMessage="1" showErrorMessage="1" xr:uid="{C4776FE0-FA68-4AA0-8256-25A4EFB86F48}">
          <x14:formula1>
            <xm:f>'TSD-Data'!$K$2:$K$130</xm:f>
          </x14:formula1>
          <xm:sqref>E4:E21 E34:E206 E208:E266 E268:E543 E24:E32</xm:sqref>
        </x14:dataValidation>
        <x14:dataValidation type="list" allowBlank="1" showInputMessage="1" showErrorMessage="1" xr:uid="{F5BD9EE0-C236-467C-AE3D-448C57A51557}">
          <x14:formula1>
            <xm:f>'TSD-Data'!$M$2:$M$13</xm:f>
          </x14:formula1>
          <xm:sqref>AB4:AB543</xm:sqref>
        </x14:dataValidation>
        <x14:dataValidation type="list" allowBlank="1" showInputMessage="1" showErrorMessage="1" xr:uid="{BC56973C-CDCA-4740-A3E4-A7FD5A83BD13}">
          <x14:formula1>
            <xm:f>'TSD-Data'!$G$2:$G535</xm:f>
          </x14:formula1>
          <xm:sqref>O543</xm:sqref>
        </x14:dataValidation>
        <x14:dataValidation type="list" allowBlank="1" showInputMessage="1" showErrorMessage="1" xr:uid="{B6402D90-F01D-4271-8593-17FE8865D9BA}">
          <x14:formula1>
            <xm:f>'TSD-Data'!$G$2:$G524</xm:f>
          </x14:formula1>
          <xm:sqref>O527 O522:O523 O532</xm:sqref>
        </x14:dataValidation>
        <x14:dataValidation type="list" allowBlank="1" showInputMessage="1" showErrorMessage="1" xr:uid="{66D2165D-763D-40DE-A14B-C64F3C841626}">
          <x14:formula1>
            <xm:f>'TSD-Data'!$G$2:$G530</xm:f>
          </x14:formula1>
          <xm:sqref>O529 O538:O539</xm:sqref>
        </x14:dataValidation>
        <x14:dataValidation type="list" allowBlank="1" showInputMessage="1" showErrorMessage="1" xr:uid="{88D31FA2-FF4D-49D6-9D32-977923594CA1}">
          <x14:formula1>
            <xm:f>'TSD-Data'!$G$2:$G363</xm:f>
          </x14:formula1>
          <xm:sqref>O540:O542 O379 O363 O356:O358 O353:O354 O460 O462 O520:O521 O533:O537 O526 O528 O530:O531</xm:sqref>
        </x14:dataValidation>
        <x14:dataValidation type="list" allowBlank="1" showInputMessage="1" showErrorMessage="1" xr:uid="{9189A1A1-08D0-4EB8-B36A-F32B71CF90DA}">
          <x14:formula1>
            <xm:f>'TSD-Data'!$G$2:$G368</xm:f>
          </x14:formula1>
          <xm:sqref>O524:O525 O359:O360</xm:sqref>
        </x14:dataValidation>
        <x14:dataValidation type="list" allowBlank="1" showInputMessage="1" showErrorMessage="1" xr:uid="{9624EFDF-E230-4E6D-9B1D-ED088987A75A}">
          <x14:formula1>
            <xm:f>'TSD-Data'!$G$2:$G491</xm:f>
          </x14:formula1>
          <xm:sqref>O488:O491</xm:sqref>
        </x14:dataValidation>
        <x14:dataValidation type="list" allowBlank="1" showInputMessage="1" showErrorMessage="1" xr:uid="{E7DF2E50-3992-4E9C-9B62-3F047753DDF4}">
          <x14:formula1>
            <xm:f>'TSD-Data'!$G$2:$G350</xm:f>
          </x14:formula1>
          <xm:sqref>O473 O409 O411:O412 O415:O416 O418:O420 O423:O424 O426:O427 O429:O430 O432 O436:O439 O449:O453 O404:O405 O461 O463:O467 O345:O346 O339:O343 O458:O459 O486:O487 O493 O495:O497 O503 O505:O507 O510 O513:O518 O477 O475 O469 O471</xm:sqref>
        </x14:dataValidation>
        <x14:dataValidation type="list" allowBlank="1" showInputMessage="1" showErrorMessage="1" xr:uid="{7F7E64A1-ADA1-4C83-A2A8-0304EF19B5BA}">
          <x14:formula1>
            <xm:f>'TSD-Data'!$G$2:$G496</xm:f>
          </x14:formula1>
          <xm:sqref>O492 O494</xm:sqref>
        </x14:dataValidation>
        <x14:dataValidation type="list" allowBlank="1" showInputMessage="1" showErrorMessage="1" xr:uid="{E50791FE-94C0-4E85-80CD-6E9BB1128AB1}">
          <x14:formula1>
            <xm:f>'TSD-Data'!$G$2:$G360</xm:f>
          </x14:formula1>
          <xm:sqref>O501 O347:O351 O344</xm:sqref>
        </x14:dataValidation>
        <x14:dataValidation type="list" allowBlank="1" showInputMessage="1" showErrorMessage="1" xr:uid="{08FA4563-3B8D-4F75-892E-789D045EF852}">
          <x14:formula1>
            <xm:f>'TSD-Data'!$G$2:$G339</xm:f>
          </x14:formula1>
          <xm:sqref>O483:O485 O381 O387 O390:O393 O395 O402:O403 O327:O329 O332:O338 O384 O468 O470 O472 O476 O480:O481</xm:sqref>
        </x14:dataValidation>
        <x14:dataValidation type="list" allowBlank="1" showInputMessage="1" showErrorMessage="1" xr:uid="{4AFBDC69-3E0D-44D3-92A4-83E5A4CDE337}">
          <x14:formula1>
            <xm:f>'TSD-Data'!$G$2:$G483</xm:f>
          </x14:formula1>
          <xm:sqref>O482 O478:O479</xm:sqref>
        </x14:dataValidation>
        <x14:dataValidation type="list" allowBlank="1" showInputMessage="1" showErrorMessage="1" xr:uid="{256CA080-957F-4ED9-9C06-BC80F45F2EFB}">
          <x14:formula1>
            <xm:f>'TSD-Data'!$G$2:$G251</xm:f>
          </x14:formula1>
          <xm:sqref>O474 O380 O286:O287 O290:O293 O300 O305:O309 O311:O312 O315:O316 O330:O331 O322:O326 O318:O320 O234:O235 O383</xm:sqref>
        </x14:dataValidation>
        <x14:dataValidation type="list" allowBlank="1" showInputMessage="1" showErrorMessage="1" xr:uid="{EF1FE083-3644-4FE2-8186-49986F5145DD}">
          <x14:formula1>
            <xm:f>'TSD-Data'!$G$2:$G374</xm:f>
          </x14:formula1>
          <xm:sqref>O376:O377 O366 O374</xm:sqref>
        </x14:dataValidation>
        <x14:dataValidation type="list" allowBlank="1" showInputMessage="1" showErrorMessage="1" xr:uid="{0D5D0641-DAB4-4C71-A9DC-C7878A85D678}">
          <x14:formula1>
            <xm:f>'TSD-Data'!$G$2:$G295</xm:f>
          </x14:formula1>
          <xm:sqref>O301:O304 O355 O352 O280:O281 O283:O284</xm:sqref>
        </x14:dataValidation>
        <x14:dataValidation type="list" allowBlank="1" showInputMessage="1" showErrorMessage="1" xr:uid="{AE78B1C1-53F1-4AA0-9CFE-FD85948C80D9}">
          <x14:formula1>
            <xm:f>'TSD-Data'!$G$2:$G413</xm:f>
          </x14:formula1>
          <xm:sqref>O407:O408 O410 O413:O414 O417 O421:O422 O425 O428 O431 O433:O435 O440:O448 O454:O457</xm:sqref>
        </x14:dataValidation>
        <x14:dataValidation type="list" allowBlank="1" showInputMessage="1" showErrorMessage="1" xr:uid="{294B6D05-C785-4E17-9230-5532B51478A3}">
          <x14:formula1>
            <xm:f>'TSD-Data'!$G$2:$G406</xm:f>
          </x14:formula1>
          <xm:sqref>O399</xm:sqref>
        </x14:dataValidation>
        <x14:dataValidation type="list" allowBlank="1" showInputMessage="1" showErrorMessage="1" xr:uid="{77EF972F-4821-45B4-ABED-A11330425802}">
          <x14:formula1>
            <xm:f>'TSD-Data'!$G$2:$G330</xm:f>
          </x14:formula1>
          <xm:sqref>O367:O373 O378 O375 O364:O365 O317</xm:sqref>
        </x14:dataValidation>
        <x14:dataValidation type="list" allowBlank="1" showInputMessage="1" showErrorMessage="1" xr:uid="{7EB248A6-D35E-4DA9-80F5-C8B84A849E38}">
          <x14:formula1>
            <xm:f>'TSD-Data'!$G$2:$G259</xm:f>
          </x14:formula1>
          <xm:sqref>O282 O277:O279 O271:O273 O268:O269 O241:O242 O244:O247 O251:O253 O255:O260 O263:O266</xm:sqref>
        </x14:dataValidation>
        <x14:dataValidation type="list" allowBlank="1" showInputMessage="1" showErrorMessage="1" xr:uid="{763C6069-AEDF-4B48-BBD1-C65A93DB9551}">
          <x14:formula1>
            <xm:f>'TSD-Data'!$G$2:$G299</xm:f>
          </x14:formula1>
          <xm:sqref>O361 O294:O299 O285 O288:O289 O313:O314 O310</xm:sqref>
        </x14:dataValidation>
        <x14:dataValidation type="list" allowBlank="1" showInputMessage="1" showErrorMessage="1" xr:uid="{28A401A1-2724-4A46-9CE0-EE95190699C9}">
          <x14:formula1>
            <xm:f>'TSD-Data'!$G$2:$G140</xm:f>
          </x14:formula1>
          <xm:sqref>O362 O121 O196 O140 O172 O194 O124 O148 O164 O212 O221 O228:O233 O243 O248:O250 O261:O262 O267 O270 O274:O276 O237:O240</xm:sqref>
        </x14:dataValidation>
        <x14:dataValidation type="list" allowBlank="1" showInputMessage="1" showErrorMessage="1" xr:uid="{D27D8F73-C825-466A-8152-73CFE41E644B}">
          <x14:formula1>
            <xm:f>'TSD-Data'!$G$2:$G91</xm:f>
          </x14:formula1>
          <xm:sqref>O321 O197:O200 O100:O107 O74:O78 O80:O81 O193 O195 O69:O70 O214:O217</xm:sqref>
        </x14:dataValidation>
        <x14:dataValidation type="list" allowBlank="1" showInputMessage="1" showErrorMessage="1" xr:uid="{3B593707-E47A-4F62-BB7E-26BB9A960B7D}">
          <x14:formula1>
            <xm:f>'TSD-Data'!$G$2:$G114</xm:f>
          </x14:formula1>
          <xm:sqref>O236 O222:O227 O108 O117 O94 O133 O220</xm:sqref>
        </x14:dataValidation>
        <x14:dataValidation type="list" allowBlank="1" showInputMessage="1" showErrorMessage="1" xr:uid="{EAFADA9B-BCF5-4EFA-8C17-7CB7B6ED88DF}">
          <x14:formula1>
            <xm:f>'TSD-Data'!$G$2:$G90</xm:f>
          </x14:formula1>
          <xm:sqref>O67:O68 O213 O95:O99 O109:O110 O88:O93 O201:O211 O71:O73</xm:sqref>
        </x14:dataValidation>
        <x14:dataValidation type="list" allowBlank="1" showInputMessage="1" showErrorMessage="1" xr:uid="{532097F4-9EEE-498B-B1F4-73CD5DB68950}">
          <x14:formula1>
            <xm:f>'TSD-Data'!$G$2:$G75</xm:f>
          </x14:formula1>
          <xm:sqref>O254 O82:O85 O147 O141:O145 O173:O192 O165:O171 O111:O113 O51:O56 O63:O66</xm:sqref>
        </x14:dataValidation>
        <x14:dataValidation type="list" allowBlank="1" showInputMessage="1" showErrorMessage="1" xr:uid="{A504142B-68BB-471E-B272-3DCE78B89CFC}">
          <x14:formula1>
            <xm:f>'TSD-Data'!$G$2:$G107</xm:f>
          </x14:formula1>
          <xm:sqref>O86:O87 O134 O218:O219</xm:sqref>
        </x14:dataValidation>
        <x14:dataValidation type="list" allowBlank="1" showInputMessage="1" showErrorMessage="1" xr:uid="{069D61E7-6F2F-49DA-B0F6-6055C37CD7D0}">
          <x14:formula1>
            <xm:f>'TSD-Data'!$G$2:$G74</xm:f>
          </x14:formula1>
          <xm:sqref>O49:O50 O57:O62 O118:O120 O163 O129:O132 O123 O149:O150 O135:O139</xm:sqref>
        </x14:dataValidation>
        <x14:dataValidation type="list" allowBlank="1" showInputMessage="1" showErrorMessage="1" xr:uid="{CBB7B332-18C2-4ACD-8005-4659F4A89A3F}">
          <x14:formula1>
            <xm:f>'TSD-Data'!$G$2:$G140</xm:f>
          </x14:formula1>
          <xm:sqref>O151:O162 O114:O116 O125:O128</xm:sqref>
        </x14:dataValidation>
        <x14:dataValidation type="list" allowBlank="1" showInputMessage="1" showErrorMessage="1" xr:uid="{257D1789-8B83-4645-A146-4E47DF045DB1}">
          <x14:formula1>
            <xm:f>'TSD-Data'!$G$2:$G60</xm:f>
          </x14:formula1>
          <xm:sqref>O36:O46 O33:O34</xm:sqref>
        </x14:dataValidation>
        <x14:dataValidation type="list" allowBlank="1" showInputMessage="1" showErrorMessage="1" xr:uid="{E0A685E7-13B9-441B-ADCE-F5CEE9EC5ADC}">
          <x14:formula1>
            <xm:f>'TSD-Data'!$G$2:$G57</xm:f>
          </x14:formula1>
          <xm:sqref>O29:O32</xm:sqref>
        </x14:dataValidation>
        <x14:dataValidation type="list" allowBlank="1" showInputMessage="1" showErrorMessage="1" xr:uid="{024868D5-1665-488B-B56A-9158B648E1DA}">
          <x14:formula1>
            <xm:f>'TSD-Data'!$G$2:$G35</xm:f>
          </x14:formula1>
          <xm:sqref>O4:O23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591-2F1C-4C8A-A240-F590D5790C51}">
  <sheetPr>
    <tabColor rgb="FFFFC000"/>
  </sheetPr>
  <dimension ref="B1:P40"/>
  <sheetViews>
    <sheetView topLeftCell="A3" workbookViewId="0">
      <selection activeCell="K3" sqref="K3"/>
    </sheetView>
  </sheetViews>
  <sheetFormatPr defaultColWidth="8.85546875" defaultRowHeight="15" x14ac:dyDescent="0.25"/>
  <cols>
    <col min="2" max="2" width="68.140625" style="4" bestFit="1" customWidth="1"/>
    <col min="3" max="3" width="5" bestFit="1" customWidth="1"/>
    <col min="4" max="4" width="11.7109375" style="4" bestFit="1" customWidth="1"/>
    <col min="5" max="5" width="10.5703125" bestFit="1" customWidth="1"/>
    <col min="6" max="6" width="6.7109375" customWidth="1"/>
    <col min="7" max="7" width="11.5703125" hidden="1" customWidth="1"/>
    <col min="8" max="8" width="11.28515625" hidden="1" customWidth="1"/>
    <col min="9" max="9" width="11.7109375" hidden="1" customWidth="1"/>
    <col min="10" max="10" width="11.85546875" hidden="1" customWidth="1"/>
    <col min="11" max="12" width="13.140625" customWidth="1"/>
    <col min="13" max="13" width="8.85546875" hidden="1" customWidth="1"/>
    <col min="14" max="14" width="17.85546875" hidden="1" customWidth="1"/>
    <col min="15" max="15" width="13.85546875" hidden="1" customWidth="1"/>
    <col min="16" max="16" width="13" hidden="1" customWidth="1"/>
  </cols>
  <sheetData>
    <row r="1" spans="2:16" x14ac:dyDescent="0.25">
      <c r="B1" s="4" t="s">
        <v>429</v>
      </c>
    </row>
    <row r="2" spans="2:16" s="14" customFormat="1" ht="45" x14ac:dyDescent="0.25">
      <c r="B2" s="188" t="s">
        <v>430</v>
      </c>
      <c r="C2" s="189" t="s">
        <v>4</v>
      </c>
      <c r="D2" s="189" t="s">
        <v>72</v>
      </c>
      <c r="E2" s="188" t="s">
        <v>64</v>
      </c>
      <c r="F2" s="188" t="s">
        <v>65</v>
      </c>
      <c r="G2" s="188" t="s">
        <v>431</v>
      </c>
      <c r="H2" s="188" t="s">
        <v>432</v>
      </c>
      <c r="I2" s="188" t="s">
        <v>433</v>
      </c>
      <c r="J2" s="190" t="s">
        <v>434</v>
      </c>
      <c r="K2" s="190" t="s">
        <v>435</v>
      </c>
      <c r="L2" s="190" t="s">
        <v>436</v>
      </c>
      <c r="M2" s="191" t="s">
        <v>437</v>
      </c>
      <c r="N2" s="191" t="s">
        <v>438</v>
      </c>
      <c r="O2" s="191" t="s">
        <v>439</v>
      </c>
      <c r="P2" s="191" t="s">
        <v>440</v>
      </c>
    </row>
    <row r="3" spans="2:16" x14ac:dyDescent="0.25">
      <c r="B3" s="207" t="s">
        <v>15</v>
      </c>
      <c r="C3" s="193" t="s">
        <v>344</v>
      </c>
      <c r="D3" s="210" t="s">
        <v>80</v>
      </c>
      <c r="E3" s="192" t="s">
        <v>83</v>
      </c>
      <c r="F3" s="192" t="s">
        <v>84</v>
      </c>
      <c r="G3" s="194">
        <v>337</v>
      </c>
      <c r="H3" s="195">
        <v>45</v>
      </c>
      <c r="I3" s="196">
        <v>7.4888888888888889</v>
      </c>
      <c r="J3" s="197">
        <v>8</v>
      </c>
      <c r="K3" s="198">
        <v>8</v>
      </c>
      <c r="L3" s="227">
        <f>COUNTIF('FY 2025 Schedule'!$B$3:$B$623,'Planning-Need vs Planned'!B3)</f>
        <v>8</v>
      </c>
      <c r="M3" s="198">
        <v>16</v>
      </c>
      <c r="N3" s="198">
        <v>128</v>
      </c>
      <c r="O3" s="194">
        <v>0</v>
      </c>
      <c r="P3" s="199">
        <v>1.0682492581602374</v>
      </c>
    </row>
    <row r="4" spans="2:16" x14ac:dyDescent="0.25">
      <c r="B4" s="207" t="s">
        <v>88</v>
      </c>
      <c r="C4" s="193" t="s">
        <v>345</v>
      </c>
      <c r="D4" s="211" t="s">
        <v>7</v>
      </c>
      <c r="E4" s="192" t="s">
        <v>89</v>
      </c>
      <c r="F4" s="192">
        <v>3878</v>
      </c>
      <c r="G4" s="194">
        <v>325</v>
      </c>
      <c r="H4" s="195">
        <v>25</v>
      </c>
      <c r="I4" s="196">
        <v>13</v>
      </c>
      <c r="J4" s="197">
        <v>13</v>
      </c>
      <c r="K4" s="198">
        <v>2</v>
      </c>
      <c r="L4" s="227">
        <f>COUNTIF('FY 2025 Schedule'!$B$3:$B$623,'Planning-Need vs Planned'!B4)</f>
        <v>2</v>
      </c>
      <c r="M4" s="198">
        <v>24</v>
      </c>
      <c r="N4" s="198">
        <v>48</v>
      </c>
      <c r="O4" s="194">
        <v>-11</v>
      </c>
      <c r="P4" s="199">
        <v>0.15384615384615385</v>
      </c>
    </row>
    <row r="5" spans="2:16" x14ac:dyDescent="0.25">
      <c r="B5" s="207" t="s">
        <v>42</v>
      </c>
      <c r="C5" s="193" t="s">
        <v>345</v>
      </c>
      <c r="D5" s="211" t="s">
        <v>7</v>
      </c>
      <c r="E5" s="192" t="s">
        <v>93</v>
      </c>
      <c r="F5" s="192">
        <v>3879</v>
      </c>
      <c r="G5" s="194">
        <v>341</v>
      </c>
      <c r="H5" s="195">
        <v>30</v>
      </c>
      <c r="I5" s="196">
        <v>11.366666666666667</v>
      </c>
      <c r="J5" s="197">
        <v>12</v>
      </c>
      <c r="K5" s="198">
        <v>4</v>
      </c>
      <c r="L5" s="227">
        <f>COUNTIF('FY 2025 Schedule'!$B$3:$B$623,'Planning-Need vs Planned'!B5)</f>
        <v>4</v>
      </c>
      <c r="M5" s="198">
        <v>4</v>
      </c>
      <c r="N5" s="198">
        <v>16</v>
      </c>
      <c r="O5" s="194">
        <v>-8</v>
      </c>
      <c r="P5" s="199">
        <v>0.35190615835777128</v>
      </c>
    </row>
    <row r="6" spans="2:16" x14ac:dyDescent="0.25">
      <c r="B6" s="207" t="s">
        <v>97</v>
      </c>
      <c r="C6" s="193" t="s">
        <v>345</v>
      </c>
      <c r="D6" s="211" t="s">
        <v>7</v>
      </c>
      <c r="E6" s="192" t="s">
        <v>98</v>
      </c>
      <c r="F6" s="192">
        <v>3882</v>
      </c>
      <c r="G6" s="194">
        <v>128</v>
      </c>
      <c r="H6" s="195">
        <v>25</v>
      </c>
      <c r="I6" s="196">
        <v>5.12</v>
      </c>
      <c r="J6" s="197">
        <v>6</v>
      </c>
      <c r="K6" s="198">
        <v>2</v>
      </c>
      <c r="L6" s="227">
        <f>COUNTIF('FY 2025 Schedule'!$B$3:$B$623,'Planning-Need vs Planned'!B6)</f>
        <v>2</v>
      </c>
      <c r="M6" s="198">
        <v>16</v>
      </c>
      <c r="N6" s="198">
        <v>32</v>
      </c>
      <c r="O6" s="194">
        <v>-4</v>
      </c>
      <c r="P6" s="199">
        <v>0.390625</v>
      </c>
    </row>
    <row r="7" spans="2:16" x14ac:dyDescent="0.25">
      <c r="B7" s="207" t="s">
        <v>44</v>
      </c>
      <c r="C7" s="193" t="s">
        <v>345</v>
      </c>
      <c r="D7" s="211" t="s">
        <v>7</v>
      </c>
      <c r="E7" s="192" t="s">
        <v>101</v>
      </c>
      <c r="F7" s="192">
        <v>3888</v>
      </c>
      <c r="G7" s="194">
        <v>171</v>
      </c>
      <c r="H7" s="195">
        <v>30</v>
      </c>
      <c r="I7" s="196">
        <v>5.7</v>
      </c>
      <c r="J7" s="197">
        <v>6</v>
      </c>
      <c r="K7" s="198">
        <v>4</v>
      </c>
      <c r="L7" s="227">
        <f>COUNTIF('FY 2025 Schedule'!$B$3:$B$623,'Planning-Need vs Planned'!B7)</f>
        <v>4</v>
      </c>
      <c r="M7" s="198">
        <v>4</v>
      </c>
      <c r="N7" s="198">
        <v>16</v>
      </c>
      <c r="O7" s="194">
        <v>-2</v>
      </c>
      <c r="P7" s="199">
        <v>0.70175438596491224</v>
      </c>
    </row>
    <row r="8" spans="2:16" x14ac:dyDescent="0.25">
      <c r="B8" s="207" t="s">
        <v>45</v>
      </c>
      <c r="C8" s="193" t="s">
        <v>345</v>
      </c>
      <c r="D8" s="211" t="s">
        <v>7</v>
      </c>
      <c r="E8" s="192" t="s">
        <v>104</v>
      </c>
      <c r="F8" s="192" t="s">
        <v>105</v>
      </c>
      <c r="G8" s="194">
        <v>197</v>
      </c>
      <c r="H8" s="195">
        <v>25</v>
      </c>
      <c r="I8" s="196">
        <v>7.88</v>
      </c>
      <c r="J8" s="197">
        <v>8</v>
      </c>
      <c r="K8" s="198">
        <v>2</v>
      </c>
      <c r="L8" s="227">
        <f>COUNTIF('FY 2025 Schedule'!$B$3:$B$623,'Planning-Need vs Planned'!B8)</f>
        <v>2</v>
      </c>
      <c r="M8" s="198">
        <v>40</v>
      </c>
      <c r="N8" s="198">
        <v>80</v>
      </c>
      <c r="O8" s="194">
        <v>-6</v>
      </c>
      <c r="P8" s="199">
        <v>0.25380710659898476</v>
      </c>
    </row>
    <row r="9" spans="2:16" x14ac:dyDescent="0.25">
      <c r="B9" s="207" t="s">
        <v>46</v>
      </c>
      <c r="C9" s="193" t="s">
        <v>345</v>
      </c>
      <c r="D9" s="211" t="s">
        <v>7</v>
      </c>
      <c r="E9" s="192" t="s">
        <v>108</v>
      </c>
      <c r="F9" s="192" t="s">
        <v>109</v>
      </c>
      <c r="G9" s="194">
        <v>258</v>
      </c>
      <c r="H9" s="195">
        <v>30</v>
      </c>
      <c r="I9" s="196">
        <v>8.6</v>
      </c>
      <c r="J9" s="197">
        <v>9</v>
      </c>
      <c r="K9" s="198">
        <v>4</v>
      </c>
      <c r="L9" s="227">
        <f>COUNTIF('FY 2025 Schedule'!$B$3:$B$623,'Planning-Need vs Planned'!B9)</f>
        <v>4</v>
      </c>
      <c r="M9" s="198">
        <v>8</v>
      </c>
      <c r="N9" s="198">
        <v>32</v>
      </c>
      <c r="O9" s="194">
        <v>-5</v>
      </c>
      <c r="P9" s="199">
        <v>0.46511627906976744</v>
      </c>
    </row>
    <row r="10" spans="2:16" x14ac:dyDescent="0.25">
      <c r="B10" s="207" t="s">
        <v>37</v>
      </c>
      <c r="C10" s="193" t="s">
        <v>441</v>
      </c>
      <c r="D10" s="210" t="s">
        <v>80</v>
      </c>
      <c r="E10" s="192" t="s">
        <v>118</v>
      </c>
      <c r="F10" s="192" t="s">
        <v>119</v>
      </c>
      <c r="G10" s="194">
        <v>464</v>
      </c>
      <c r="H10" s="195">
        <v>45</v>
      </c>
      <c r="I10" s="196">
        <v>10.311111111111112</v>
      </c>
      <c r="J10" s="197">
        <v>11</v>
      </c>
      <c r="K10" s="198">
        <v>11</v>
      </c>
      <c r="L10" s="227">
        <f>COUNTIF('FY 2025 Schedule'!$B$3:$B$623,'Planning-Need vs Planned'!B10)</f>
        <v>11</v>
      </c>
      <c r="M10" s="198">
        <v>24</v>
      </c>
      <c r="N10" s="198">
        <v>264</v>
      </c>
      <c r="O10" s="194">
        <v>0</v>
      </c>
      <c r="P10" s="199">
        <v>1.0668103448275863</v>
      </c>
    </row>
    <row r="11" spans="2:16" x14ac:dyDescent="0.25">
      <c r="B11" s="208" t="s">
        <v>55</v>
      </c>
      <c r="C11" s="193" t="s">
        <v>442</v>
      </c>
      <c r="D11" s="211" t="s">
        <v>7</v>
      </c>
      <c r="E11" s="192" t="s">
        <v>147</v>
      </c>
      <c r="F11" s="192" t="s">
        <v>148</v>
      </c>
      <c r="G11" s="194">
        <v>2046</v>
      </c>
      <c r="H11" s="195">
        <v>25</v>
      </c>
      <c r="I11" s="196">
        <v>81.84</v>
      </c>
      <c r="J11" s="197">
        <v>82</v>
      </c>
      <c r="K11" s="198">
        <v>50</v>
      </c>
      <c r="L11" s="227">
        <f>COUNTIF('FY 2025 Schedule'!$B$3:$B$623,'Planning-Need vs Planned'!B11)</f>
        <v>50</v>
      </c>
      <c r="M11" s="198">
        <v>40</v>
      </c>
      <c r="N11" s="198">
        <v>2000</v>
      </c>
      <c r="O11" s="194">
        <v>-32</v>
      </c>
      <c r="P11" s="199">
        <v>0.6109481915933529</v>
      </c>
    </row>
    <row r="12" spans="2:16" x14ac:dyDescent="0.25">
      <c r="B12" s="208" t="s">
        <v>47</v>
      </c>
      <c r="C12" s="193" t="s">
        <v>345</v>
      </c>
      <c r="D12" s="211" t="s">
        <v>7</v>
      </c>
      <c r="E12" s="192" t="s">
        <v>122</v>
      </c>
      <c r="F12" s="192" t="s">
        <v>123</v>
      </c>
      <c r="G12" s="194">
        <v>707</v>
      </c>
      <c r="H12" s="195">
        <v>25</v>
      </c>
      <c r="I12" s="196">
        <v>28.28</v>
      </c>
      <c r="J12" s="197">
        <v>29</v>
      </c>
      <c r="K12" s="198">
        <v>6</v>
      </c>
      <c r="L12" s="227">
        <f>COUNTIF('FY 2025 Schedule'!$B$3:$B$623,'Planning-Need vs Planned'!B12)</f>
        <v>6</v>
      </c>
      <c r="M12" s="198">
        <v>40</v>
      </c>
      <c r="N12" s="198">
        <v>400</v>
      </c>
      <c r="O12" s="194">
        <v>-19</v>
      </c>
      <c r="P12" s="199">
        <v>0.3536067892503536</v>
      </c>
    </row>
    <row r="13" spans="2:16" x14ac:dyDescent="0.25">
      <c r="B13" s="208" t="s">
        <v>56</v>
      </c>
      <c r="C13" s="193" t="s">
        <v>442</v>
      </c>
      <c r="D13" s="211" t="s">
        <v>7</v>
      </c>
      <c r="E13" s="192" t="s">
        <v>126</v>
      </c>
      <c r="F13" s="192" t="s">
        <v>127</v>
      </c>
      <c r="G13" s="194">
        <v>620</v>
      </c>
      <c r="H13" s="195">
        <v>35</v>
      </c>
      <c r="I13" s="196">
        <v>17.714285714285715</v>
      </c>
      <c r="J13" s="197">
        <v>18</v>
      </c>
      <c r="K13" s="198">
        <v>5</v>
      </c>
      <c r="L13" s="227">
        <f>COUNTIF('FY 2025 Schedule'!$B$3:$B$623,'Planning-Need vs Planned'!B13)</f>
        <v>5</v>
      </c>
      <c r="M13" s="198">
        <v>30</v>
      </c>
      <c r="N13" s="198">
        <v>150</v>
      </c>
      <c r="O13" s="194">
        <v>-13</v>
      </c>
      <c r="P13" s="199">
        <v>0.28225806451612906</v>
      </c>
    </row>
    <row r="14" spans="2:16" x14ac:dyDescent="0.25">
      <c r="B14" s="207" t="s">
        <v>48</v>
      </c>
      <c r="C14" s="193" t="s">
        <v>345</v>
      </c>
      <c r="D14" s="211" t="s">
        <v>7</v>
      </c>
      <c r="E14" s="192" t="s">
        <v>133</v>
      </c>
      <c r="F14" s="192" t="s">
        <v>134</v>
      </c>
      <c r="G14" s="194">
        <v>61</v>
      </c>
      <c r="H14" s="195">
        <v>25</v>
      </c>
      <c r="I14" s="196">
        <v>2.44</v>
      </c>
      <c r="J14" s="197">
        <v>3</v>
      </c>
      <c r="K14" s="198">
        <v>2</v>
      </c>
      <c r="L14" s="227">
        <f>COUNTIF('FY 2025 Schedule'!$B$3:$B$623,'Planning-Need vs Planned'!B14)</f>
        <v>3</v>
      </c>
      <c r="M14" s="198">
        <v>16</v>
      </c>
      <c r="N14" s="198">
        <v>32</v>
      </c>
      <c r="O14" s="194">
        <v>-1</v>
      </c>
      <c r="P14" s="199">
        <v>0.81967213114754101</v>
      </c>
    </row>
    <row r="15" spans="2:16" x14ac:dyDescent="0.25">
      <c r="B15" s="208" t="s">
        <v>17</v>
      </c>
      <c r="C15" s="193" t="s">
        <v>344</v>
      </c>
      <c r="D15" s="211" t="s">
        <v>7</v>
      </c>
      <c r="E15" s="192" t="s">
        <v>137</v>
      </c>
      <c r="F15" s="192">
        <v>3682</v>
      </c>
      <c r="G15" s="194">
        <v>661</v>
      </c>
      <c r="H15" s="195">
        <v>40</v>
      </c>
      <c r="I15" s="196">
        <v>16.524999999999999</v>
      </c>
      <c r="J15" s="197">
        <v>17</v>
      </c>
      <c r="K15" s="198">
        <v>23</v>
      </c>
      <c r="L15" s="227">
        <f>COUNTIF('FY 2025 Schedule'!$B$3:$B$623,'Planning-Need vs Planned'!B15)</f>
        <v>29</v>
      </c>
      <c r="M15" s="198">
        <v>40</v>
      </c>
      <c r="N15" s="198">
        <v>920</v>
      </c>
      <c r="O15" s="194">
        <v>6</v>
      </c>
      <c r="P15" s="199">
        <v>1.3918305597579426</v>
      </c>
    </row>
    <row r="16" spans="2:16" x14ac:dyDescent="0.25">
      <c r="B16" s="208" t="s">
        <v>28</v>
      </c>
      <c r="C16" s="193" t="s">
        <v>344</v>
      </c>
      <c r="D16" s="211" t="s">
        <v>7</v>
      </c>
      <c r="E16" s="192" t="s">
        <v>140</v>
      </c>
      <c r="F16" s="192">
        <v>3683</v>
      </c>
      <c r="G16" s="194">
        <v>787</v>
      </c>
      <c r="H16" s="195">
        <v>40</v>
      </c>
      <c r="I16" s="196">
        <v>19.675000000000001</v>
      </c>
      <c r="J16" s="197">
        <v>20</v>
      </c>
      <c r="K16" s="198">
        <v>22</v>
      </c>
      <c r="L16" s="227">
        <f>COUNTIF('FY 2025 Schedule'!$B$3:$B$623,'Planning-Need vs Planned'!B16)</f>
        <v>20</v>
      </c>
      <c r="M16" s="198">
        <v>24</v>
      </c>
      <c r="N16" s="198">
        <v>408</v>
      </c>
      <c r="O16" s="194">
        <v>-3</v>
      </c>
      <c r="P16" s="199">
        <v>0.86404066073697583</v>
      </c>
    </row>
    <row r="17" spans="2:16" x14ac:dyDescent="0.25">
      <c r="B17" s="207" t="s">
        <v>57</v>
      </c>
      <c r="C17" s="193" t="s">
        <v>442</v>
      </c>
      <c r="D17" s="210" t="s">
        <v>80</v>
      </c>
      <c r="E17" s="192" t="s">
        <v>143</v>
      </c>
      <c r="F17" s="192" t="s">
        <v>144</v>
      </c>
      <c r="G17" s="194">
        <v>915</v>
      </c>
      <c r="H17" s="195">
        <v>45</v>
      </c>
      <c r="I17" s="196">
        <v>20.333333333333332</v>
      </c>
      <c r="J17" s="197">
        <v>21</v>
      </c>
      <c r="K17" s="198">
        <v>21</v>
      </c>
      <c r="L17" s="227">
        <f>COUNTIF('FY 2025 Schedule'!$B$3:$B$623,'Planning-Need vs Planned'!B17)</f>
        <v>21</v>
      </c>
      <c r="M17" s="198">
        <v>24</v>
      </c>
      <c r="N17" s="198">
        <v>504</v>
      </c>
      <c r="O17" s="194">
        <v>0</v>
      </c>
      <c r="P17" s="199">
        <v>1.0327868852459017</v>
      </c>
    </row>
    <row r="18" spans="2:16" x14ac:dyDescent="0.25">
      <c r="B18" s="208" t="s">
        <v>58</v>
      </c>
      <c r="C18" s="193" t="s">
        <v>442</v>
      </c>
      <c r="D18" s="211" t="s">
        <v>7</v>
      </c>
      <c r="E18" s="192" t="s">
        <v>443</v>
      </c>
      <c r="F18" s="192" t="s">
        <v>155</v>
      </c>
      <c r="G18" s="194">
        <v>883</v>
      </c>
      <c r="H18" s="195">
        <v>30</v>
      </c>
      <c r="I18" s="196">
        <v>29.433333333333334</v>
      </c>
      <c r="J18" s="197">
        <v>30</v>
      </c>
      <c r="K18" s="198">
        <v>14</v>
      </c>
      <c r="L18" s="227">
        <f>COUNTIF('FY 2025 Schedule'!$B$3:$B$623,'Planning-Need vs Planned'!B18)</f>
        <v>14</v>
      </c>
      <c r="M18" s="198">
        <v>32</v>
      </c>
      <c r="N18" s="198">
        <v>448</v>
      </c>
      <c r="O18" s="194">
        <v>-16</v>
      </c>
      <c r="P18" s="199">
        <v>0.47565118912797283</v>
      </c>
    </row>
    <row r="19" spans="2:16" x14ac:dyDescent="0.25">
      <c r="B19" s="207" t="s">
        <v>38</v>
      </c>
      <c r="C19" s="193" t="s">
        <v>442</v>
      </c>
      <c r="D19" s="210" t="s">
        <v>80</v>
      </c>
      <c r="E19" s="192" t="s">
        <v>158</v>
      </c>
      <c r="F19" s="192" t="s">
        <v>159</v>
      </c>
      <c r="G19" s="194">
        <v>721</v>
      </c>
      <c r="H19" s="195">
        <v>45</v>
      </c>
      <c r="I19" s="196">
        <v>16.022222222222222</v>
      </c>
      <c r="J19" s="197">
        <v>17</v>
      </c>
      <c r="K19" s="198">
        <v>17</v>
      </c>
      <c r="L19" s="227">
        <f>COUNTIF('FY 2025 Schedule'!$B$3:$B$623,'Planning-Need vs Planned'!B19)</f>
        <v>17</v>
      </c>
      <c r="M19" s="198">
        <v>30</v>
      </c>
      <c r="N19" s="198">
        <v>510</v>
      </c>
      <c r="O19" s="194">
        <v>0</v>
      </c>
      <c r="P19" s="199">
        <v>1.0610263522884882</v>
      </c>
    </row>
    <row r="20" spans="2:16" x14ac:dyDescent="0.25">
      <c r="B20" s="207" t="s">
        <v>165</v>
      </c>
      <c r="C20" s="193" t="s">
        <v>441</v>
      </c>
      <c r="D20" s="210" t="s">
        <v>80</v>
      </c>
      <c r="E20" s="192" t="s">
        <v>166</v>
      </c>
      <c r="F20" s="192" t="s">
        <v>167</v>
      </c>
      <c r="G20" s="194">
        <v>791</v>
      </c>
      <c r="H20" s="195">
        <v>45</v>
      </c>
      <c r="I20" s="196">
        <v>17.577777777777779</v>
      </c>
      <c r="J20" s="197">
        <v>18</v>
      </c>
      <c r="K20" s="198">
        <v>18</v>
      </c>
      <c r="L20" s="227">
        <f>COUNTIF('FY 2025 Schedule'!$B$3:$B$623,'Planning-Need vs Planned'!B20)</f>
        <v>18</v>
      </c>
      <c r="M20" s="198">
        <v>24</v>
      </c>
      <c r="N20" s="198">
        <v>432</v>
      </c>
      <c r="O20" s="194">
        <v>0</v>
      </c>
      <c r="P20" s="199">
        <v>1.0240202275600505</v>
      </c>
    </row>
    <row r="21" spans="2:16" x14ac:dyDescent="0.25">
      <c r="B21" s="208" t="s">
        <v>29</v>
      </c>
      <c r="C21" s="193" t="s">
        <v>344</v>
      </c>
      <c r="D21" s="211" t="s">
        <v>7</v>
      </c>
      <c r="E21" s="192" t="s">
        <v>169</v>
      </c>
      <c r="F21" s="200" t="s">
        <v>170</v>
      </c>
      <c r="G21" s="194">
        <v>1042</v>
      </c>
      <c r="H21" s="195">
        <v>25</v>
      </c>
      <c r="I21" s="196">
        <v>41.68</v>
      </c>
      <c r="J21" s="197">
        <v>42</v>
      </c>
      <c r="K21" s="198">
        <v>18</v>
      </c>
      <c r="L21" s="227">
        <f>COUNTIF('FY 2025 Schedule'!$B$3:$B$623,'Planning-Need vs Planned'!B21)</f>
        <v>18</v>
      </c>
      <c r="M21" s="198">
        <v>24</v>
      </c>
      <c r="N21" s="198">
        <v>408</v>
      </c>
      <c r="O21" s="194">
        <v>-25</v>
      </c>
      <c r="P21" s="199">
        <v>0.40786948176583493</v>
      </c>
    </row>
    <row r="22" spans="2:16" x14ac:dyDescent="0.25">
      <c r="B22" s="208" t="s">
        <v>31</v>
      </c>
      <c r="C22" s="193" t="s">
        <v>344</v>
      </c>
      <c r="D22" s="211" t="s">
        <v>7</v>
      </c>
      <c r="E22" s="192" t="s">
        <v>173</v>
      </c>
      <c r="F22" s="192" t="s">
        <v>174</v>
      </c>
      <c r="G22" s="194">
        <v>1705</v>
      </c>
      <c r="H22" s="195">
        <v>30</v>
      </c>
      <c r="I22" s="196">
        <v>56.833333333333336</v>
      </c>
      <c r="J22" s="197">
        <v>57</v>
      </c>
      <c r="K22" s="198">
        <v>25</v>
      </c>
      <c r="L22" s="227">
        <f>COUNTIF('FY 2025 Schedule'!$B$3:$B$623,'Planning-Need vs Planned'!B22)</f>
        <v>27</v>
      </c>
      <c r="M22" s="198">
        <v>8</v>
      </c>
      <c r="N22" s="198">
        <v>144</v>
      </c>
      <c r="O22" s="194">
        <v>-39</v>
      </c>
      <c r="P22" s="199">
        <v>0.31671554252199413</v>
      </c>
    </row>
    <row r="23" spans="2:16" x14ac:dyDescent="0.25">
      <c r="B23" s="208" t="s">
        <v>32</v>
      </c>
      <c r="C23" s="193" t="s">
        <v>344</v>
      </c>
      <c r="D23" s="211" t="s">
        <v>7</v>
      </c>
      <c r="E23" s="192" t="s">
        <v>177</v>
      </c>
      <c r="F23" s="192" t="s">
        <v>178</v>
      </c>
      <c r="G23" s="194">
        <v>614</v>
      </c>
      <c r="H23" s="195">
        <v>30</v>
      </c>
      <c r="I23" s="196">
        <v>20.466666666666665</v>
      </c>
      <c r="J23" s="197">
        <v>21</v>
      </c>
      <c r="K23" s="198">
        <v>9</v>
      </c>
      <c r="L23" s="227">
        <f>COUNTIF('FY 2025 Schedule'!$B$3:$B$623,'Planning-Need vs Planned'!B23)</f>
        <v>12</v>
      </c>
      <c r="M23" s="198">
        <v>16</v>
      </c>
      <c r="N23" s="198">
        <v>144</v>
      </c>
      <c r="O23" s="194">
        <v>-12</v>
      </c>
      <c r="P23" s="199">
        <v>0.43973941368078173</v>
      </c>
    </row>
    <row r="24" spans="2:16" x14ac:dyDescent="0.25">
      <c r="B24" s="208" t="s">
        <v>33</v>
      </c>
      <c r="C24" s="193" t="s">
        <v>344</v>
      </c>
      <c r="D24" s="211" t="s">
        <v>7</v>
      </c>
      <c r="E24" s="192" t="s">
        <v>181</v>
      </c>
      <c r="F24" s="192" t="s">
        <v>182</v>
      </c>
      <c r="G24" s="194">
        <v>824</v>
      </c>
      <c r="H24" s="195">
        <v>30</v>
      </c>
      <c r="I24" s="196">
        <v>27.466666666666665</v>
      </c>
      <c r="J24" s="197">
        <v>28</v>
      </c>
      <c r="K24" s="198">
        <v>15</v>
      </c>
      <c r="L24" s="227">
        <f>COUNTIF('FY 2025 Schedule'!$B$3:$B$623,'Planning-Need vs Planned'!B24)</f>
        <v>15</v>
      </c>
      <c r="M24" s="198">
        <v>8</v>
      </c>
      <c r="N24" s="198">
        <v>120</v>
      </c>
      <c r="O24" s="194">
        <v>-13</v>
      </c>
      <c r="P24" s="199">
        <v>0.54611650485436891</v>
      </c>
    </row>
    <row r="25" spans="2:16" x14ac:dyDescent="0.25">
      <c r="B25" s="208" t="s">
        <v>34</v>
      </c>
      <c r="C25" s="193" t="s">
        <v>344</v>
      </c>
      <c r="D25" s="211" t="s">
        <v>7</v>
      </c>
      <c r="E25" s="192" t="s">
        <v>184</v>
      </c>
      <c r="F25" s="192" t="s">
        <v>185</v>
      </c>
      <c r="G25" s="194">
        <v>436</v>
      </c>
      <c r="H25" s="195">
        <v>30</v>
      </c>
      <c r="I25" s="196">
        <v>14.533333333333333</v>
      </c>
      <c r="J25" s="197">
        <v>15</v>
      </c>
      <c r="K25" s="198">
        <v>8</v>
      </c>
      <c r="L25" s="227">
        <f>COUNTIF('FY 2025 Schedule'!$B$3:$B$623,'Planning-Need vs Planned'!B25)</f>
        <v>11</v>
      </c>
      <c r="M25" s="198">
        <v>8</v>
      </c>
      <c r="N25" s="198">
        <v>72</v>
      </c>
      <c r="O25" s="194">
        <v>-6</v>
      </c>
      <c r="P25" s="199">
        <v>0.61926605504587151</v>
      </c>
    </row>
    <row r="26" spans="2:16" x14ac:dyDescent="0.25">
      <c r="B26" s="207" t="s">
        <v>49</v>
      </c>
      <c r="C26" s="193" t="s">
        <v>345</v>
      </c>
      <c r="D26" s="211" t="s">
        <v>7</v>
      </c>
      <c r="E26" s="192" t="s">
        <v>188</v>
      </c>
      <c r="F26" s="192">
        <v>5891</v>
      </c>
      <c r="G26" s="194">
        <v>813</v>
      </c>
      <c r="H26" s="195">
        <v>25</v>
      </c>
      <c r="I26" s="196">
        <v>32.520000000000003</v>
      </c>
      <c r="J26" s="197">
        <v>33</v>
      </c>
      <c r="K26" s="198">
        <v>11</v>
      </c>
      <c r="L26" s="227">
        <f>COUNTIF('FY 2025 Schedule'!$B$3:$B$623,'Planning-Need vs Planned'!B26)</f>
        <v>11</v>
      </c>
      <c r="M26" s="198">
        <v>24</v>
      </c>
      <c r="N26" s="198">
        <v>264</v>
      </c>
      <c r="O26" s="194">
        <v>-22</v>
      </c>
      <c r="P26" s="199">
        <v>0.33825338253382536</v>
      </c>
    </row>
    <row r="27" spans="2:16" x14ac:dyDescent="0.25">
      <c r="B27" s="207" t="s">
        <v>50</v>
      </c>
      <c r="C27" s="193" t="s">
        <v>345</v>
      </c>
      <c r="D27" s="210" t="s">
        <v>80</v>
      </c>
      <c r="E27" s="192" t="s">
        <v>190</v>
      </c>
      <c r="F27" s="192" t="s">
        <v>191</v>
      </c>
      <c r="G27" s="194">
        <v>1075</v>
      </c>
      <c r="H27" s="195">
        <v>40</v>
      </c>
      <c r="I27" s="196">
        <v>26.875</v>
      </c>
      <c r="J27" s="197">
        <v>27</v>
      </c>
      <c r="K27" s="198">
        <v>19</v>
      </c>
      <c r="L27" s="227">
        <f>COUNTIF('FY 2025 Schedule'!$B$3:$B$623,'Planning-Need vs Planned'!B27)</f>
        <v>19</v>
      </c>
      <c r="M27" s="198">
        <v>24</v>
      </c>
      <c r="N27" s="198">
        <v>456</v>
      </c>
      <c r="O27" s="194">
        <v>-8</v>
      </c>
      <c r="P27" s="199">
        <v>0.7069767441860465</v>
      </c>
    </row>
    <row r="28" spans="2:16" x14ac:dyDescent="0.25">
      <c r="B28" s="207" t="s">
        <v>51</v>
      </c>
      <c r="C28" s="193" t="s">
        <v>345</v>
      </c>
      <c r="D28" s="210" t="s">
        <v>80</v>
      </c>
      <c r="E28" s="192" t="s">
        <v>194</v>
      </c>
      <c r="F28" s="192" t="s">
        <v>195</v>
      </c>
      <c r="G28" s="194">
        <v>553</v>
      </c>
      <c r="H28" s="195">
        <v>30</v>
      </c>
      <c r="I28" s="196">
        <v>18.433333333333334</v>
      </c>
      <c r="J28" s="197">
        <v>19</v>
      </c>
      <c r="K28" s="198">
        <v>16</v>
      </c>
      <c r="L28" s="227">
        <f>COUNTIF('FY 2025 Schedule'!$B$3:$B$623,'Planning-Need vs Planned'!B28)</f>
        <v>16</v>
      </c>
      <c r="M28" s="198">
        <v>32</v>
      </c>
      <c r="N28" s="198">
        <v>512</v>
      </c>
      <c r="O28" s="194">
        <v>-3</v>
      </c>
      <c r="P28" s="199">
        <v>0.86799276672694392</v>
      </c>
    </row>
    <row r="29" spans="2:16" x14ac:dyDescent="0.25">
      <c r="B29" s="207" t="s">
        <v>59</v>
      </c>
      <c r="C29" s="193" t="s">
        <v>442</v>
      </c>
      <c r="D29" s="210" t="s">
        <v>80</v>
      </c>
      <c r="E29" s="192" t="s">
        <v>203</v>
      </c>
      <c r="F29" s="192" t="s">
        <v>204</v>
      </c>
      <c r="G29" s="194">
        <v>1606</v>
      </c>
      <c r="H29" s="195">
        <v>30</v>
      </c>
      <c r="I29" s="196">
        <v>53.533333333333331</v>
      </c>
      <c r="J29" s="197">
        <v>54</v>
      </c>
      <c r="K29" s="198">
        <v>27</v>
      </c>
      <c r="L29" s="227">
        <f>COUNTIF('FY 2025 Schedule'!$B$3:$B$623,'Planning-Need vs Planned'!B29)</f>
        <v>27</v>
      </c>
      <c r="M29" s="198">
        <v>32</v>
      </c>
      <c r="N29" s="198">
        <v>960</v>
      </c>
      <c r="O29" s="194">
        <v>-24</v>
      </c>
      <c r="P29" s="199">
        <v>0.56039850560398508</v>
      </c>
    </row>
    <row r="30" spans="2:16" x14ac:dyDescent="0.25">
      <c r="B30" s="208" t="s">
        <v>60</v>
      </c>
      <c r="C30" s="193" t="s">
        <v>442</v>
      </c>
      <c r="D30" s="211" t="s">
        <v>80</v>
      </c>
      <c r="E30" s="192" t="s">
        <v>211</v>
      </c>
      <c r="F30" s="192" t="s">
        <v>212</v>
      </c>
      <c r="G30" s="194">
        <v>614</v>
      </c>
      <c r="H30" s="195">
        <v>30</v>
      </c>
      <c r="I30" s="196">
        <v>20.466666666666665</v>
      </c>
      <c r="J30" s="197">
        <v>21</v>
      </c>
      <c r="K30" s="198">
        <v>10</v>
      </c>
      <c r="L30" s="227">
        <f>COUNTIF('FY 2025 Schedule'!$B$3:$B$623,'Planning-Need vs Planned'!B30)</f>
        <v>10</v>
      </c>
      <c r="M30" s="198">
        <v>32</v>
      </c>
      <c r="N30" s="198">
        <v>320</v>
      </c>
      <c r="O30" s="194">
        <v>-11</v>
      </c>
      <c r="P30" s="199">
        <v>0.48859934853420195</v>
      </c>
    </row>
    <row r="31" spans="2:16" x14ac:dyDescent="0.25">
      <c r="B31" s="207" t="s">
        <v>61</v>
      </c>
      <c r="C31" s="193" t="s">
        <v>442</v>
      </c>
      <c r="D31" s="210" t="s">
        <v>80</v>
      </c>
      <c r="E31" s="192" t="s">
        <v>214</v>
      </c>
      <c r="F31" s="192">
        <v>1228</v>
      </c>
      <c r="G31" s="194">
        <v>1162</v>
      </c>
      <c r="H31" s="195">
        <v>45</v>
      </c>
      <c r="I31" s="196">
        <v>25.822222222222223</v>
      </c>
      <c r="J31" s="197">
        <v>26</v>
      </c>
      <c r="K31" s="198">
        <v>23</v>
      </c>
      <c r="L31" s="227">
        <f>COUNTIF('FY 2025 Schedule'!$B$3:$B$623,'Planning-Need vs Planned'!B31)</f>
        <v>23</v>
      </c>
      <c r="M31" s="198">
        <v>40</v>
      </c>
      <c r="N31" s="198">
        <v>920</v>
      </c>
      <c r="O31" s="194">
        <v>-3</v>
      </c>
      <c r="P31" s="199">
        <v>0.89070567986230642</v>
      </c>
    </row>
    <row r="32" spans="2:16" x14ac:dyDescent="0.25">
      <c r="B32" s="207" t="s">
        <v>52</v>
      </c>
      <c r="C32" s="193" t="s">
        <v>345</v>
      </c>
      <c r="D32" s="210" t="s">
        <v>80</v>
      </c>
      <c r="E32" s="192" t="s">
        <v>220</v>
      </c>
      <c r="F32" s="192">
        <v>3555</v>
      </c>
      <c r="G32" s="194">
        <v>685</v>
      </c>
      <c r="H32" s="195">
        <v>30</v>
      </c>
      <c r="I32" s="196">
        <v>22.833333333333332</v>
      </c>
      <c r="J32" s="197">
        <v>23</v>
      </c>
      <c r="K32" s="198">
        <v>16</v>
      </c>
      <c r="L32" s="227">
        <f>COUNTIF('FY 2025 Schedule'!$B$3:$B$623,'Planning-Need vs Planned'!B32)</f>
        <v>16</v>
      </c>
      <c r="M32" s="198">
        <v>32</v>
      </c>
      <c r="N32" s="198">
        <v>512</v>
      </c>
      <c r="O32" s="194">
        <v>-7</v>
      </c>
      <c r="P32" s="199">
        <v>0.7007299270072993</v>
      </c>
    </row>
    <row r="33" spans="2:16" x14ac:dyDescent="0.25">
      <c r="B33" s="208" t="s">
        <v>35</v>
      </c>
      <c r="C33" s="193" t="s">
        <v>344</v>
      </c>
      <c r="D33" s="211" t="s">
        <v>7</v>
      </c>
      <c r="E33" s="192" t="s">
        <v>222</v>
      </c>
      <c r="F33" s="192" t="s">
        <v>223</v>
      </c>
      <c r="G33" s="194">
        <v>987</v>
      </c>
      <c r="H33" s="195">
        <v>25</v>
      </c>
      <c r="I33" s="196">
        <v>39.479999999999997</v>
      </c>
      <c r="J33" s="196">
        <v>40</v>
      </c>
      <c r="K33" s="198">
        <v>22</v>
      </c>
      <c r="L33" s="227">
        <f>COUNTIF('FY 2025 Schedule'!$B$3:$B$623,'Planning-Need vs Planned'!B33)</f>
        <v>23</v>
      </c>
      <c r="M33" s="198">
        <v>8</v>
      </c>
      <c r="N33" s="198">
        <v>176</v>
      </c>
      <c r="O33" s="194">
        <v>-18</v>
      </c>
      <c r="P33" s="199">
        <v>0.55724417426545081</v>
      </c>
    </row>
    <row r="34" spans="2:16" x14ac:dyDescent="0.25">
      <c r="B34" s="207" t="s">
        <v>39</v>
      </c>
      <c r="C34" s="193" t="s">
        <v>441</v>
      </c>
      <c r="D34" s="210" t="s">
        <v>80</v>
      </c>
      <c r="E34" s="192" t="s">
        <v>225</v>
      </c>
      <c r="F34" s="192" t="s">
        <v>226</v>
      </c>
      <c r="G34" s="194">
        <v>808</v>
      </c>
      <c r="H34" s="195">
        <v>45</v>
      </c>
      <c r="I34" s="196">
        <v>17.955555555555556</v>
      </c>
      <c r="J34" s="197">
        <v>18</v>
      </c>
      <c r="K34" s="198">
        <v>18</v>
      </c>
      <c r="L34" s="227">
        <f>COUNTIF('FY 2025 Schedule'!$B$3:$B$623,'Planning-Need vs Planned'!B34)</f>
        <v>18</v>
      </c>
      <c r="M34" s="198">
        <v>16</v>
      </c>
      <c r="N34" s="198">
        <v>288</v>
      </c>
      <c r="O34" s="194">
        <v>0</v>
      </c>
      <c r="P34" s="199">
        <v>1.0024752475247525</v>
      </c>
    </row>
    <row r="35" spans="2:16" x14ac:dyDescent="0.25">
      <c r="B35" s="207" t="s">
        <v>53</v>
      </c>
      <c r="C35" s="193" t="s">
        <v>345</v>
      </c>
      <c r="D35" s="211" t="s">
        <v>7</v>
      </c>
      <c r="E35" s="192" t="s">
        <v>228</v>
      </c>
      <c r="F35" s="192" t="s">
        <v>229</v>
      </c>
      <c r="G35" s="194">
        <v>1437</v>
      </c>
      <c r="H35" s="195">
        <v>30</v>
      </c>
      <c r="I35" s="196">
        <v>47.9</v>
      </c>
      <c r="J35" s="197">
        <v>48</v>
      </c>
      <c r="K35" s="198">
        <v>22</v>
      </c>
      <c r="L35" s="227">
        <f>COUNTIF('FY 2025 Schedule'!$B$3:$B$623,'Planning-Need vs Planned'!B35)</f>
        <v>22</v>
      </c>
      <c r="M35" s="198">
        <v>40</v>
      </c>
      <c r="N35" s="198">
        <v>920</v>
      </c>
      <c r="O35" s="194">
        <v>-25</v>
      </c>
      <c r="P35" s="199">
        <v>0.4801670146137787</v>
      </c>
    </row>
    <row r="36" spans="2:16" x14ac:dyDescent="0.25">
      <c r="B36" s="207" t="s">
        <v>40</v>
      </c>
      <c r="C36" s="193" t="s">
        <v>441</v>
      </c>
      <c r="D36" s="210" t="s">
        <v>80</v>
      </c>
      <c r="E36" s="192" t="s">
        <v>239</v>
      </c>
      <c r="F36" s="192" t="s">
        <v>240</v>
      </c>
      <c r="G36" s="194">
        <v>1601</v>
      </c>
      <c r="H36" s="195">
        <v>100</v>
      </c>
      <c r="I36" s="196">
        <v>16.010000000000002</v>
      </c>
      <c r="J36" s="196">
        <v>17</v>
      </c>
      <c r="K36" s="198">
        <v>17</v>
      </c>
      <c r="L36" s="227">
        <f>COUNTIF('FY 2025 Schedule'!$B$3:$B$623,'Planning-Need vs Planned'!B36)</f>
        <v>19</v>
      </c>
      <c r="M36" s="198">
        <v>16</v>
      </c>
      <c r="N36" s="198">
        <v>272</v>
      </c>
      <c r="O36" s="194">
        <v>0</v>
      </c>
      <c r="P36" s="199">
        <v>1.0618363522798251</v>
      </c>
    </row>
    <row r="37" spans="2:16" x14ac:dyDescent="0.25">
      <c r="B37" s="207" t="s">
        <v>54</v>
      </c>
      <c r="C37" s="193" t="s">
        <v>441</v>
      </c>
      <c r="D37" s="210" t="s">
        <v>80</v>
      </c>
      <c r="E37" s="192" t="s">
        <v>249</v>
      </c>
      <c r="F37" s="192" t="s">
        <v>250</v>
      </c>
      <c r="G37" s="194">
        <v>92</v>
      </c>
      <c r="H37" s="195">
        <v>25</v>
      </c>
      <c r="I37" s="196">
        <v>3.68</v>
      </c>
      <c r="J37" s="197">
        <v>4</v>
      </c>
      <c r="K37" s="198">
        <v>4</v>
      </c>
      <c r="L37" s="227">
        <f>COUNTIF('FY 2025 Schedule'!$B$3:$B$623,'Planning-Need vs Planned'!B37)</f>
        <v>4</v>
      </c>
      <c r="M37" s="198">
        <v>16</v>
      </c>
      <c r="N37" s="198">
        <v>64</v>
      </c>
      <c r="O37" s="194">
        <v>0</v>
      </c>
      <c r="P37" s="199">
        <v>1.0869565217391304</v>
      </c>
    </row>
    <row r="38" spans="2:16" x14ac:dyDescent="0.25">
      <c r="B38" s="208" t="s">
        <v>36</v>
      </c>
      <c r="C38" s="193" t="s">
        <v>344</v>
      </c>
      <c r="D38" s="211" t="s">
        <v>7</v>
      </c>
      <c r="E38" s="192" t="s">
        <v>444</v>
      </c>
      <c r="F38" s="192" t="s">
        <v>445</v>
      </c>
      <c r="G38" s="194">
        <v>397</v>
      </c>
      <c r="H38" s="195">
        <v>25</v>
      </c>
      <c r="I38" s="196">
        <v>15.88</v>
      </c>
      <c r="J38" s="197">
        <v>16</v>
      </c>
      <c r="K38" s="201">
        <v>2</v>
      </c>
      <c r="L38" s="227">
        <f>COUNTIF('FY 2025 Schedule'!$B$3:$B$623,'Planning-Need vs Planned'!B38)</f>
        <v>5</v>
      </c>
      <c r="M38" s="201">
        <v>40</v>
      </c>
      <c r="N38" s="201">
        <v>80</v>
      </c>
      <c r="O38" s="202">
        <v>-14</v>
      </c>
      <c r="P38" s="203">
        <v>0.12594458438287154</v>
      </c>
    </row>
    <row r="39" spans="2:16" x14ac:dyDescent="0.25">
      <c r="B39" s="209" t="s">
        <v>62</v>
      </c>
      <c r="C39" s="204"/>
      <c r="D39" s="212"/>
      <c r="E39" s="204"/>
      <c r="F39" s="204"/>
      <c r="G39" s="205">
        <v>26864</v>
      </c>
      <c r="H39" s="206"/>
      <c r="I39" s="206"/>
      <c r="J39" s="206">
        <v>837</v>
      </c>
      <c r="K39" s="206">
        <f>SUM(K3:K38)</f>
        <v>497</v>
      </c>
      <c r="L39" s="232">
        <f>SUM(L3:L38)</f>
        <v>516</v>
      </c>
      <c r="M39" s="206"/>
      <c r="N39" s="206"/>
      <c r="O39" s="206">
        <v>-344</v>
      </c>
      <c r="P39" s="206"/>
    </row>
    <row r="40" spans="2:16" x14ac:dyDescent="0.25">
      <c r="K40" s="229"/>
    </row>
  </sheetData>
  <autoFilter ref="B2:L39" xr:uid="{D3997591-2F1C-4C8A-A240-F590D5790C51}"/>
  <conditionalFormatting sqref="L3:L38">
    <cfRule type="expression" dxfId="651" priority="1">
      <formula>L3&gt;K3</formula>
    </cfRule>
    <cfRule type="expression" dxfId="650" priority="2">
      <formula>L3&lt;K3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8048-F09E-4D1B-9A34-C1384B1A5CC4}">
  <sheetPr>
    <tabColor rgb="FFFFC000"/>
    <pageSetUpPr fitToPage="1"/>
  </sheetPr>
  <dimension ref="B3:R34"/>
  <sheetViews>
    <sheetView workbookViewId="0">
      <selection activeCell="L12" sqref="L12"/>
    </sheetView>
  </sheetViews>
  <sheetFormatPr defaultRowHeight="15" x14ac:dyDescent="0.25"/>
  <cols>
    <col min="2" max="2" width="25.42578125" customWidth="1"/>
    <col min="4" max="4" width="11.7109375" bestFit="1" customWidth="1"/>
    <col min="5" max="5" width="13.140625" bestFit="1" customWidth="1"/>
    <col min="8" max="8" width="14.140625" bestFit="1" customWidth="1"/>
    <col min="9" max="9" width="17.7109375" customWidth="1"/>
    <col min="10" max="10" width="22.85546875" customWidth="1"/>
    <col min="11" max="11" width="15.85546875" customWidth="1"/>
    <col min="12" max="12" width="13.28515625" customWidth="1"/>
    <col min="13" max="13" width="13.7109375" customWidth="1"/>
    <col min="14" max="14" width="12.7109375" customWidth="1"/>
  </cols>
  <sheetData>
    <row r="3" spans="2:18" x14ac:dyDescent="0.25">
      <c r="B3" s="60" t="s">
        <v>446</v>
      </c>
      <c r="C3" s="213"/>
      <c r="D3" s="223"/>
      <c r="E3" s="70"/>
    </row>
    <row r="4" spans="2:18" x14ac:dyDescent="0.25">
      <c r="C4" s="70"/>
      <c r="D4" s="70"/>
      <c r="E4" s="70"/>
      <c r="H4" s="240" t="s">
        <v>447</v>
      </c>
      <c r="I4" s="240" t="s">
        <v>448</v>
      </c>
      <c r="J4" s="240" t="s">
        <v>449</v>
      </c>
      <c r="K4" s="240" t="s">
        <v>450</v>
      </c>
      <c r="L4" s="240" t="s">
        <v>451</v>
      </c>
      <c r="M4" s="240" t="s">
        <v>452</v>
      </c>
      <c r="N4" s="240" t="s">
        <v>453</v>
      </c>
      <c r="R4" s="147"/>
    </row>
    <row r="5" spans="2:18" x14ac:dyDescent="0.25">
      <c r="C5" s="214" t="s">
        <v>454</v>
      </c>
      <c r="D5" s="215" t="s">
        <v>455</v>
      </c>
      <c r="E5" s="216" t="s">
        <v>456</v>
      </c>
      <c r="H5" s="241" t="s">
        <v>171</v>
      </c>
      <c r="I5" s="238">
        <f>SUMIF('FY 2025 Schedule'!O4:O543,'Planning-Hours tabulation'!H5,'FY 2025 Schedule'!R4:R543)</f>
        <v>152</v>
      </c>
      <c r="J5" s="238">
        <f>SUMIF(Table2[Instructor 2],'Planning-Hours tabulation'!H5,Table2[Course Length (Hours)])</f>
        <v>56</v>
      </c>
      <c r="K5" s="238">
        <f>SUM(I5,J5)</f>
        <v>208</v>
      </c>
      <c r="L5" s="239">
        <f>I5/$E$11</f>
        <v>8.5585585585585586E-2</v>
      </c>
      <c r="M5" s="239">
        <f t="shared" ref="M5:N5" si="0">J5/$E$11</f>
        <v>3.1531531531531529E-2</v>
      </c>
      <c r="N5" s="239">
        <f t="shared" si="0"/>
        <v>0.11711711711711711</v>
      </c>
      <c r="R5" s="150"/>
    </row>
    <row r="6" spans="2:18" x14ac:dyDescent="0.25">
      <c r="B6" s="81" t="s">
        <v>457</v>
      </c>
      <c r="C6" s="194">
        <v>2080</v>
      </c>
      <c r="D6" s="82"/>
      <c r="E6" s="82"/>
      <c r="H6" s="241" t="s">
        <v>175</v>
      </c>
      <c r="I6" s="236">
        <f>SUMIF('FY 2025 Schedule'!O5:O544,'Planning-Hours tabulation'!H6,'FY 2025 Schedule'!R5:R544)</f>
        <v>320</v>
      </c>
      <c r="J6" s="236">
        <f>SUMIF(Table2[Instructor 2],'Planning-Hours tabulation'!H6,Table2[Course Length (Hours)])</f>
        <v>80</v>
      </c>
      <c r="K6" s="236">
        <f t="shared" ref="K6:K22" si="1">SUM(I6,J6)</f>
        <v>400</v>
      </c>
      <c r="L6" s="237">
        <f t="shared" ref="L6:L22" si="2">I6/$E$11</f>
        <v>0.18018018018018017</v>
      </c>
      <c r="M6" s="237">
        <f t="shared" ref="M6:M22" si="3">J6/$E$11</f>
        <v>4.5045045045045043E-2</v>
      </c>
      <c r="N6" s="237">
        <f t="shared" ref="N6:N22" si="4">K6/$E$11</f>
        <v>0.22522522522522523</v>
      </c>
      <c r="R6" s="150"/>
    </row>
    <row r="7" spans="2:18" x14ac:dyDescent="0.25">
      <c r="B7" s="81" t="s">
        <v>458</v>
      </c>
      <c r="C7" s="194"/>
      <c r="D7" s="217">
        <v>64</v>
      </c>
      <c r="E7" s="82"/>
      <c r="H7" s="241" t="s">
        <v>79</v>
      </c>
      <c r="I7" s="236">
        <f>SUMIF('FY 2025 Schedule'!O6:O545,'Planning-Hours tabulation'!H7,'FY 2025 Schedule'!R6:R545)</f>
        <v>208</v>
      </c>
      <c r="J7" s="236">
        <f>SUMIF(Table2[Instructor 2],'Planning-Hours tabulation'!H7,Table2[Course Length (Hours)])</f>
        <v>32</v>
      </c>
      <c r="K7" s="236">
        <f t="shared" si="1"/>
        <v>240</v>
      </c>
      <c r="L7" s="237">
        <f t="shared" si="2"/>
        <v>0.11711711711711711</v>
      </c>
      <c r="M7" s="237">
        <f t="shared" si="3"/>
        <v>1.8018018018018018E-2</v>
      </c>
      <c r="N7" s="237">
        <f t="shared" si="4"/>
        <v>0.13513513513513514</v>
      </c>
      <c r="R7" s="148"/>
    </row>
    <row r="8" spans="2:18" x14ac:dyDescent="0.25">
      <c r="B8" s="81" t="s">
        <v>459</v>
      </c>
      <c r="C8" s="194"/>
      <c r="D8" s="217">
        <v>80</v>
      </c>
      <c r="E8" s="82"/>
      <c r="H8" s="241" t="s">
        <v>201</v>
      </c>
      <c r="I8" s="236">
        <f>SUMIF('FY 2025 Schedule'!O6:O546,'Planning-Hours tabulation'!H8,'FY 2025 Schedule'!R6:R546)</f>
        <v>40</v>
      </c>
      <c r="J8" s="236">
        <f>SUMIF(Table2[Instructor 2],'Planning-Hours tabulation'!H8,Table2[Course Length (Hours)])</f>
        <v>40</v>
      </c>
      <c r="K8" s="236">
        <f t="shared" si="1"/>
        <v>80</v>
      </c>
      <c r="L8" s="237">
        <f t="shared" si="2"/>
        <v>2.2522522522522521E-2</v>
      </c>
      <c r="M8" s="237">
        <f t="shared" si="3"/>
        <v>2.2522522522522521E-2</v>
      </c>
      <c r="N8" s="237">
        <f t="shared" si="4"/>
        <v>4.5045045045045043E-2</v>
      </c>
      <c r="R8" s="150"/>
    </row>
    <row r="9" spans="2:18" x14ac:dyDescent="0.25">
      <c r="B9" s="81" t="s">
        <v>380</v>
      </c>
      <c r="C9" s="194"/>
      <c r="D9" s="217">
        <v>40</v>
      </c>
      <c r="E9" s="82"/>
      <c r="H9" s="241" t="s">
        <v>110</v>
      </c>
      <c r="I9" s="236">
        <f>SUMIF('FY 2025 Schedule'!O8:O548,'Planning-Hours tabulation'!H9,'FY 2025 Schedule'!R8:R548)</f>
        <v>192</v>
      </c>
      <c r="J9" s="236">
        <f>SUMIF(Table2[Instructor 2],'Planning-Hours tabulation'!H9,Table2[Course Length (Hours)])</f>
        <v>0</v>
      </c>
      <c r="K9" s="236">
        <f t="shared" si="1"/>
        <v>192</v>
      </c>
      <c r="L9" s="237">
        <f t="shared" si="2"/>
        <v>0.10810810810810811</v>
      </c>
      <c r="M9" s="237">
        <f t="shared" si="3"/>
        <v>0</v>
      </c>
      <c r="N9" s="237">
        <f t="shared" si="4"/>
        <v>0.10810810810810811</v>
      </c>
      <c r="R9" s="149"/>
    </row>
    <row r="10" spans="2:18" x14ac:dyDescent="0.25">
      <c r="B10" s="81" t="s">
        <v>460</v>
      </c>
      <c r="C10" s="194"/>
      <c r="D10" s="217">
        <v>120</v>
      </c>
      <c r="E10" s="82"/>
      <c r="H10" s="241" t="s">
        <v>149</v>
      </c>
      <c r="I10" s="236">
        <f>SUMIF('FY 2025 Schedule'!O9:O549,'Planning-Hours tabulation'!H10,'FY 2025 Schedule'!R9:R549)</f>
        <v>0</v>
      </c>
      <c r="J10" s="236">
        <f>SUMIF(Table2[Instructor 2],'Planning-Hours tabulation'!H10,Table2[Course Length (Hours)])</f>
        <v>0</v>
      </c>
      <c r="K10" s="236">
        <f t="shared" si="1"/>
        <v>0</v>
      </c>
      <c r="L10" s="237">
        <f t="shared" si="2"/>
        <v>0</v>
      </c>
      <c r="M10" s="237">
        <f t="shared" si="3"/>
        <v>0</v>
      </c>
      <c r="N10" s="237">
        <f t="shared" si="4"/>
        <v>0</v>
      </c>
      <c r="R10" s="148"/>
    </row>
    <row r="11" spans="2:18" x14ac:dyDescent="0.25">
      <c r="C11" s="218">
        <f>SUM(C6:C10)</f>
        <v>2080</v>
      </c>
      <c r="D11" s="217">
        <f>SUM(D7:D10)</f>
        <v>304</v>
      </c>
      <c r="E11" s="219">
        <f>SUM(C11-D11)</f>
        <v>1776</v>
      </c>
      <c r="H11" s="241" t="s">
        <v>152</v>
      </c>
      <c r="I11" s="236">
        <f>SUMIF('FY 2025 Schedule'!O10:O550,'Planning-Hours tabulation'!H11,'FY 2025 Schedule'!R10:R550)</f>
        <v>0</v>
      </c>
      <c r="J11" s="236">
        <f>SUMIF(Table2[Instructor 2],'Planning-Hours tabulation'!H11,Table2[Course Length (Hours)])</f>
        <v>0</v>
      </c>
      <c r="K11" s="236">
        <f t="shared" si="1"/>
        <v>0</v>
      </c>
      <c r="L11" s="237">
        <f t="shared" si="2"/>
        <v>0</v>
      </c>
      <c r="M11" s="237">
        <f t="shared" si="3"/>
        <v>0</v>
      </c>
      <c r="N11" s="237">
        <f t="shared" si="4"/>
        <v>0</v>
      </c>
      <c r="R11" s="149"/>
    </row>
    <row r="12" spans="2:18" x14ac:dyDescent="0.25">
      <c r="C12" s="70"/>
      <c r="D12" s="69"/>
      <c r="E12" s="220"/>
      <c r="H12" s="241" t="s">
        <v>179</v>
      </c>
      <c r="I12" s="236">
        <f>SUMIF('FY 2025 Schedule'!O11:O551,'Planning-Hours tabulation'!H12,'FY 2025 Schedule'!R11:R551)</f>
        <v>256</v>
      </c>
      <c r="J12" s="236">
        <f>SUMIF(Table2[Instructor 2],'Planning-Hours tabulation'!H12,Table2[Course Length (Hours)])</f>
        <v>64</v>
      </c>
      <c r="K12" s="236">
        <f t="shared" si="1"/>
        <v>320</v>
      </c>
      <c r="L12" s="237">
        <f t="shared" si="2"/>
        <v>0.14414414414414414</v>
      </c>
      <c r="M12" s="237">
        <f t="shared" si="3"/>
        <v>3.6036036036036036E-2</v>
      </c>
      <c r="N12" s="237">
        <f t="shared" si="4"/>
        <v>0.18018018018018017</v>
      </c>
      <c r="R12" s="149"/>
    </row>
    <row r="13" spans="2:18" x14ac:dyDescent="0.25">
      <c r="C13" s="70"/>
      <c r="D13" s="221">
        <v>0.9</v>
      </c>
      <c r="E13" s="219">
        <v>1598.4</v>
      </c>
      <c r="H13" s="241" t="s">
        <v>90</v>
      </c>
      <c r="I13" s="236">
        <f>SUMIF('FY 2025 Schedule'!O12:O552,'Planning-Hours tabulation'!H13,'FY 2025 Schedule'!R12:R552)</f>
        <v>136</v>
      </c>
      <c r="J13" s="236">
        <f>SUMIF(Table2[Instructor 2],'Planning-Hours tabulation'!H13,Table2[Course Length (Hours)])</f>
        <v>0</v>
      </c>
      <c r="K13" s="236">
        <f t="shared" si="1"/>
        <v>136</v>
      </c>
      <c r="L13" s="237">
        <f t="shared" si="2"/>
        <v>7.6576576576576572E-2</v>
      </c>
      <c r="M13" s="237">
        <f t="shared" si="3"/>
        <v>0</v>
      </c>
      <c r="N13" s="237">
        <f t="shared" si="4"/>
        <v>7.6576576576576572E-2</v>
      </c>
      <c r="O13" t="s">
        <v>461</v>
      </c>
      <c r="R13" s="150"/>
    </row>
    <row r="14" spans="2:18" x14ac:dyDescent="0.25">
      <c r="C14" s="70"/>
      <c r="D14" s="221">
        <v>0.8</v>
      </c>
      <c r="E14" s="219">
        <v>1420.8</v>
      </c>
      <c r="H14" s="241" t="s">
        <v>124</v>
      </c>
      <c r="I14" s="236">
        <f>SUMIF('FY 2025 Schedule'!O13:O553,'Planning-Hours tabulation'!H14,'FY 2025 Schedule'!R13:R553)</f>
        <v>232</v>
      </c>
      <c r="J14" s="236">
        <f>SUMIF(Table2[Instructor 2],'Planning-Hours tabulation'!H14,Table2[Course Length (Hours)])</f>
        <v>0</v>
      </c>
      <c r="K14" s="236">
        <f t="shared" si="1"/>
        <v>232</v>
      </c>
      <c r="L14" s="237">
        <f t="shared" si="2"/>
        <v>0.13063063063063063</v>
      </c>
      <c r="M14" s="237">
        <f t="shared" si="3"/>
        <v>0</v>
      </c>
      <c r="N14" s="237">
        <f t="shared" si="4"/>
        <v>0.13063063063063063</v>
      </c>
      <c r="R14" s="147"/>
    </row>
    <row r="15" spans="2:18" x14ac:dyDescent="0.25">
      <c r="C15" s="70"/>
      <c r="D15" s="221">
        <v>0.7</v>
      </c>
      <c r="E15" s="219">
        <v>1243.2</v>
      </c>
      <c r="H15" s="241" t="s">
        <v>192</v>
      </c>
      <c r="I15" s="236">
        <f>SUMIF('FY 2025 Schedule'!O14:O554,'Planning-Hours tabulation'!H15,'FY 2025 Schedule'!R14:R554)</f>
        <v>88</v>
      </c>
      <c r="J15" s="236">
        <f>SUMIF(Table2[Instructor 2],'Planning-Hours tabulation'!H15,Table2[Course Length (Hours)])</f>
        <v>40</v>
      </c>
      <c r="K15" s="236">
        <f t="shared" si="1"/>
        <v>128</v>
      </c>
      <c r="L15" s="237">
        <f t="shared" si="2"/>
        <v>4.954954954954955E-2</v>
      </c>
      <c r="M15" s="237">
        <f t="shared" si="3"/>
        <v>2.2522522522522521E-2</v>
      </c>
      <c r="N15" s="237">
        <f t="shared" si="4"/>
        <v>7.2072072072072071E-2</v>
      </c>
      <c r="R15" s="150"/>
    </row>
    <row r="16" spans="2:18" x14ac:dyDescent="0.25">
      <c r="C16" s="70"/>
      <c r="D16" s="221">
        <v>0.6</v>
      </c>
      <c r="E16" s="219">
        <v>1065.5</v>
      </c>
      <c r="H16" s="241" t="s">
        <v>116</v>
      </c>
      <c r="I16" s="236">
        <f>SUMIF('FY 2025 Schedule'!O15:O555,'Planning-Hours tabulation'!H16,'FY 2025 Schedule'!R15:R555)</f>
        <v>64</v>
      </c>
      <c r="J16" s="236">
        <f>SUMIF(Table2[Instructor 2],'Planning-Hours tabulation'!H16,Table2[Course Length (Hours)])</f>
        <v>168</v>
      </c>
      <c r="K16" s="236">
        <f t="shared" si="1"/>
        <v>232</v>
      </c>
      <c r="L16" s="237">
        <f t="shared" si="2"/>
        <v>3.6036036036036036E-2</v>
      </c>
      <c r="M16" s="237">
        <f t="shared" si="3"/>
        <v>9.45945945945946E-2</v>
      </c>
      <c r="N16" s="237">
        <f t="shared" si="4"/>
        <v>0.13063063063063063</v>
      </c>
      <c r="R16" s="148"/>
    </row>
    <row r="17" spans="3:18" x14ac:dyDescent="0.25">
      <c r="C17" s="70"/>
      <c r="D17" s="221">
        <v>0.5</v>
      </c>
      <c r="E17" s="219">
        <v>888</v>
      </c>
      <c r="H17" s="241" t="s">
        <v>85</v>
      </c>
      <c r="I17" s="236">
        <f>SUMIF('FY 2025 Schedule'!O16:O556,'Planning-Hours tabulation'!H17,'FY 2025 Schedule'!R16:R556)</f>
        <v>16</v>
      </c>
      <c r="J17" s="236">
        <f>SUMIF(Table2[Instructor 2],'Planning-Hours tabulation'!H17,Table2[Course Length (Hours)])</f>
        <v>0</v>
      </c>
      <c r="K17" s="236">
        <f t="shared" si="1"/>
        <v>16</v>
      </c>
      <c r="L17" s="237">
        <f t="shared" si="2"/>
        <v>9.0090090090090089E-3</v>
      </c>
      <c r="M17" s="237">
        <f t="shared" si="3"/>
        <v>0</v>
      </c>
      <c r="N17" s="237">
        <f t="shared" si="4"/>
        <v>9.0090090090090089E-3</v>
      </c>
      <c r="R17" s="150"/>
    </row>
    <row r="18" spans="3:18" x14ac:dyDescent="0.25">
      <c r="C18" s="70"/>
      <c r="D18" s="221">
        <v>0.4</v>
      </c>
      <c r="E18" s="219">
        <v>710.4</v>
      </c>
      <c r="H18" s="241" t="s">
        <v>120</v>
      </c>
      <c r="I18" s="236">
        <f>SUMIF('FY 2025 Schedule'!O17:O557,'Planning-Hours tabulation'!H18,'FY 2025 Schedule'!R17:R557)</f>
        <v>72</v>
      </c>
      <c r="J18" s="236">
        <f>SUMIF(Table2[Instructor 2],'Planning-Hours tabulation'!H18,Table2[Course Length (Hours)])</f>
        <v>0</v>
      </c>
      <c r="K18" s="236">
        <f t="shared" si="1"/>
        <v>72</v>
      </c>
      <c r="L18" s="237">
        <f t="shared" si="2"/>
        <v>4.0540540540540543E-2</v>
      </c>
      <c r="M18" s="237">
        <f t="shared" si="3"/>
        <v>0</v>
      </c>
      <c r="N18" s="237">
        <f t="shared" si="4"/>
        <v>4.0540540540540543E-2</v>
      </c>
      <c r="R18" s="148"/>
    </row>
    <row r="19" spans="3:18" x14ac:dyDescent="0.25">
      <c r="C19" s="70"/>
      <c r="D19" s="221">
        <v>0.3</v>
      </c>
      <c r="E19" s="219">
        <v>532.79999999999995</v>
      </c>
      <c r="H19" s="241" t="s">
        <v>138</v>
      </c>
      <c r="I19" s="236">
        <f>SUMIF('FY 2025 Schedule'!O18:O558,'Planning-Hours tabulation'!H19,'FY 2025 Schedule'!R18:R558)</f>
        <v>240</v>
      </c>
      <c r="J19" s="236">
        <f>SUMIF(Table2[Instructor 2],'Planning-Hours tabulation'!H19,Table2[Course Length (Hours)])</f>
        <v>0</v>
      </c>
      <c r="K19" s="236">
        <f t="shared" si="1"/>
        <v>240</v>
      </c>
      <c r="L19" s="237">
        <f t="shared" si="2"/>
        <v>0.13513513513513514</v>
      </c>
      <c r="M19" s="237">
        <f t="shared" si="3"/>
        <v>0</v>
      </c>
      <c r="N19" s="237">
        <f t="shared" si="4"/>
        <v>0.13513513513513514</v>
      </c>
      <c r="R19" s="147"/>
    </row>
    <row r="20" spans="3:18" x14ac:dyDescent="0.25">
      <c r="C20" s="70"/>
      <c r="D20" s="221">
        <v>0.2</v>
      </c>
      <c r="E20" s="219">
        <v>355.2</v>
      </c>
      <c r="H20" s="241" t="s">
        <v>141</v>
      </c>
      <c r="I20" s="236">
        <f>SUMIF('FY 2025 Schedule'!O19:O559,'Planning-Hours tabulation'!H20,'FY 2025 Schedule'!R19:R559)</f>
        <v>288</v>
      </c>
      <c r="J20" s="236">
        <f>SUMIF(Table2[Instructor 2],'Planning-Hours tabulation'!H20,Table2[Course Length (Hours)])</f>
        <v>0</v>
      </c>
      <c r="K20" s="236">
        <f t="shared" si="1"/>
        <v>288</v>
      </c>
      <c r="L20" s="237">
        <f t="shared" si="2"/>
        <v>0.16216216216216217</v>
      </c>
      <c r="M20" s="237">
        <f t="shared" si="3"/>
        <v>0</v>
      </c>
      <c r="N20" s="237">
        <f t="shared" si="4"/>
        <v>0.16216216216216217</v>
      </c>
      <c r="R20" s="148"/>
    </row>
    <row r="21" spans="3:18" x14ac:dyDescent="0.25">
      <c r="C21" s="70"/>
      <c r="D21" s="221">
        <v>0.1</v>
      </c>
      <c r="E21" s="219">
        <v>177.6</v>
      </c>
      <c r="H21" s="241" t="s">
        <v>156</v>
      </c>
      <c r="I21" s="236">
        <f>SUMIF('FY 2025 Schedule'!O20:O560,'Planning-Hours tabulation'!H21,'FY 2025 Schedule'!R20:R560)</f>
        <v>0</v>
      </c>
      <c r="J21" s="236">
        <f>SUMIF(Table2[Instructor 2],'Planning-Hours tabulation'!H21,Table2[Course Length (Hours)])</f>
        <v>0</v>
      </c>
      <c r="K21" s="236">
        <f t="shared" si="1"/>
        <v>0</v>
      </c>
      <c r="L21" s="237">
        <f t="shared" si="2"/>
        <v>0</v>
      </c>
      <c r="M21" s="237">
        <f t="shared" si="3"/>
        <v>0</v>
      </c>
      <c r="N21" s="237">
        <f t="shared" si="4"/>
        <v>0</v>
      </c>
      <c r="R21" s="149"/>
    </row>
    <row r="22" spans="3:18" x14ac:dyDescent="0.25">
      <c r="H22" s="241" t="s">
        <v>145</v>
      </c>
      <c r="I22" s="236">
        <f>SUMIF('FY 2025 Schedule'!O21:O561,'Planning-Hours tabulation'!H22,'FY 2025 Schedule'!R21:R561)</f>
        <v>576</v>
      </c>
      <c r="J22" s="236">
        <f>SUMIF(Table2[Instructor 2],'Planning-Hours tabulation'!H22,Table2[Course Length (Hours)])</f>
        <v>0</v>
      </c>
      <c r="K22" s="236">
        <f t="shared" si="1"/>
        <v>576</v>
      </c>
      <c r="L22" s="237">
        <f t="shared" si="2"/>
        <v>0.32432432432432434</v>
      </c>
      <c r="M22" s="237">
        <f t="shared" si="3"/>
        <v>0</v>
      </c>
      <c r="N22" s="237">
        <f t="shared" si="4"/>
        <v>0.32432432432432434</v>
      </c>
      <c r="R22" s="149"/>
    </row>
    <row r="23" spans="3:18" x14ac:dyDescent="0.25">
      <c r="H23" s="241" t="s">
        <v>186</v>
      </c>
      <c r="I23" s="82">
        <f>SUMIF('FY 2025 Schedule'!O23:O563,'Planning-Hours tabulation'!H23,'FY 2025 Schedule'!R23:R563)</f>
        <v>232</v>
      </c>
      <c r="J23" s="82">
        <f>SUMIF(Table2[Instructor 2],'Planning-Hours tabulation'!H23,Table2[Course Length (Hours)])</f>
        <v>0</v>
      </c>
      <c r="K23" s="82">
        <f>SUM(I23,J23)</f>
        <v>232</v>
      </c>
      <c r="L23" s="235">
        <f t="shared" ref="L23:N23" si="5">I23/$E$11</f>
        <v>0.13063063063063063</v>
      </c>
      <c r="M23" s="235">
        <f t="shared" si="5"/>
        <v>0</v>
      </c>
      <c r="N23" s="235">
        <f t="shared" si="5"/>
        <v>0.13063063063063063</v>
      </c>
      <c r="R23" s="149"/>
    </row>
    <row r="24" spans="3:18" x14ac:dyDescent="0.25">
      <c r="H24" s="9"/>
      <c r="L24" s="222"/>
      <c r="M24" s="222"/>
      <c r="N24" s="222"/>
      <c r="R24" s="149"/>
    </row>
    <row r="25" spans="3:18" x14ac:dyDescent="0.25">
      <c r="H25" s="9"/>
      <c r="L25" s="222"/>
      <c r="M25" s="222"/>
      <c r="N25" s="222"/>
      <c r="R25" s="150"/>
    </row>
    <row r="27" spans="3:18" x14ac:dyDescent="0.25">
      <c r="L27" s="222"/>
      <c r="M27" s="222"/>
      <c r="N27" s="222"/>
    </row>
    <row r="28" spans="3:18" x14ac:dyDescent="0.25">
      <c r="L28" s="222"/>
      <c r="M28" s="222"/>
      <c r="N28" s="222"/>
    </row>
    <row r="32" spans="3:18" x14ac:dyDescent="0.25">
      <c r="R32" s="150"/>
    </row>
    <row r="34" spans="18:18" x14ac:dyDescent="0.25">
      <c r="R34" s="150"/>
    </row>
  </sheetData>
  <sortState xmlns:xlrd2="http://schemas.microsoft.com/office/spreadsheetml/2017/richdata2" ref="R5:R25">
    <sortCondition ref="R5:R25"/>
  </sortState>
  <pageMargins left="0.7" right="0.7" top="0.75" bottom="0.75" header="0.3" footer="0.3"/>
  <pageSetup scale="5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58D6-48C8-49A0-8C66-036719BCE7C6}">
  <sheetPr>
    <tabColor theme="7" tint="0.39997558519241921"/>
    <pageSetUpPr fitToPage="1"/>
  </sheetPr>
  <dimension ref="A1:AP58"/>
  <sheetViews>
    <sheetView zoomScale="80" zoomScaleNormal="80" workbookViewId="0">
      <pane xSplit="4" ySplit="1" topLeftCell="J41" activePane="bottomRight" state="frozen"/>
      <selection pane="topRight" activeCell="E1" sqref="E1"/>
      <selection pane="bottomLeft" activeCell="A2" sqref="A2"/>
      <selection pane="bottomRight" activeCell="J41" sqref="J41"/>
    </sheetView>
  </sheetViews>
  <sheetFormatPr defaultColWidth="7.7109375" defaultRowHeight="15" x14ac:dyDescent="0.25"/>
  <cols>
    <col min="1" max="1" width="24.28515625" style="14" customWidth="1"/>
    <col min="2" max="2" width="7.7109375" style="14" bestFit="1" customWidth="1"/>
    <col min="3" max="4" width="11" style="14" customWidth="1"/>
    <col min="5" max="7" width="7.7109375" style="14" bestFit="1" customWidth="1"/>
    <col min="8" max="9" width="10.28515625" style="14" customWidth="1"/>
    <col min="10" max="10" width="7.7109375" style="14" bestFit="1" customWidth="1"/>
    <col min="11" max="12" width="7.7109375" style="14" customWidth="1"/>
    <col min="13" max="13" width="7.7109375" style="14" bestFit="1" customWidth="1"/>
    <col min="14" max="14" width="10.42578125" style="14" customWidth="1"/>
    <col min="15" max="16" width="7.7109375" style="14" hidden="1" customWidth="1"/>
    <col min="17" max="17" width="2.28515625" style="14" customWidth="1"/>
    <col min="18" max="22" width="7.7109375" style="14" customWidth="1"/>
    <col min="23" max="23" width="9.42578125" style="14" customWidth="1"/>
    <col min="24" max="24" width="9.85546875" style="14" customWidth="1"/>
    <col min="25" max="25" width="8.7109375" style="14" customWidth="1"/>
    <col min="26" max="26" width="2.5703125" style="14" customWidth="1"/>
    <col min="27" max="27" width="7.7109375" style="14" customWidth="1"/>
    <col min="28" max="28" width="9.85546875" style="14" customWidth="1"/>
    <col min="29" max="29" width="9.5703125" style="14" customWidth="1"/>
    <col min="30" max="30" width="8" style="14" customWidth="1"/>
    <col min="31" max="32" width="9.7109375" style="14" customWidth="1"/>
    <col min="33" max="33" width="8.7109375" style="14" customWidth="1"/>
    <col min="34" max="34" width="2.5703125" style="14" customWidth="1"/>
    <col min="35" max="35" width="7.7109375" style="335"/>
    <col min="36" max="36" width="7.7109375" style="335" customWidth="1"/>
    <col min="37" max="38" width="7.7109375" style="14"/>
    <col min="39" max="39" width="9" style="14" customWidth="1"/>
    <col min="40" max="40" width="15.7109375" style="14" customWidth="1"/>
    <col min="41" max="41" width="11.42578125" style="14" customWidth="1"/>
    <col min="42" max="42" width="26.5703125" style="14" customWidth="1"/>
    <col min="43" max="16384" width="7.7109375" style="14"/>
  </cols>
  <sheetData>
    <row r="1" spans="1:42" ht="135" x14ac:dyDescent="0.25">
      <c r="A1" s="255" t="s">
        <v>430</v>
      </c>
      <c r="B1" s="256" t="s">
        <v>4</v>
      </c>
      <c r="C1" s="256" t="s">
        <v>72</v>
      </c>
      <c r="D1" s="257" t="s">
        <v>64</v>
      </c>
      <c r="E1" s="257" t="s">
        <v>65</v>
      </c>
      <c r="F1" s="257" t="s">
        <v>431</v>
      </c>
      <c r="G1" s="257" t="s">
        <v>432</v>
      </c>
      <c r="H1" s="257" t="s">
        <v>433</v>
      </c>
      <c r="I1" s="258" t="s">
        <v>434</v>
      </c>
      <c r="J1" s="259" t="s">
        <v>435</v>
      </c>
      <c r="K1" s="259" t="s">
        <v>437</v>
      </c>
      <c r="L1" s="259" t="s">
        <v>438</v>
      </c>
      <c r="M1" s="259" t="s">
        <v>439</v>
      </c>
      <c r="N1" s="259" t="s">
        <v>440</v>
      </c>
      <c r="O1" s="260" t="s">
        <v>462</v>
      </c>
      <c r="P1" s="261" t="s">
        <v>463</v>
      </c>
      <c r="Q1" s="262" t="s">
        <v>464</v>
      </c>
      <c r="R1" s="263" t="s">
        <v>465</v>
      </c>
      <c r="S1" s="264" t="s">
        <v>466</v>
      </c>
      <c r="T1" s="263" t="s">
        <v>467</v>
      </c>
      <c r="U1" s="263" t="s">
        <v>468</v>
      </c>
      <c r="V1" s="263" t="s">
        <v>469</v>
      </c>
      <c r="W1" s="263" t="s">
        <v>470</v>
      </c>
      <c r="X1" s="264" t="s">
        <v>471</v>
      </c>
      <c r="Y1" s="264" t="s">
        <v>472</v>
      </c>
      <c r="Z1" s="262" t="s">
        <v>473</v>
      </c>
      <c r="AA1" s="265" t="s">
        <v>474</v>
      </c>
      <c r="AB1" s="266" t="s">
        <v>475</v>
      </c>
      <c r="AC1" s="265" t="s">
        <v>476</v>
      </c>
      <c r="AD1" s="265" t="s">
        <v>477</v>
      </c>
      <c r="AE1" s="265" t="s">
        <v>478</v>
      </c>
      <c r="AF1" s="266" t="s">
        <v>479</v>
      </c>
      <c r="AG1" s="266" t="s">
        <v>480</v>
      </c>
      <c r="AH1" s="262" t="s">
        <v>481</v>
      </c>
      <c r="AI1" s="267" t="s">
        <v>482</v>
      </c>
      <c r="AJ1" s="268" t="s">
        <v>483</v>
      </c>
      <c r="AK1" s="269" t="s">
        <v>484</v>
      </c>
      <c r="AL1" s="269" t="s">
        <v>485</v>
      </c>
      <c r="AM1" s="269" t="s">
        <v>486</v>
      </c>
      <c r="AN1" s="270" t="s">
        <v>487</v>
      </c>
      <c r="AO1" s="270" t="s">
        <v>488</v>
      </c>
      <c r="AP1" s="271" t="s">
        <v>489</v>
      </c>
    </row>
    <row r="2" spans="1:42" s="294" customFormat="1" ht="30" hidden="1" x14ac:dyDescent="0.25">
      <c r="A2" s="272" t="s">
        <v>490</v>
      </c>
      <c r="B2" s="273" t="s">
        <v>441</v>
      </c>
      <c r="C2" s="273" t="s">
        <v>80</v>
      </c>
      <c r="D2" s="274" t="s">
        <v>239</v>
      </c>
      <c r="E2" s="274" t="s">
        <v>240</v>
      </c>
      <c r="F2" s="275">
        <v>1601</v>
      </c>
      <c r="G2" s="276">
        <v>100</v>
      </c>
      <c r="H2" s="277">
        <f t="shared" ref="H2:H40" si="0">F2/G2</f>
        <v>16.010000000000002</v>
      </c>
      <c r="I2" s="278">
        <f t="shared" ref="I2:I40" si="1">ROUNDUP(H2,0)</f>
        <v>17</v>
      </c>
      <c r="J2" s="279">
        <v>17</v>
      </c>
      <c r="K2" s="279">
        <v>16</v>
      </c>
      <c r="L2" s="279">
        <f t="shared" ref="L2:L37" si="2">SUM(K2*J2)</f>
        <v>272</v>
      </c>
      <c r="M2" s="275">
        <f t="shared" ref="M2:M40" si="3">SUM(J2-I2)</f>
        <v>0</v>
      </c>
      <c r="N2" s="280">
        <f t="shared" ref="N2:N40" si="4">SUM(J2*G2/F2)</f>
        <v>1.0618363522798251</v>
      </c>
      <c r="O2" s="281">
        <v>2718</v>
      </c>
      <c r="P2" s="282">
        <v>28</v>
      </c>
      <c r="Q2" s="283"/>
      <c r="R2" s="284">
        <v>16</v>
      </c>
      <c r="S2" s="285">
        <v>100</v>
      </c>
      <c r="T2" s="286">
        <v>10</v>
      </c>
      <c r="U2" s="276">
        <v>862</v>
      </c>
      <c r="V2" s="276">
        <v>30</v>
      </c>
      <c r="W2" s="287">
        <f t="shared" ref="W2:W36" si="5">AVERAGE(U2+V2)/T2</f>
        <v>89.2</v>
      </c>
      <c r="X2" s="286">
        <v>1499</v>
      </c>
      <c r="Y2" s="280">
        <f t="shared" ref="Y2:Y37" si="6">SUM(U2+V2)/X2</f>
        <v>0.59506337558372246</v>
      </c>
      <c r="Z2" s="283"/>
      <c r="AA2" s="284">
        <v>24</v>
      </c>
      <c r="AB2" s="285">
        <v>100</v>
      </c>
      <c r="AC2" s="276">
        <v>1538</v>
      </c>
      <c r="AD2" s="276">
        <v>88</v>
      </c>
      <c r="AE2" s="288">
        <f t="shared" ref="AE2:AE37" si="7">AVERAGE(AC2+AD2)/AA2</f>
        <v>67.75</v>
      </c>
      <c r="AF2" s="304">
        <v>1665</v>
      </c>
      <c r="AG2" s="280">
        <f t="shared" ref="AG2:AG37" si="8">SUM(AC2+AD2)/AF2</f>
        <v>0.97657657657657659</v>
      </c>
      <c r="AH2" s="289"/>
      <c r="AI2" s="290">
        <v>21</v>
      </c>
      <c r="AJ2" s="290">
        <v>100</v>
      </c>
      <c r="AK2" s="291">
        <v>1584</v>
      </c>
      <c r="AL2" s="291">
        <v>89</v>
      </c>
      <c r="AM2" s="292">
        <f>(Table1[[#This Row],[FY22 Grads]]+Table1[[#This Row],[FY22 Fails]])/Table1[[#This Row],[FY22 Total Courses]]</f>
        <v>79.666666666666671</v>
      </c>
      <c r="AN2" s="293">
        <v>604</v>
      </c>
      <c r="AO2" s="301">
        <f t="shared" ref="AO2:AO8" si="9">SUM(AK2+AL2)/AN2</f>
        <v>2.7698675496688741</v>
      </c>
      <c r="AP2" s="352" t="s">
        <v>490</v>
      </c>
    </row>
    <row r="3" spans="1:42" s="294" customFormat="1" ht="51.75" hidden="1" x14ac:dyDescent="0.25">
      <c r="A3" s="272" t="s">
        <v>491</v>
      </c>
      <c r="B3" s="273" t="s">
        <v>441</v>
      </c>
      <c r="C3" s="273" t="s">
        <v>80</v>
      </c>
      <c r="D3" s="274" t="s">
        <v>166</v>
      </c>
      <c r="E3" s="274" t="s">
        <v>167</v>
      </c>
      <c r="F3" s="275">
        <v>791</v>
      </c>
      <c r="G3" s="276">
        <v>45</v>
      </c>
      <c r="H3" s="277">
        <f t="shared" si="0"/>
        <v>17.577777777777779</v>
      </c>
      <c r="I3" s="278">
        <f t="shared" si="1"/>
        <v>18</v>
      </c>
      <c r="J3" s="279">
        <v>18</v>
      </c>
      <c r="K3" s="279">
        <v>24</v>
      </c>
      <c r="L3" s="279">
        <f t="shared" si="2"/>
        <v>432</v>
      </c>
      <c r="M3" s="275">
        <f t="shared" si="3"/>
        <v>0</v>
      </c>
      <c r="N3" s="280">
        <f t="shared" si="4"/>
        <v>1.0240202275600505</v>
      </c>
      <c r="O3" s="281">
        <v>640</v>
      </c>
      <c r="P3" s="282">
        <v>22</v>
      </c>
      <c r="Q3" s="283"/>
      <c r="R3" s="284">
        <v>18</v>
      </c>
      <c r="S3" s="285">
        <v>45</v>
      </c>
      <c r="T3" s="286">
        <v>13</v>
      </c>
      <c r="U3" s="276">
        <v>492</v>
      </c>
      <c r="V3" s="276">
        <v>12</v>
      </c>
      <c r="W3" s="287">
        <f t="shared" si="5"/>
        <v>38.769230769230766</v>
      </c>
      <c r="X3" s="286">
        <v>800</v>
      </c>
      <c r="Y3" s="280">
        <f t="shared" si="6"/>
        <v>0.63</v>
      </c>
      <c r="Z3" s="283"/>
      <c r="AA3" s="284">
        <v>26</v>
      </c>
      <c r="AB3" s="285">
        <v>30</v>
      </c>
      <c r="AC3" s="276">
        <v>680</v>
      </c>
      <c r="AD3" s="276">
        <v>29</v>
      </c>
      <c r="AE3" s="288">
        <f t="shared" si="7"/>
        <v>27.26923076923077</v>
      </c>
      <c r="AF3" s="286">
        <f>459+323</f>
        <v>782</v>
      </c>
      <c r="AG3" s="280">
        <f t="shared" si="8"/>
        <v>0.90664961636828645</v>
      </c>
      <c r="AH3" s="289"/>
      <c r="AI3" s="290">
        <v>17</v>
      </c>
      <c r="AJ3" s="290">
        <v>30</v>
      </c>
      <c r="AK3" s="291">
        <v>448</v>
      </c>
      <c r="AL3" s="291">
        <v>23</v>
      </c>
      <c r="AM3" s="292">
        <f>(Table1[[#This Row],[FY22 Grads]]+Table1[[#This Row],[FY22 Fails]])/Table1[[#This Row],[FY22 Total Courses]]</f>
        <v>27.705882352941178</v>
      </c>
      <c r="AN3" s="293">
        <v>221</v>
      </c>
      <c r="AO3" s="301">
        <f t="shared" si="9"/>
        <v>2.1312217194570136</v>
      </c>
      <c r="AP3" s="353" t="s">
        <v>491</v>
      </c>
    </row>
    <row r="4" spans="1:42" s="294" customFormat="1" ht="45" x14ac:dyDescent="0.25">
      <c r="A4" s="272" t="s">
        <v>492</v>
      </c>
      <c r="B4" s="273" t="s">
        <v>442</v>
      </c>
      <c r="C4" s="273" t="s">
        <v>80</v>
      </c>
      <c r="D4" s="274" t="s">
        <v>203</v>
      </c>
      <c r="E4" s="274" t="s">
        <v>204</v>
      </c>
      <c r="F4" s="275">
        <v>1606</v>
      </c>
      <c r="G4" s="276">
        <v>45</v>
      </c>
      <c r="H4" s="277">
        <f t="shared" si="0"/>
        <v>35.68888888888889</v>
      </c>
      <c r="I4" s="278">
        <f t="shared" si="1"/>
        <v>36</v>
      </c>
      <c r="J4" s="279">
        <v>27</v>
      </c>
      <c r="K4" s="279">
        <v>32</v>
      </c>
      <c r="L4" s="279">
        <f t="shared" si="2"/>
        <v>864</v>
      </c>
      <c r="M4" s="275">
        <f t="shared" si="3"/>
        <v>-9</v>
      </c>
      <c r="N4" s="280">
        <f t="shared" si="4"/>
        <v>0.75653798256537985</v>
      </c>
      <c r="O4" s="281">
        <v>919</v>
      </c>
      <c r="P4" s="282">
        <v>31</v>
      </c>
      <c r="Q4" s="283"/>
      <c r="R4" s="284">
        <v>21</v>
      </c>
      <c r="S4" s="285">
        <v>45</v>
      </c>
      <c r="T4" s="286">
        <v>15</v>
      </c>
      <c r="U4" s="276">
        <v>529</v>
      </c>
      <c r="V4" s="276">
        <v>8</v>
      </c>
      <c r="W4" s="287">
        <f t="shared" si="5"/>
        <v>35.799999999999997</v>
      </c>
      <c r="X4" s="286">
        <v>990</v>
      </c>
      <c r="Y4" s="280">
        <f t="shared" si="6"/>
        <v>0.54242424242424248</v>
      </c>
      <c r="Z4" s="283"/>
      <c r="AA4" s="284">
        <v>18</v>
      </c>
      <c r="AB4" s="285">
        <v>30</v>
      </c>
      <c r="AC4" s="276">
        <v>492</v>
      </c>
      <c r="AD4" s="276">
        <v>14</v>
      </c>
      <c r="AE4" s="288">
        <f t="shared" si="7"/>
        <v>28.111111111111111</v>
      </c>
      <c r="AF4" s="286">
        <f>294+163</f>
        <v>457</v>
      </c>
      <c r="AG4" s="299">
        <f t="shared" si="8"/>
        <v>1.1072210065645514</v>
      </c>
      <c r="AH4" s="289"/>
      <c r="AI4" s="290">
        <v>12</v>
      </c>
      <c r="AJ4" s="290">
        <v>30</v>
      </c>
      <c r="AK4" s="291">
        <v>338</v>
      </c>
      <c r="AL4" s="291">
        <v>4</v>
      </c>
      <c r="AM4" s="292">
        <f>(Table1[[#This Row],[FY22 Grads]]+Table1[[#This Row],[FY22 Fails]])/Table1[[#This Row],[FY22 Total Courses]]</f>
        <v>28.5</v>
      </c>
      <c r="AN4" s="293">
        <v>384</v>
      </c>
      <c r="AO4" s="280">
        <f t="shared" si="9"/>
        <v>0.890625</v>
      </c>
      <c r="AP4" s="353" t="s">
        <v>492</v>
      </c>
    </row>
    <row r="5" spans="1:42" s="294" customFormat="1" ht="45" hidden="1" x14ac:dyDescent="0.25">
      <c r="A5" s="272" t="s">
        <v>493</v>
      </c>
      <c r="B5" s="273" t="s">
        <v>345</v>
      </c>
      <c r="C5" s="273" t="s">
        <v>80</v>
      </c>
      <c r="D5" s="274" t="s">
        <v>190</v>
      </c>
      <c r="E5" s="274" t="s">
        <v>191</v>
      </c>
      <c r="F5" s="275">
        <v>1075</v>
      </c>
      <c r="G5" s="276">
        <v>40</v>
      </c>
      <c r="H5" s="277">
        <f t="shared" si="0"/>
        <v>26.875</v>
      </c>
      <c r="I5" s="278">
        <f t="shared" si="1"/>
        <v>27</v>
      </c>
      <c r="J5" s="279">
        <v>19</v>
      </c>
      <c r="K5" s="279">
        <v>24</v>
      </c>
      <c r="L5" s="279">
        <f t="shared" si="2"/>
        <v>456</v>
      </c>
      <c r="M5" s="275">
        <f t="shared" si="3"/>
        <v>-8</v>
      </c>
      <c r="N5" s="280">
        <f t="shared" si="4"/>
        <v>0.7069767441860465</v>
      </c>
      <c r="O5" s="281">
        <v>727</v>
      </c>
      <c r="P5" s="282">
        <v>19</v>
      </c>
      <c r="Q5" s="283"/>
      <c r="R5" s="284">
        <v>15</v>
      </c>
      <c r="S5" s="285">
        <v>40</v>
      </c>
      <c r="T5" s="286">
        <v>11</v>
      </c>
      <c r="U5" s="276">
        <v>378</v>
      </c>
      <c r="V5" s="276">
        <v>7</v>
      </c>
      <c r="W5" s="287">
        <f t="shared" si="5"/>
        <v>35</v>
      </c>
      <c r="X5" s="286">
        <v>893</v>
      </c>
      <c r="Y5" s="280">
        <f t="shared" si="6"/>
        <v>0.43113101903695411</v>
      </c>
      <c r="Z5" s="283"/>
      <c r="AA5" s="284">
        <v>12</v>
      </c>
      <c r="AB5" s="285">
        <v>40</v>
      </c>
      <c r="AC5" s="276">
        <v>436</v>
      </c>
      <c r="AD5" s="276">
        <v>5</v>
      </c>
      <c r="AE5" s="288">
        <f t="shared" si="7"/>
        <v>36.75</v>
      </c>
      <c r="AF5" s="286">
        <v>289</v>
      </c>
      <c r="AG5" s="299">
        <f t="shared" si="8"/>
        <v>1.5259515570934257</v>
      </c>
      <c r="AH5" s="289"/>
      <c r="AI5" s="290">
        <v>14</v>
      </c>
      <c r="AJ5" s="290">
        <v>40</v>
      </c>
      <c r="AK5" s="291">
        <v>514</v>
      </c>
      <c r="AL5" s="291">
        <v>10</v>
      </c>
      <c r="AM5" s="292">
        <f>(Table1[[#This Row],[FY22 Grads]]+Table1[[#This Row],[FY22 Fails]])/Table1[[#This Row],[FY22 Total Courses]]</f>
        <v>37.428571428571431</v>
      </c>
      <c r="AN5" s="293">
        <v>253</v>
      </c>
      <c r="AO5" s="303">
        <f t="shared" si="9"/>
        <v>2.0711462450592886</v>
      </c>
      <c r="AP5" s="353" t="s">
        <v>493</v>
      </c>
    </row>
    <row r="6" spans="1:42" s="294" customFormat="1" ht="26.25" hidden="1" x14ac:dyDescent="0.25">
      <c r="A6" s="272" t="s">
        <v>494</v>
      </c>
      <c r="B6" s="273" t="s">
        <v>442</v>
      </c>
      <c r="C6" s="273" t="s">
        <v>80</v>
      </c>
      <c r="D6" s="274" t="s">
        <v>214</v>
      </c>
      <c r="E6" s="274">
        <v>1228</v>
      </c>
      <c r="F6" s="275">
        <v>1162</v>
      </c>
      <c r="G6" s="276">
        <v>45</v>
      </c>
      <c r="H6" s="277">
        <f t="shared" si="0"/>
        <v>25.822222222222223</v>
      </c>
      <c r="I6" s="278">
        <f t="shared" si="1"/>
        <v>26</v>
      </c>
      <c r="J6" s="279">
        <v>23</v>
      </c>
      <c r="K6" s="279">
        <v>40</v>
      </c>
      <c r="L6" s="279">
        <f t="shared" si="2"/>
        <v>920</v>
      </c>
      <c r="M6" s="275">
        <f t="shared" si="3"/>
        <v>-3</v>
      </c>
      <c r="N6" s="280">
        <f t="shared" si="4"/>
        <v>0.89070567986230642</v>
      </c>
      <c r="O6" s="281">
        <v>1051</v>
      </c>
      <c r="P6" s="282">
        <v>36</v>
      </c>
      <c r="Q6" s="283"/>
      <c r="R6" s="284">
        <v>23</v>
      </c>
      <c r="S6" s="285">
        <v>45</v>
      </c>
      <c r="T6" s="286">
        <v>17</v>
      </c>
      <c r="U6" s="276">
        <v>564</v>
      </c>
      <c r="V6" s="276">
        <v>4</v>
      </c>
      <c r="W6" s="287">
        <f t="shared" si="5"/>
        <v>33.411764705882355</v>
      </c>
      <c r="X6" s="286">
        <v>1033</v>
      </c>
      <c r="Y6" s="280">
        <f t="shared" si="6"/>
        <v>0.54985479186834463</v>
      </c>
      <c r="Z6" s="283"/>
      <c r="AA6" s="284">
        <v>20</v>
      </c>
      <c r="AB6" s="285">
        <v>30</v>
      </c>
      <c r="AC6" s="276">
        <v>558</v>
      </c>
      <c r="AD6" s="276">
        <v>10</v>
      </c>
      <c r="AE6" s="288">
        <f t="shared" si="7"/>
        <v>28.4</v>
      </c>
      <c r="AF6" s="304">
        <v>607</v>
      </c>
      <c r="AG6" s="280">
        <f t="shared" si="8"/>
        <v>0.93574958813838549</v>
      </c>
      <c r="AH6" s="289"/>
      <c r="AI6" s="290">
        <v>14</v>
      </c>
      <c r="AJ6" s="290">
        <v>30</v>
      </c>
      <c r="AK6" s="291">
        <v>307</v>
      </c>
      <c r="AL6" s="291">
        <v>0</v>
      </c>
      <c r="AM6" s="292">
        <f>(Table1[[#This Row],[FY22 Grads]]+Table1[[#This Row],[FY22 Fails]])/Table1[[#This Row],[FY22 Total Courses]]</f>
        <v>21.928571428571427</v>
      </c>
      <c r="AN6" s="293">
        <v>610</v>
      </c>
      <c r="AO6" s="280">
        <f t="shared" si="9"/>
        <v>0.50327868852459012</v>
      </c>
      <c r="AP6" s="353" t="s">
        <v>494</v>
      </c>
    </row>
    <row r="7" spans="1:42" s="294" customFormat="1" ht="30" hidden="1" x14ac:dyDescent="0.25">
      <c r="A7" s="272" t="s">
        <v>495</v>
      </c>
      <c r="B7" s="273" t="s">
        <v>441</v>
      </c>
      <c r="C7" s="273" t="s">
        <v>80</v>
      </c>
      <c r="D7" s="274" t="s">
        <v>118</v>
      </c>
      <c r="E7" s="274" t="s">
        <v>119</v>
      </c>
      <c r="F7" s="275">
        <v>464</v>
      </c>
      <c r="G7" s="276">
        <v>45</v>
      </c>
      <c r="H7" s="277">
        <f t="shared" si="0"/>
        <v>10.311111111111112</v>
      </c>
      <c r="I7" s="278">
        <f t="shared" si="1"/>
        <v>11</v>
      </c>
      <c r="J7" s="279">
        <v>11</v>
      </c>
      <c r="K7" s="279">
        <v>24</v>
      </c>
      <c r="L7" s="279">
        <f t="shared" si="2"/>
        <v>264</v>
      </c>
      <c r="M7" s="275">
        <f t="shared" si="3"/>
        <v>0</v>
      </c>
      <c r="N7" s="280">
        <f t="shared" si="4"/>
        <v>1.0668103448275863</v>
      </c>
      <c r="O7" s="281">
        <v>465</v>
      </c>
      <c r="P7" s="282">
        <v>16</v>
      </c>
      <c r="Q7" s="283"/>
      <c r="R7" s="284">
        <v>10</v>
      </c>
      <c r="S7" s="285">
        <v>45</v>
      </c>
      <c r="T7" s="286">
        <v>6</v>
      </c>
      <c r="U7" s="276">
        <v>187</v>
      </c>
      <c r="V7" s="276">
        <v>9</v>
      </c>
      <c r="W7" s="287">
        <f t="shared" si="5"/>
        <v>32.666666666666664</v>
      </c>
      <c r="X7" s="286">
        <v>406</v>
      </c>
      <c r="Y7" s="280">
        <f t="shared" si="6"/>
        <v>0.48275862068965519</v>
      </c>
      <c r="Z7" s="283"/>
      <c r="AA7" s="284">
        <v>17</v>
      </c>
      <c r="AB7" s="285">
        <v>30</v>
      </c>
      <c r="AC7" s="276">
        <v>284</v>
      </c>
      <c r="AD7" s="276">
        <v>10</v>
      </c>
      <c r="AE7" s="288">
        <f t="shared" si="7"/>
        <v>17.294117647058822</v>
      </c>
      <c r="AF7" s="286">
        <f>228+261</f>
        <v>489</v>
      </c>
      <c r="AG7" s="280">
        <f t="shared" si="8"/>
        <v>0.60122699386503065</v>
      </c>
      <c r="AH7" s="289"/>
      <c r="AI7" s="290">
        <v>10</v>
      </c>
      <c r="AJ7" s="290">
        <v>30</v>
      </c>
      <c r="AK7" s="291">
        <v>249</v>
      </c>
      <c r="AL7" s="291">
        <v>4</v>
      </c>
      <c r="AM7" s="292">
        <f>(Table1[[#This Row],[FY22 Grads]]+Table1[[#This Row],[FY22 Fails]])/Table1[[#This Row],[FY22 Total Courses]]</f>
        <v>25.3</v>
      </c>
      <c r="AN7" s="293">
        <v>352</v>
      </c>
      <c r="AO7" s="280">
        <f t="shared" si="9"/>
        <v>0.71875</v>
      </c>
      <c r="AP7" s="353" t="s">
        <v>495</v>
      </c>
    </row>
    <row r="8" spans="1:42" s="294" customFormat="1" ht="30" hidden="1" x14ac:dyDescent="0.25">
      <c r="A8" s="272" t="s">
        <v>496</v>
      </c>
      <c r="B8" s="273" t="s">
        <v>442</v>
      </c>
      <c r="C8" s="273" t="s">
        <v>80</v>
      </c>
      <c r="D8" s="274" t="s">
        <v>143</v>
      </c>
      <c r="E8" s="274" t="s">
        <v>144</v>
      </c>
      <c r="F8" s="275">
        <v>915</v>
      </c>
      <c r="G8" s="276">
        <v>45</v>
      </c>
      <c r="H8" s="277">
        <f t="shared" si="0"/>
        <v>20.333333333333332</v>
      </c>
      <c r="I8" s="278">
        <f t="shared" si="1"/>
        <v>21</v>
      </c>
      <c r="J8" s="279">
        <v>21</v>
      </c>
      <c r="K8" s="279">
        <v>24</v>
      </c>
      <c r="L8" s="279">
        <f t="shared" si="2"/>
        <v>504</v>
      </c>
      <c r="M8" s="275">
        <f t="shared" si="3"/>
        <v>0</v>
      </c>
      <c r="N8" s="280">
        <f t="shared" si="4"/>
        <v>1.0327868852459017</v>
      </c>
      <c r="O8" s="281">
        <v>915</v>
      </c>
      <c r="P8" s="282">
        <v>31</v>
      </c>
      <c r="Q8" s="283"/>
      <c r="R8" s="284">
        <v>16</v>
      </c>
      <c r="S8" s="285">
        <v>45</v>
      </c>
      <c r="T8" s="286">
        <v>15</v>
      </c>
      <c r="U8" s="276">
        <v>448</v>
      </c>
      <c r="V8" s="276">
        <v>2</v>
      </c>
      <c r="W8" s="287">
        <f t="shared" si="5"/>
        <v>30</v>
      </c>
      <c r="X8" s="286">
        <v>851</v>
      </c>
      <c r="Y8" s="280">
        <f t="shared" si="6"/>
        <v>0.52878965922444188</v>
      </c>
      <c r="Z8" s="283"/>
      <c r="AA8" s="284">
        <v>15</v>
      </c>
      <c r="AB8" s="285">
        <v>30</v>
      </c>
      <c r="AC8" s="276">
        <v>400</v>
      </c>
      <c r="AD8" s="276">
        <v>4</v>
      </c>
      <c r="AE8" s="288">
        <f t="shared" si="7"/>
        <v>26.933333333333334</v>
      </c>
      <c r="AF8" s="286">
        <v>273</v>
      </c>
      <c r="AG8" s="299">
        <f t="shared" si="8"/>
        <v>1.4798534798534799</v>
      </c>
      <c r="AH8" s="289"/>
      <c r="AI8" s="290">
        <v>11</v>
      </c>
      <c r="AJ8" s="290">
        <v>30</v>
      </c>
      <c r="AK8" s="291">
        <v>314</v>
      </c>
      <c r="AL8" s="291">
        <v>3</v>
      </c>
      <c r="AM8" s="292">
        <f>(Table1[[#This Row],[FY22 Grads]]+Table1[[#This Row],[FY22 Fails]])/Table1[[#This Row],[FY22 Total Courses]]</f>
        <v>28.818181818181817</v>
      </c>
      <c r="AN8" s="293">
        <v>207</v>
      </c>
      <c r="AO8" s="300">
        <f t="shared" si="9"/>
        <v>1.5314009661835748</v>
      </c>
      <c r="AP8" s="353" t="s">
        <v>496</v>
      </c>
    </row>
    <row r="9" spans="1:42" s="294" customFormat="1" ht="30" hidden="1" x14ac:dyDescent="0.25">
      <c r="A9" s="297" t="s">
        <v>17</v>
      </c>
      <c r="B9" s="273" t="s">
        <v>344</v>
      </c>
      <c r="C9" s="295" t="s">
        <v>7</v>
      </c>
      <c r="D9" s="274" t="s">
        <v>137</v>
      </c>
      <c r="E9" s="274">
        <v>3682</v>
      </c>
      <c r="F9" s="275">
        <v>661</v>
      </c>
      <c r="G9" s="276">
        <v>40</v>
      </c>
      <c r="H9" s="277">
        <f t="shared" si="0"/>
        <v>16.524999999999999</v>
      </c>
      <c r="I9" s="278">
        <f t="shared" si="1"/>
        <v>17</v>
      </c>
      <c r="J9" s="279">
        <v>23</v>
      </c>
      <c r="K9" s="279">
        <v>40</v>
      </c>
      <c r="L9" s="279">
        <f t="shared" si="2"/>
        <v>920</v>
      </c>
      <c r="M9" s="275">
        <f t="shared" si="3"/>
        <v>6</v>
      </c>
      <c r="N9" s="280">
        <f t="shared" si="4"/>
        <v>1.3918305597579426</v>
      </c>
      <c r="O9" s="281">
        <v>571</v>
      </c>
      <c r="P9" s="282">
        <v>15</v>
      </c>
      <c r="Q9" s="283"/>
      <c r="R9" s="284">
        <v>22</v>
      </c>
      <c r="S9" s="285">
        <v>40</v>
      </c>
      <c r="T9" s="286">
        <v>18</v>
      </c>
      <c r="U9" s="276">
        <v>462</v>
      </c>
      <c r="V9" s="276">
        <v>19</v>
      </c>
      <c r="W9" s="287">
        <f t="shared" si="5"/>
        <v>26.722222222222221</v>
      </c>
      <c r="X9" s="286">
        <v>573</v>
      </c>
      <c r="Y9" s="280">
        <f t="shared" si="6"/>
        <v>0.83944153577661429</v>
      </c>
      <c r="Z9" s="283"/>
      <c r="AA9" s="284">
        <v>23</v>
      </c>
      <c r="AB9" s="285">
        <v>40</v>
      </c>
      <c r="AC9" s="276">
        <v>610</v>
      </c>
      <c r="AD9" s="276">
        <v>3</v>
      </c>
      <c r="AE9" s="288">
        <f t="shared" si="7"/>
        <v>26.652173913043477</v>
      </c>
      <c r="AF9" s="286">
        <v>760</v>
      </c>
      <c r="AG9" s="280">
        <f t="shared" si="8"/>
        <v>0.80657894736842106</v>
      </c>
      <c r="AH9" s="289"/>
      <c r="AI9" s="290"/>
      <c r="AJ9" s="290"/>
      <c r="AK9" s="291"/>
      <c r="AL9" s="291"/>
      <c r="AM9" s="292"/>
      <c r="AN9" s="293"/>
      <c r="AO9" s="280"/>
      <c r="AP9" s="353" t="s">
        <v>17</v>
      </c>
    </row>
    <row r="10" spans="1:42" s="294" customFormat="1" ht="45" hidden="1" x14ac:dyDescent="0.25">
      <c r="A10" s="272" t="s">
        <v>497</v>
      </c>
      <c r="B10" s="273" t="s">
        <v>345</v>
      </c>
      <c r="C10" s="273" t="s">
        <v>80</v>
      </c>
      <c r="D10" s="274" t="s">
        <v>194</v>
      </c>
      <c r="E10" s="274" t="s">
        <v>195</v>
      </c>
      <c r="F10" s="275">
        <v>553</v>
      </c>
      <c r="G10" s="276">
        <v>30</v>
      </c>
      <c r="H10" s="277">
        <f t="shared" si="0"/>
        <v>18.433333333333334</v>
      </c>
      <c r="I10" s="278">
        <f t="shared" si="1"/>
        <v>19</v>
      </c>
      <c r="J10" s="279">
        <v>16</v>
      </c>
      <c r="K10" s="279">
        <v>32</v>
      </c>
      <c r="L10" s="279">
        <f t="shared" si="2"/>
        <v>512</v>
      </c>
      <c r="M10" s="275">
        <f t="shared" si="3"/>
        <v>-3</v>
      </c>
      <c r="N10" s="280">
        <f t="shared" si="4"/>
        <v>0.86799276672694392</v>
      </c>
      <c r="O10" s="281">
        <v>510</v>
      </c>
      <c r="P10" s="282">
        <v>17</v>
      </c>
      <c r="Q10" s="283"/>
      <c r="R10" s="284">
        <v>10</v>
      </c>
      <c r="S10" s="285">
        <v>30</v>
      </c>
      <c r="T10" s="286">
        <v>7</v>
      </c>
      <c r="U10" s="276">
        <v>180</v>
      </c>
      <c r="V10" s="276">
        <v>6</v>
      </c>
      <c r="W10" s="287">
        <f t="shared" si="5"/>
        <v>26.571428571428573</v>
      </c>
      <c r="X10" s="286">
        <v>619</v>
      </c>
      <c r="Y10" s="280">
        <f t="shared" si="6"/>
        <v>0.30048465266558966</v>
      </c>
      <c r="Z10" s="283"/>
      <c r="AA10" s="284">
        <v>11</v>
      </c>
      <c r="AB10" s="285">
        <v>30</v>
      </c>
      <c r="AC10" s="276">
        <v>250</v>
      </c>
      <c r="AD10" s="276">
        <v>10</v>
      </c>
      <c r="AE10" s="288">
        <f t="shared" si="7"/>
        <v>23.636363636363637</v>
      </c>
      <c r="AF10" s="286">
        <f>347+96</f>
        <v>443</v>
      </c>
      <c r="AG10" s="280">
        <f t="shared" si="8"/>
        <v>0.58690744920993232</v>
      </c>
      <c r="AH10" s="289"/>
      <c r="AI10" s="290">
        <v>8</v>
      </c>
      <c r="AJ10" s="290">
        <v>30</v>
      </c>
      <c r="AK10" s="291">
        <v>150</v>
      </c>
      <c r="AL10" s="291">
        <v>3</v>
      </c>
      <c r="AM10" s="292">
        <f>(Table1[[#This Row],[FY22 Grads]]+Table1[[#This Row],[FY22 Fails]])/Table1[[#This Row],[FY22 Total Courses]]</f>
        <v>19.125</v>
      </c>
      <c r="AN10" s="293">
        <v>132</v>
      </c>
      <c r="AO10" s="280">
        <f t="shared" ref="AO10:AO21" si="10">SUM(AK10+AL10)/AN10</f>
        <v>1.1590909090909092</v>
      </c>
      <c r="AP10" s="353" t="s">
        <v>497</v>
      </c>
    </row>
    <row r="11" spans="1:42" s="294" customFormat="1" ht="30" hidden="1" x14ac:dyDescent="0.25">
      <c r="A11" s="272" t="s">
        <v>52</v>
      </c>
      <c r="B11" s="273" t="s">
        <v>345</v>
      </c>
      <c r="C11" s="273" t="s">
        <v>80</v>
      </c>
      <c r="D11" s="274" t="s">
        <v>220</v>
      </c>
      <c r="E11" s="274">
        <v>3555</v>
      </c>
      <c r="F11" s="275">
        <v>685</v>
      </c>
      <c r="G11" s="276">
        <v>30</v>
      </c>
      <c r="H11" s="277">
        <f t="shared" si="0"/>
        <v>22.833333333333332</v>
      </c>
      <c r="I11" s="278">
        <f t="shared" si="1"/>
        <v>23</v>
      </c>
      <c r="J11" s="279">
        <v>16</v>
      </c>
      <c r="K11" s="279">
        <v>32</v>
      </c>
      <c r="L11" s="279">
        <f t="shared" si="2"/>
        <v>512</v>
      </c>
      <c r="M11" s="275">
        <f t="shared" si="3"/>
        <v>-7</v>
      </c>
      <c r="N11" s="280">
        <f t="shared" si="4"/>
        <v>0.7007299270072993</v>
      </c>
      <c r="O11" s="281">
        <v>657</v>
      </c>
      <c r="P11" s="282">
        <v>22</v>
      </c>
      <c r="Q11" s="283"/>
      <c r="R11" s="284">
        <v>10</v>
      </c>
      <c r="S11" s="285">
        <v>30</v>
      </c>
      <c r="T11" s="286">
        <v>8</v>
      </c>
      <c r="U11" s="276">
        <v>202</v>
      </c>
      <c r="V11" s="276">
        <v>6</v>
      </c>
      <c r="W11" s="287">
        <f t="shared" si="5"/>
        <v>26</v>
      </c>
      <c r="X11" s="286">
        <v>605</v>
      </c>
      <c r="Y11" s="280">
        <f t="shared" si="6"/>
        <v>0.34380165289256198</v>
      </c>
      <c r="Z11" s="283"/>
      <c r="AA11" s="284">
        <v>7</v>
      </c>
      <c r="AB11" s="285">
        <v>30</v>
      </c>
      <c r="AC11" s="276">
        <v>163</v>
      </c>
      <c r="AD11" s="276">
        <v>6</v>
      </c>
      <c r="AE11" s="288">
        <f t="shared" si="7"/>
        <v>24.142857142857142</v>
      </c>
      <c r="AF11" s="304">
        <v>168</v>
      </c>
      <c r="AG11" s="299">
        <f t="shared" si="8"/>
        <v>1.0059523809523809</v>
      </c>
      <c r="AH11" s="289"/>
      <c r="AI11" s="290">
        <v>4</v>
      </c>
      <c r="AJ11" s="290">
        <v>30</v>
      </c>
      <c r="AK11" s="291">
        <v>113</v>
      </c>
      <c r="AL11" s="291">
        <v>0</v>
      </c>
      <c r="AM11" s="292">
        <f>(Table1[[#This Row],[FY22 Grads]]+Table1[[#This Row],[FY22 Fails]])/Table1[[#This Row],[FY22 Total Courses]]</f>
        <v>28.25</v>
      </c>
      <c r="AN11" s="293">
        <v>191</v>
      </c>
      <c r="AO11" s="280">
        <f t="shared" si="10"/>
        <v>0.59162303664921467</v>
      </c>
      <c r="AP11" s="353" t="s">
        <v>52</v>
      </c>
    </row>
    <row r="12" spans="1:42" s="294" customFormat="1" ht="30" hidden="1" x14ac:dyDescent="0.25">
      <c r="A12" s="272" t="s">
        <v>498</v>
      </c>
      <c r="B12" s="273" t="s">
        <v>442</v>
      </c>
      <c r="C12" s="273" t="s">
        <v>80</v>
      </c>
      <c r="D12" s="274" t="s">
        <v>158</v>
      </c>
      <c r="E12" s="274" t="s">
        <v>159</v>
      </c>
      <c r="F12" s="275">
        <v>721</v>
      </c>
      <c r="G12" s="276">
        <v>45</v>
      </c>
      <c r="H12" s="277">
        <f t="shared" si="0"/>
        <v>16.022222222222222</v>
      </c>
      <c r="I12" s="278">
        <f t="shared" si="1"/>
        <v>17</v>
      </c>
      <c r="J12" s="279">
        <v>17</v>
      </c>
      <c r="K12" s="279">
        <v>30</v>
      </c>
      <c r="L12" s="279">
        <f t="shared" si="2"/>
        <v>510</v>
      </c>
      <c r="M12" s="275">
        <f t="shared" si="3"/>
        <v>0</v>
      </c>
      <c r="N12" s="280">
        <f t="shared" si="4"/>
        <v>1.0610263522884882</v>
      </c>
      <c r="O12" s="281">
        <v>702</v>
      </c>
      <c r="P12" s="282">
        <v>24</v>
      </c>
      <c r="Q12" s="283"/>
      <c r="R12" s="284">
        <v>17</v>
      </c>
      <c r="S12" s="285">
        <v>45</v>
      </c>
      <c r="T12" s="286">
        <v>13</v>
      </c>
      <c r="U12" s="276">
        <v>320</v>
      </c>
      <c r="V12" s="276">
        <v>3</v>
      </c>
      <c r="W12" s="287">
        <f t="shared" si="5"/>
        <v>24.846153846153847</v>
      </c>
      <c r="X12" s="286">
        <v>762</v>
      </c>
      <c r="Y12" s="280">
        <f t="shared" si="6"/>
        <v>0.42388451443569553</v>
      </c>
      <c r="Z12" s="283"/>
      <c r="AA12" s="284">
        <v>12</v>
      </c>
      <c r="AB12" s="285">
        <v>30</v>
      </c>
      <c r="AC12" s="276">
        <v>307</v>
      </c>
      <c r="AD12" s="276">
        <v>8</v>
      </c>
      <c r="AE12" s="288">
        <f t="shared" si="7"/>
        <v>26.25</v>
      </c>
      <c r="AF12" s="286">
        <v>446</v>
      </c>
      <c r="AG12" s="280">
        <f t="shared" si="8"/>
        <v>0.70627802690582964</v>
      </c>
      <c r="AH12" s="289"/>
      <c r="AI12" s="290">
        <v>10</v>
      </c>
      <c r="AJ12" s="290">
        <v>30</v>
      </c>
      <c r="AK12" s="291">
        <v>231</v>
      </c>
      <c r="AL12" s="291">
        <v>3</v>
      </c>
      <c r="AM12" s="292">
        <f>(Table1[[#This Row],[FY22 Grads]]+Table1[[#This Row],[FY22 Fails]])/Table1[[#This Row],[FY22 Total Courses]]</f>
        <v>23.4</v>
      </c>
      <c r="AN12" s="293">
        <v>498</v>
      </c>
      <c r="AO12" s="280">
        <f t="shared" si="10"/>
        <v>0.46987951807228917</v>
      </c>
      <c r="AP12" s="353" t="s">
        <v>498</v>
      </c>
    </row>
    <row r="13" spans="1:42" s="294" customFormat="1" ht="30" hidden="1" x14ac:dyDescent="0.25">
      <c r="A13" s="297" t="s">
        <v>34</v>
      </c>
      <c r="B13" s="273" t="s">
        <v>344</v>
      </c>
      <c r="C13" s="295" t="s">
        <v>7</v>
      </c>
      <c r="D13" s="274" t="s">
        <v>184</v>
      </c>
      <c r="E13" s="274" t="s">
        <v>185</v>
      </c>
      <c r="F13" s="275">
        <v>436</v>
      </c>
      <c r="G13" s="276">
        <v>30</v>
      </c>
      <c r="H13" s="277">
        <f t="shared" si="0"/>
        <v>14.533333333333333</v>
      </c>
      <c r="I13" s="278">
        <f t="shared" si="1"/>
        <v>15</v>
      </c>
      <c r="J13" s="279">
        <v>8</v>
      </c>
      <c r="K13" s="279">
        <v>8</v>
      </c>
      <c r="L13" s="279">
        <f t="shared" si="2"/>
        <v>64</v>
      </c>
      <c r="M13" s="275">
        <f t="shared" si="3"/>
        <v>-7</v>
      </c>
      <c r="N13" s="280">
        <f t="shared" si="4"/>
        <v>0.55045871559633031</v>
      </c>
      <c r="O13" s="281">
        <v>1073</v>
      </c>
      <c r="P13" s="282">
        <v>36</v>
      </c>
      <c r="Q13" s="283"/>
      <c r="R13" s="284">
        <v>6</v>
      </c>
      <c r="S13" s="285">
        <v>30</v>
      </c>
      <c r="T13" s="286">
        <v>5</v>
      </c>
      <c r="U13" s="276">
        <v>121</v>
      </c>
      <c r="V13" s="276">
        <v>0</v>
      </c>
      <c r="W13" s="287">
        <f t="shared" si="5"/>
        <v>24.2</v>
      </c>
      <c r="X13" s="286">
        <v>1090</v>
      </c>
      <c r="Y13" s="280">
        <f t="shared" si="6"/>
        <v>0.11100917431192661</v>
      </c>
      <c r="Z13" s="283"/>
      <c r="AA13" s="284">
        <v>9</v>
      </c>
      <c r="AB13" s="285">
        <v>30</v>
      </c>
      <c r="AC13" s="276">
        <v>146</v>
      </c>
      <c r="AD13" s="276">
        <v>0</v>
      </c>
      <c r="AE13" s="288">
        <f t="shared" si="7"/>
        <v>16.222222222222221</v>
      </c>
      <c r="AF13" s="286">
        <v>300</v>
      </c>
      <c r="AG13" s="280">
        <f t="shared" si="8"/>
        <v>0.48666666666666669</v>
      </c>
      <c r="AH13" s="289"/>
      <c r="AI13" s="290">
        <v>9</v>
      </c>
      <c r="AJ13" s="290">
        <v>30</v>
      </c>
      <c r="AK13" s="291">
        <v>192</v>
      </c>
      <c r="AL13" s="291">
        <v>0</v>
      </c>
      <c r="AM13" s="292">
        <f>(Table1[[#This Row],[FY22 Grads]]+Table1[[#This Row],[FY22 Fails]])/Table1[[#This Row],[FY22 Total Courses]]</f>
        <v>21.333333333333332</v>
      </c>
      <c r="AN13" s="293">
        <v>270</v>
      </c>
      <c r="AO13" s="280">
        <f t="shared" si="10"/>
        <v>0.71111111111111114</v>
      </c>
      <c r="AP13" s="353" t="s">
        <v>34</v>
      </c>
    </row>
    <row r="14" spans="1:42" s="294" customFormat="1" ht="60" hidden="1" x14ac:dyDescent="0.25">
      <c r="A14" s="272" t="s">
        <v>499</v>
      </c>
      <c r="B14" s="273" t="s">
        <v>441</v>
      </c>
      <c r="C14" s="273" t="s">
        <v>80</v>
      </c>
      <c r="D14" s="274" t="s">
        <v>225</v>
      </c>
      <c r="E14" s="274" t="s">
        <v>226</v>
      </c>
      <c r="F14" s="275">
        <v>808</v>
      </c>
      <c r="G14" s="276">
        <v>45</v>
      </c>
      <c r="H14" s="277">
        <f t="shared" si="0"/>
        <v>17.955555555555556</v>
      </c>
      <c r="I14" s="278">
        <f t="shared" si="1"/>
        <v>18</v>
      </c>
      <c r="J14" s="279">
        <v>18</v>
      </c>
      <c r="K14" s="279">
        <v>16</v>
      </c>
      <c r="L14" s="279">
        <f t="shared" si="2"/>
        <v>288</v>
      </c>
      <c r="M14" s="275">
        <f t="shared" si="3"/>
        <v>0</v>
      </c>
      <c r="N14" s="280">
        <f t="shared" si="4"/>
        <v>1.0024752475247525</v>
      </c>
      <c r="O14" s="281">
        <v>659</v>
      </c>
      <c r="P14" s="282">
        <v>22</v>
      </c>
      <c r="Q14" s="283"/>
      <c r="R14" s="284">
        <v>15</v>
      </c>
      <c r="S14" s="285">
        <v>30</v>
      </c>
      <c r="T14" s="286">
        <v>11</v>
      </c>
      <c r="U14" s="276">
        <v>246</v>
      </c>
      <c r="V14" s="276">
        <v>19</v>
      </c>
      <c r="W14" s="287">
        <f t="shared" si="5"/>
        <v>24.09090909090909</v>
      </c>
      <c r="X14" s="286">
        <v>595</v>
      </c>
      <c r="Y14" s="280">
        <f t="shared" si="6"/>
        <v>0.44537815126050423</v>
      </c>
      <c r="Z14" s="283"/>
      <c r="AA14" s="284">
        <v>8</v>
      </c>
      <c r="AB14" s="285">
        <v>30</v>
      </c>
      <c r="AC14" s="276">
        <v>173</v>
      </c>
      <c r="AD14" s="276">
        <v>24</v>
      </c>
      <c r="AE14" s="288">
        <f t="shared" si="7"/>
        <v>24.625</v>
      </c>
      <c r="AF14" s="304">
        <v>220</v>
      </c>
      <c r="AG14" s="280">
        <f t="shared" si="8"/>
        <v>0.8954545454545455</v>
      </c>
      <c r="AH14" s="289"/>
      <c r="AI14" s="290">
        <v>10</v>
      </c>
      <c r="AJ14" s="290">
        <v>30</v>
      </c>
      <c r="AK14" s="291">
        <v>244</v>
      </c>
      <c r="AL14" s="291">
        <v>22</v>
      </c>
      <c r="AM14" s="292">
        <f>(Table1[[#This Row],[FY22 Grads]]+Table1[[#This Row],[FY22 Fails]])/Table1[[#This Row],[FY22 Total Courses]]</f>
        <v>26.6</v>
      </c>
      <c r="AN14" s="293">
        <v>305</v>
      </c>
      <c r="AO14" s="308">
        <f t="shared" si="10"/>
        <v>0.87213114754098364</v>
      </c>
      <c r="AP14" s="353" t="s">
        <v>499</v>
      </c>
    </row>
    <row r="15" spans="1:42" s="294" customFormat="1" ht="60" hidden="1" x14ac:dyDescent="0.25">
      <c r="A15" s="297" t="s">
        <v>31</v>
      </c>
      <c r="B15" s="273" t="s">
        <v>344</v>
      </c>
      <c r="C15" s="295" t="s">
        <v>7</v>
      </c>
      <c r="D15" s="274" t="s">
        <v>173</v>
      </c>
      <c r="E15" s="274" t="s">
        <v>174</v>
      </c>
      <c r="F15" s="275">
        <v>1705</v>
      </c>
      <c r="G15" s="276">
        <v>30</v>
      </c>
      <c r="H15" s="277">
        <f t="shared" si="0"/>
        <v>56.833333333333336</v>
      </c>
      <c r="I15" s="278">
        <f t="shared" si="1"/>
        <v>57</v>
      </c>
      <c r="J15" s="279">
        <v>25</v>
      </c>
      <c r="K15" s="279">
        <v>8</v>
      </c>
      <c r="L15" s="279">
        <f t="shared" si="2"/>
        <v>200</v>
      </c>
      <c r="M15" s="275">
        <f t="shared" si="3"/>
        <v>-32</v>
      </c>
      <c r="N15" s="280">
        <f t="shared" si="4"/>
        <v>0.43988269794721407</v>
      </c>
      <c r="O15" s="281">
        <v>1432</v>
      </c>
      <c r="P15" s="282">
        <v>48</v>
      </c>
      <c r="Q15" s="283"/>
      <c r="R15" s="284">
        <v>19</v>
      </c>
      <c r="S15" s="285">
        <v>30</v>
      </c>
      <c r="T15" s="286">
        <v>12</v>
      </c>
      <c r="U15" s="276">
        <v>287</v>
      </c>
      <c r="V15" s="276">
        <v>0</v>
      </c>
      <c r="W15" s="287">
        <f t="shared" si="5"/>
        <v>23.916666666666668</v>
      </c>
      <c r="X15" s="286">
        <v>1595</v>
      </c>
      <c r="Y15" s="280">
        <f t="shared" si="6"/>
        <v>0.17993730407523512</v>
      </c>
      <c r="Z15" s="283"/>
      <c r="AA15" s="284">
        <v>34</v>
      </c>
      <c r="AB15" s="285">
        <v>30</v>
      </c>
      <c r="AC15" s="276">
        <v>652</v>
      </c>
      <c r="AD15" s="276">
        <v>12</v>
      </c>
      <c r="AE15" s="288">
        <f t="shared" si="7"/>
        <v>19.529411764705884</v>
      </c>
      <c r="AF15" s="286">
        <v>930</v>
      </c>
      <c r="AG15" s="280">
        <f t="shared" si="8"/>
        <v>0.71397849462365592</v>
      </c>
      <c r="AH15" s="289"/>
      <c r="AI15" s="290">
        <v>43</v>
      </c>
      <c r="AJ15" s="290">
        <v>25</v>
      </c>
      <c r="AK15" s="291">
        <v>772</v>
      </c>
      <c r="AL15" s="291">
        <v>0</v>
      </c>
      <c r="AM15" s="292">
        <f>(Table1[[#This Row],[FY22 Grads]]+Table1[[#This Row],[FY22 Fails]])/Table1[[#This Row],[FY22 Total Courses]]</f>
        <v>17.953488372093023</v>
      </c>
      <c r="AN15" s="293">
        <v>1100</v>
      </c>
      <c r="AO15" s="280">
        <f t="shared" si="10"/>
        <v>0.70181818181818179</v>
      </c>
      <c r="AP15" s="353" t="s">
        <v>31</v>
      </c>
    </row>
    <row r="16" spans="1:42" s="294" customFormat="1" ht="30" hidden="1" x14ac:dyDescent="0.25">
      <c r="A16" s="272" t="s">
        <v>53</v>
      </c>
      <c r="B16" s="273" t="s">
        <v>345</v>
      </c>
      <c r="C16" s="295" t="s">
        <v>7</v>
      </c>
      <c r="D16" s="274" t="s">
        <v>228</v>
      </c>
      <c r="E16" s="274" t="s">
        <v>229</v>
      </c>
      <c r="F16" s="275">
        <v>1437</v>
      </c>
      <c r="G16" s="276">
        <v>30</v>
      </c>
      <c r="H16" s="277">
        <f t="shared" si="0"/>
        <v>47.9</v>
      </c>
      <c r="I16" s="278">
        <f t="shared" si="1"/>
        <v>48</v>
      </c>
      <c r="J16" s="279">
        <v>22</v>
      </c>
      <c r="K16" s="279">
        <v>40</v>
      </c>
      <c r="L16" s="279">
        <f t="shared" si="2"/>
        <v>880</v>
      </c>
      <c r="M16" s="275">
        <f t="shared" si="3"/>
        <v>-26</v>
      </c>
      <c r="N16" s="280">
        <f t="shared" si="4"/>
        <v>0.45929018789144049</v>
      </c>
      <c r="O16" s="281">
        <v>1043</v>
      </c>
      <c r="P16" s="282">
        <v>35</v>
      </c>
      <c r="Q16" s="283"/>
      <c r="R16" s="284">
        <v>23</v>
      </c>
      <c r="S16" s="285">
        <v>30</v>
      </c>
      <c r="T16" s="286">
        <v>18</v>
      </c>
      <c r="U16" s="276">
        <v>421</v>
      </c>
      <c r="V16" s="276">
        <v>1</v>
      </c>
      <c r="W16" s="287">
        <f t="shared" si="5"/>
        <v>23.444444444444443</v>
      </c>
      <c r="X16" s="286">
        <v>1181</v>
      </c>
      <c r="Y16" s="280">
        <f t="shared" si="6"/>
        <v>0.35732430143945809</v>
      </c>
      <c r="Z16" s="283"/>
      <c r="AA16" s="284">
        <v>24</v>
      </c>
      <c r="AB16" s="285">
        <v>30</v>
      </c>
      <c r="AC16" s="276">
        <v>596</v>
      </c>
      <c r="AD16" s="276">
        <v>0</v>
      </c>
      <c r="AE16" s="288">
        <f t="shared" si="7"/>
        <v>24.833333333333332</v>
      </c>
      <c r="AF16" s="304">
        <v>683</v>
      </c>
      <c r="AG16" s="280">
        <f t="shared" si="8"/>
        <v>0.87262079062957543</v>
      </c>
      <c r="AH16" s="289"/>
      <c r="AI16" s="290">
        <v>22</v>
      </c>
      <c r="AJ16" s="290">
        <v>30</v>
      </c>
      <c r="AK16" s="291">
        <v>535</v>
      </c>
      <c r="AL16" s="291">
        <v>1</v>
      </c>
      <c r="AM16" s="292">
        <f>(Table1[[#This Row],[FY22 Grads]]+Table1[[#This Row],[FY22 Fails]])/Table1[[#This Row],[FY22 Total Courses]]</f>
        <v>24.363636363636363</v>
      </c>
      <c r="AN16" s="293">
        <v>663</v>
      </c>
      <c r="AO16" s="280">
        <f t="shared" si="10"/>
        <v>0.80844645550527905</v>
      </c>
      <c r="AP16" s="353" t="s">
        <v>53</v>
      </c>
    </row>
    <row r="17" spans="1:42" s="294" customFormat="1" ht="30" hidden="1" x14ac:dyDescent="0.25">
      <c r="A17" s="272" t="s">
        <v>42</v>
      </c>
      <c r="B17" s="273" t="s">
        <v>345</v>
      </c>
      <c r="C17" s="295" t="s">
        <v>7</v>
      </c>
      <c r="D17" s="274" t="s">
        <v>93</v>
      </c>
      <c r="E17" s="274">
        <v>3879</v>
      </c>
      <c r="F17" s="275">
        <v>341</v>
      </c>
      <c r="G17" s="276">
        <v>30</v>
      </c>
      <c r="H17" s="277">
        <f t="shared" si="0"/>
        <v>11.366666666666667</v>
      </c>
      <c r="I17" s="278">
        <f t="shared" si="1"/>
        <v>12</v>
      </c>
      <c r="J17" s="279">
        <v>4</v>
      </c>
      <c r="K17" s="296">
        <v>0.5</v>
      </c>
      <c r="L17" s="279">
        <f t="shared" si="2"/>
        <v>2</v>
      </c>
      <c r="M17" s="275">
        <f t="shared" si="3"/>
        <v>-8</v>
      </c>
      <c r="N17" s="280">
        <f t="shared" si="4"/>
        <v>0.35190615835777128</v>
      </c>
      <c r="O17" s="281">
        <v>403</v>
      </c>
      <c r="P17" s="282">
        <v>14</v>
      </c>
      <c r="Q17" s="283"/>
      <c r="R17" s="284">
        <v>4</v>
      </c>
      <c r="S17" s="285">
        <v>30</v>
      </c>
      <c r="T17" s="286">
        <v>2</v>
      </c>
      <c r="U17" s="276">
        <v>46</v>
      </c>
      <c r="V17" s="276">
        <v>0</v>
      </c>
      <c r="W17" s="287">
        <f t="shared" si="5"/>
        <v>23</v>
      </c>
      <c r="X17" s="286">
        <v>361</v>
      </c>
      <c r="Y17" s="280">
        <f t="shared" si="6"/>
        <v>0.12742382271468145</v>
      </c>
      <c r="Z17" s="283"/>
      <c r="AA17" s="284">
        <v>4</v>
      </c>
      <c r="AB17" s="285">
        <v>30</v>
      </c>
      <c r="AC17" s="276">
        <v>68</v>
      </c>
      <c r="AD17" s="276">
        <v>0</v>
      </c>
      <c r="AE17" s="288">
        <f t="shared" si="7"/>
        <v>17</v>
      </c>
      <c r="AF17" s="286">
        <v>170</v>
      </c>
      <c r="AG17" s="280">
        <f t="shared" si="8"/>
        <v>0.4</v>
      </c>
      <c r="AH17" s="289"/>
      <c r="AI17" s="290">
        <v>4</v>
      </c>
      <c r="AJ17" s="290">
        <v>25</v>
      </c>
      <c r="AK17" s="291">
        <v>64</v>
      </c>
      <c r="AL17" s="291">
        <v>1</v>
      </c>
      <c r="AM17" s="292">
        <f>(Table1[[#This Row],[FY22 Grads]]+Table1[[#This Row],[FY22 Fails]])/Table1[[#This Row],[FY22 Total Courses]]</f>
        <v>16.25</v>
      </c>
      <c r="AN17" s="293">
        <v>107</v>
      </c>
      <c r="AO17" s="280">
        <f t="shared" si="10"/>
        <v>0.60747663551401865</v>
      </c>
      <c r="AP17" s="353" t="s">
        <v>42</v>
      </c>
    </row>
    <row r="18" spans="1:42" s="294" customFormat="1" ht="45" hidden="1" x14ac:dyDescent="0.25">
      <c r="A18" s="297" t="s">
        <v>35</v>
      </c>
      <c r="B18" s="273" t="s">
        <v>344</v>
      </c>
      <c r="C18" s="295" t="s">
        <v>7</v>
      </c>
      <c r="D18" s="274" t="s">
        <v>222</v>
      </c>
      <c r="E18" s="274" t="s">
        <v>223</v>
      </c>
      <c r="F18" s="275">
        <v>987</v>
      </c>
      <c r="G18" s="276">
        <v>25</v>
      </c>
      <c r="H18" s="277">
        <f t="shared" si="0"/>
        <v>39.479999999999997</v>
      </c>
      <c r="I18" s="278">
        <f t="shared" si="1"/>
        <v>40</v>
      </c>
      <c r="J18" s="279">
        <v>22</v>
      </c>
      <c r="K18" s="279">
        <v>8</v>
      </c>
      <c r="L18" s="279">
        <f t="shared" si="2"/>
        <v>176</v>
      </c>
      <c r="M18" s="275">
        <f t="shared" si="3"/>
        <v>-18</v>
      </c>
      <c r="N18" s="280">
        <f t="shared" si="4"/>
        <v>0.55724417426545081</v>
      </c>
      <c r="O18" s="281">
        <v>1323</v>
      </c>
      <c r="P18" s="282">
        <v>45</v>
      </c>
      <c r="Q18" s="283"/>
      <c r="R18" s="284">
        <v>22</v>
      </c>
      <c r="S18" s="285">
        <v>25</v>
      </c>
      <c r="T18" s="286">
        <v>8</v>
      </c>
      <c r="U18" s="276">
        <v>183</v>
      </c>
      <c r="V18" s="276">
        <v>0</v>
      </c>
      <c r="W18" s="287">
        <f t="shared" si="5"/>
        <v>22.875</v>
      </c>
      <c r="X18" s="286">
        <v>1440</v>
      </c>
      <c r="Y18" s="280">
        <f t="shared" si="6"/>
        <v>0.12708333333333333</v>
      </c>
      <c r="Z18" s="283"/>
      <c r="AA18" s="284">
        <v>21</v>
      </c>
      <c r="AB18" s="285">
        <v>25</v>
      </c>
      <c r="AC18" s="276">
        <v>269</v>
      </c>
      <c r="AD18" s="276">
        <v>0</v>
      </c>
      <c r="AE18" s="288">
        <f t="shared" si="7"/>
        <v>12.80952380952381</v>
      </c>
      <c r="AF18" s="304">
        <v>575</v>
      </c>
      <c r="AG18" s="280">
        <f t="shared" si="8"/>
        <v>0.46782608695652173</v>
      </c>
      <c r="AH18" s="289"/>
      <c r="AI18" s="290">
        <v>20</v>
      </c>
      <c r="AJ18" s="290">
        <v>25</v>
      </c>
      <c r="AK18" s="291">
        <v>303</v>
      </c>
      <c r="AL18" s="291">
        <v>0</v>
      </c>
      <c r="AM18" s="292">
        <f>(Table1[[#This Row],[FY22 Grads]]+Table1[[#This Row],[FY22 Fails]])/Table1[[#This Row],[FY22 Total Courses]]</f>
        <v>15.15</v>
      </c>
      <c r="AN18" s="293">
        <v>275</v>
      </c>
      <c r="AO18" s="307">
        <f t="shared" si="10"/>
        <v>1.1018181818181818</v>
      </c>
      <c r="AP18" s="353" t="s">
        <v>35</v>
      </c>
    </row>
    <row r="19" spans="1:42" s="294" customFormat="1" ht="30" hidden="1" x14ac:dyDescent="0.25">
      <c r="A19" s="297" t="s">
        <v>32</v>
      </c>
      <c r="B19" s="273" t="s">
        <v>344</v>
      </c>
      <c r="C19" s="295" t="s">
        <v>7</v>
      </c>
      <c r="D19" s="274" t="s">
        <v>177</v>
      </c>
      <c r="E19" s="274" t="s">
        <v>178</v>
      </c>
      <c r="F19" s="275">
        <v>614</v>
      </c>
      <c r="G19" s="276">
        <v>30</v>
      </c>
      <c r="H19" s="277">
        <f t="shared" si="0"/>
        <v>20.466666666666665</v>
      </c>
      <c r="I19" s="278">
        <f t="shared" si="1"/>
        <v>21</v>
      </c>
      <c r="J19" s="279">
        <v>9</v>
      </c>
      <c r="K19" s="279">
        <v>16</v>
      </c>
      <c r="L19" s="279">
        <f t="shared" si="2"/>
        <v>144</v>
      </c>
      <c r="M19" s="275">
        <f t="shared" si="3"/>
        <v>-12</v>
      </c>
      <c r="N19" s="280">
        <f t="shared" si="4"/>
        <v>0.43973941368078173</v>
      </c>
      <c r="O19" s="281">
        <v>954</v>
      </c>
      <c r="P19" s="282">
        <v>32</v>
      </c>
      <c r="Q19" s="283"/>
      <c r="R19" s="284">
        <v>6</v>
      </c>
      <c r="S19" s="285">
        <v>30</v>
      </c>
      <c r="T19" s="286">
        <v>5</v>
      </c>
      <c r="U19" s="276">
        <v>111</v>
      </c>
      <c r="V19" s="276">
        <v>0</v>
      </c>
      <c r="W19" s="287">
        <f t="shared" si="5"/>
        <v>22.2</v>
      </c>
      <c r="X19" s="286">
        <v>958</v>
      </c>
      <c r="Y19" s="280">
        <f t="shared" si="6"/>
        <v>0.11586638830897704</v>
      </c>
      <c r="Z19" s="283"/>
      <c r="AA19" s="284">
        <v>12</v>
      </c>
      <c r="AB19" s="285">
        <v>30</v>
      </c>
      <c r="AC19" s="276">
        <v>178</v>
      </c>
      <c r="AD19" s="276">
        <v>0</v>
      </c>
      <c r="AE19" s="288">
        <f t="shared" si="7"/>
        <v>14.833333333333334</v>
      </c>
      <c r="AF19" s="286">
        <v>630</v>
      </c>
      <c r="AG19" s="280">
        <f t="shared" si="8"/>
        <v>0.28253968253968254</v>
      </c>
      <c r="AH19" s="289"/>
      <c r="AI19" s="290">
        <v>20</v>
      </c>
      <c r="AJ19" s="290">
        <v>30</v>
      </c>
      <c r="AK19" s="291">
        <v>311</v>
      </c>
      <c r="AL19" s="291">
        <v>0</v>
      </c>
      <c r="AM19" s="292">
        <f>(Table1[[#This Row],[FY22 Grads]]+Table1[[#This Row],[FY22 Fails]])/Table1[[#This Row],[FY22 Total Courses]]</f>
        <v>15.55</v>
      </c>
      <c r="AN19" s="293">
        <v>510</v>
      </c>
      <c r="AO19" s="280">
        <f t="shared" si="10"/>
        <v>0.6098039215686275</v>
      </c>
      <c r="AP19" s="353" t="s">
        <v>32</v>
      </c>
    </row>
    <row r="20" spans="1:42" s="294" customFormat="1" ht="45" hidden="1" x14ac:dyDescent="0.25">
      <c r="A20" s="272" t="s">
        <v>500</v>
      </c>
      <c r="B20" s="273" t="s">
        <v>344</v>
      </c>
      <c r="C20" s="273" t="s">
        <v>80</v>
      </c>
      <c r="D20" s="274" t="s">
        <v>83</v>
      </c>
      <c r="E20" s="274" t="s">
        <v>84</v>
      </c>
      <c r="F20" s="275">
        <v>337</v>
      </c>
      <c r="G20" s="276">
        <v>45</v>
      </c>
      <c r="H20" s="277">
        <f t="shared" si="0"/>
        <v>7.4888888888888889</v>
      </c>
      <c r="I20" s="278">
        <f t="shared" si="1"/>
        <v>8</v>
      </c>
      <c r="J20" s="279">
        <v>8</v>
      </c>
      <c r="K20" s="279">
        <v>16</v>
      </c>
      <c r="L20" s="279">
        <f t="shared" si="2"/>
        <v>128</v>
      </c>
      <c r="M20" s="275">
        <f t="shared" si="3"/>
        <v>0</v>
      </c>
      <c r="N20" s="280">
        <f t="shared" si="4"/>
        <v>1.0682492581602374</v>
      </c>
      <c r="O20" s="281">
        <v>456</v>
      </c>
      <c r="P20" s="282">
        <v>23</v>
      </c>
      <c r="Q20" s="283"/>
      <c r="R20" s="284">
        <v>10</v>
      </c>
      <c r="S20" s="285">
        <v>45</v>
      </c>
      <c r="T20" s="286">
        <v>8</v>
      </c>
      <c r="U20" s="276">
        <v>165</v>
      </c>
      <c r="V20" s="276">
        <v>2</v>
      </c>
      <c r="W20" s="287">
        <f t="shared" si="5"/>
        <v>20.875</v>
      </c>
      <c r="X20" s="286">
        <v>340</v>
      </c>
      <c r="Y20" s="280">
        <f t="shared" si="6"/>
        <v>0.49117647058823527</v>
      </c>
      <c r="Z20" s="283"/>
      <c r="AA20" s="284">
        <v>11</v>
      </c>
      <c r="AB20" s="285">
        <v>20</v>
      </c>
      <c r="AC20" s="276">
        <v>204</v>
      </c>
      <c r="AD20" s="276">
        <v>8</v>
      </c>
      <c r="AE20" s="288">
        <f t="shared" si="7"/>
        <v>19.272727272727273</v>
      </c>
      <c r="AF20" s="286">
        <v>220</v>
      </c>
      <c r="AG20" s="280">
        <f t="shared" si="8"/>
        <v>0.96363636363636362</v>
      </c>
      <c r="AH20" s="289"/>
      <c r="AI20" s="290">
        <v>19</v>
      </c>
      <c r="AJ20" s="290">
        <v>30</v>
      </c>
      <c r="AK20" s="291">
        <v>209</v>
      </c>
      <c r="AL20" s="291">
        <v>0</v>
      </c>
      <c r="AM20" s="292">
        <f>(Table1[[#This Row],[FY22 Grads]]+Table1[[#This Row],[FY22 Fails]])/Table1[[#This Row],[FY22 Total Courses]]</f>
        <v>11</v>
      </c>
      <c r="AN20" s="293">
        <v>570</v>
      </c>
      <c r="AO20" s="280">
        <f t="shared" si="10"/>
        <v>0.36666666666666664</v>
      </c>
      <c r="AP20" s="353" t="s">
        <v>500</v>
      </c>
    </row>
    <row r="21" spans="1:42" s="294" customFormat="1" ht="15.75" hidden="1" x14ac:dyDescent="0.25">
      <c r="A21" s="297" t="s">
        <v>501</v>
      </c>
      <c r="B21" s="273" t="s">
        <v>344</v>
      </c>
      <c r="C21" s="295" t="s">
        <v>7</v>
      </c>
      <c r="D21" s="274" t="s">
        <v>444</v>
      </c>
      <c r="E21" s="274" t="s">
        <v>445</v>
      </c>
      <c r="F21" s="275">
        <v>397</v>
      </c>
      <c r="G21" s="276">
        <v>25</v>
      </c>
      <c r="H21" s="277">
        <f t="shared" si="0"/>
        <v>15.88</v>
      </c>
      <c r="I21" s="278">
        <f t="shared" si="1"/>
        <v>16</v>
      </c>
      <c r="J21" s="279">
        <v>2</v>
      </c>
      <c r="K21" s="279">
        <v>40</v>
      </c>
      <c r="L21" s="279">
        <f t="shared" si="2"/>
        <v>80</v>
      </c>
      <c r="M21" s="275">
        <f t="shared" si="3"/>
        <v>-14</v>
      </c>
      <c r="N21" s="280">
        <f t="shared" si="4"/>
        <v>0.12594458438287154</v>
      </c>
      <c r="O21" s="281">
        <v>66</v>
      </c>
      <c r="P21" s="282">
        <v>3</v>
      </c>
      <c r="Q21" s="283"/>
      <c r="R21" s="284">
        <v>4</v>
      </c>
      <c r="S21" s="285">
        <v>25</v>
      </c>
      <c r="T21" s="286">
        <v>3</v>
      </c>
      <c r="U21" s="276">
        <v>60</v>
      </c>
      <c r="V21" s="276">
        <v>0</v>
      </c>
      <c r="W21" s="287">
        <f t="shared" si="5"/>
        <v>20</v>
      </c>
      <c r="X21" s="286">
        <v>126</v>
      </c>
      <c r="Y21" s="280">
        <f t="shared" si="6"/>
        <v>0.47619047619047616</v>
      </c>
      <c r="Z21" s="283"/>
      <c r="AA21" s="284">
        <v>2</v>
      </c>
      <c r="AB21" s="285">
        <v>25</v>
      </c>
      <c r="AC21" s="276">
        <v>38</v>
      </c>
      <c r="AD21" s="276">
        <v>0</v>
      </c>
      <c r="AE21" s="288">
        <f t="shared" si="7"/>
        <v>19</v>
      </c>
      <c r="AF21" s="339">
        <v>100</v>
      </c>
      <c r="AG21" s="280">
        <f t="shared" si="8"/>
        <v>0.38</v>
      </c>
      <c r="AH21" s="289"/>
      <c r="AI21" s="290">
        <v>1</v>
      </c>
      <c r="AJ21" s="290">
        <v>25</v>
      </c>
      <c r="AK21" s="291">
        <v>25</v>
      </c>
      <c r="AL21" s="291">
        <v>0</v>
      </c>
      <c r="AM21" s="292">
        <f>(Table1[[#This Row],[FY22 Grads]]+Table1[[#This Row],[FY22 Fails]])/Table1[[#This Row],[FY22 Total Courses]]</f>
        <v>25</v>
      </c>
      <c r="AN21" s="293">
        <v>25</v>
      </c>
      <c r="AO21" s="308">
        <f t="shared" si="10"/>
        <v>1</v>
      </c>
      <c r="AP21" s="353" t="s">
        <v>501</v>
      </c>
    </row>
    <row r="22" spans="1:42" s="294" customFormat="1" ht="30" hidden="1" x14ac:dyDescent="0.25">
      <c r="A22" s="297" t="s">
        <v>28</v>
      </c>
      <c r="B22" s="273" t="s">
        <v>344</v>
      </c>
      <c r="C22" s="295" t="s">
        <v>7</v>
      </c>
      <c r="D22" s="274" t="s">
        <v>140</v>
      </c>
      <c r="E22" s="274">
        <v>3683</v>
      </c>
      <c r="F22" s="275">
        <v>787</v>
      </c>
      <c r="G22" s="276">
        <v>40</v>
      </c>
      <c r="H22" s="277">
        <f t="shared" si="0"/>
        <v>19.675000000000001</v>
      </c>
      <c r="I22" s="278">
        <f t="shared" si="1"/>
        <v>20</v>
      </c>
      <c r="J22" s="279">
        <v>22</v>
      </c>
      <c r="K22" s="279">
        <v>24</v>
      </c>
      <c r="L22" s="279">
        <f t="shared" si="2"/>
        <v>528</v>
      </c>
      <c r="M22" s="275">
        <f t="shared" si="3"/>
        <v>2</v>
      </c>
      <c r="N22" s="280">
        <f t="shared" si="4"/>
        <v>1.1181702668360864</v>
      </c>
      <c r="O22" s="281">
        <v>381</v>
      </c>
      <c r="P22" s="282">
        <v>10</v>
      </c>
      <c r="Q22" s="283"/>
      <c r="R22" s="284">
        <v>23</v>
      </c>
      <c r="S22" s="285">
        <v>40</v>
      </c>
      <c r="T22" s="286">
        <v>13</v>
      </c>
      <c r="U22" s="276">
        <v>245</v>
      </c>
      <c r="V22" s="276">
        <v>10</v>
      </c>
      <c r="W22" s="287">
        <f t="shared" si="5"/>
        <v>19.615384615384617</v>
      </c>
      <c r="X22" s="286">
        <v>473</v>
      </c>
      <c r="Y22" s="280">
        <f t="shared" si="6"/>
        <v>0.53911205073995772</v>
      </c>
      <c r="Z22" s="283"/>
      <c r="AA22" s="284">
        <v>25</v>
      </c>
      <c r="AB22" s="285">
        <v>40</v>
      </c>
      <c r="AC22" s="276">
        <v>469</v>
      </c>
      <c r="AD22" s="276">
        <v>15</v>
      </c>
      <c r="AE22" s="288">
        <f t="shared" si="7"/>
        <v>19.36</v>
      </c>
      <c r="AF22" s="286">
        <v>1000</v>
      </c>
      <c r="AG22" s="280">
        <f t="shared" si="8"/>
        <v>0.48399999999999999</v>
      </c>
      <c r="AH22" s="289"/>
      <c r="AI22" s="290"/>
      <c r="AJ22" s="290"/>
      <c r="AK22" s="291"/>
      <c r="AL22" s="291"/>
      <c r="AM22" s="292"/>
      <c r="AN22" s="293"/>
      <c r="AO22" s="280"/>
      <c r="AP22" s="353" t="s">
        <v>28</v>
      </c>
    </row>
    <row r="23" spans="1:42" s="294" customFormat="1" ht="30" hidden="1" x14ac:dyDescent="0.25">
      <c r="A23" s="297" t="s">
        <v>502</v>
      </c>
      <c r="B23" s="273" t="s">
        <v>442</v>
      </c>
      <c r="C23" s="295" t="s">
        <v>80</v>
      </c>
      <c r="D23" s="274" t="s">
        <v>211</v>
      </c>
      <c r="E23" s="274" t="s">
        <v>212</v>
      </c>
      <c r="F23" s="275">
        <v>614</v>
      </c>
      <c r="G23" s="276">
        <v>30</v>
      </c>
      <c r="H23" s="277">
        <f t="shared" si="0"/>
        <v>20.466666666666665</v>
      </c>
      <c r="I23" s="278">
        <f t="shared" si="1"/>
        <v>21</v>
      </c>
      <c r="J23" s="279">
        <v>10</v>
      </c>
      <c r="K23" s="279">
        <v>32</v>
      </c>
      <c r="L23" s="279">
        <f t="shared" si="2"/>
        <v>320</v>
      </c>
      <c r="M23" s="275">
        <f t="shared" si="3"/>
        <v>-11</v>
      </c>
      <c r="N23" s="280">
        <f t="shared" si="4"/>
        <v>0.48859934853420195</v>
      </c>
      <c r="O23" s="281">
        <v>536</v>
      </c>
      <c r="P23" s="282">
        <v>18</v>
      </c>
      <c r="Q23" s="283"/>
      <c r="R23" s="284">
        <v>10</v>
      </c>
      <c r="S23" s="285">
        <v>30</v>
      </c>
      <c r="T23" s="286">
        <v>7</v>
      </c>
      <c r="U23" s="276">
        <v>130</v>
      </c>
      <c r="V23" s="276">
        <v>0</v>
      </c>
      <c r="W23" s="287">
        <f t="shared" si="5"/>
        <v>18.571428571428573</v>
      </c>
      <c r="X23" s="286">
        <v>572</v>
      </c>
      <c r="Y23" s="280">
        <f t="shared" si="6"/>
        <v>0.22727272727272727</v>
      </c>
      <c r="Z23" s="283"/>
      <c r="AA23" s="284">
        <v>7</v>
      </c>
      <c r="AB23" s="285">
        <v>30</v>
      </c>
      <c r="AC23" s="276">
        <v>175</v>
      </c>
      <c r="AD23" s="276">
        <v>2</v>
      </c>
      <c r="AE23" s="288">
        <f t="shared" si="7"/>
        <v>25.285714285714285</v>
      </c>
      <c r="AF23" s="304">
        <v>480</v>
      </c>
      <c r="AG23" s="280">
        <f t="shared" si="8"/>
        <v>0.36875000000000002</v>
      </c>
      <c r="AH23" s="289"/>
      <c r="AI23" s="290">
        <v>2</v>
      </c>
      <c r="AJ23" s="290">
        <v>30</v>
      </c>
      <c r="AK23" s="291">
        <v>56</v>
      </c>
      <c r="AL23" s="291">
        <v>0</v>
      </c>
      <c r="AM23" s="292">
        <f>(Table1[[#This Row],[FY22 Grads]]+Table1[[#This Row],[FY22 Fails]])/Table1[[#This Row],[FY22 Total Courses]]</f>
        <v>28</v>
      </c>
      <c r="AN23" s="293">
        <v>421</v>
      </c>
      <c r="AO23" s="280">
        <f t="shared" ref="AO23:AO36" si="11">SUM(AK23+AL23)/AN23</f>
        <v>0.1330166270783848</v>
      </c>
      <c r="AP23" s="353" t="s">
        <v>502</v>
      </c>
    </row>
    <row r="24" spans="1:42" s="294" customFormat="1" ht="30" hidden="1" x14ac:dyDescent="0.25">
      <c r="A24" s="297" t="s">
        <v>503</v>
      </c>
      <c r="B24" s="273" t="s">
        <v>442</v>
      </c>
      <c r="C24" s="295" t="s">
        <v>7</v>
      </c>
      <c r="D24" s="274" t="s">
        <v>147</v>
      </c>
      <c r="E24" s="274" t="s">
        <v>148</v>
      </c>
      <c r="F24" s="275">
        <v>2046</v>
      </c>
      <c r="G24" s="276">
        <v>25</v>
      </c>
      <c r="H24" s="277">
        <f t="shared" si="0"/>
        <v>81.84</v>
      </c>
      <c r="I24" s="278">
        <f t="shared" si="1"/>
        <v>82</v>
      </c>
      <c r="J24" s="279">
        <v>50</v>
      </c>
      <c r="K24" s="279">
        <v>40</v>
      </c>
      <c r="L24" s="279">
        <f t="shared" si="2"/>
        <v>2000</v>
      </c>
      <c r="M24" s="275">
        <f t="shared" si="3"/>
        <v>-32</v>
      </c>
      <c r="N24" s="280">
        <f t="shared" si="4"/>
        <v>0.6109481915933529</v>
      </c>
      <c r="O24" s="281">
        <v>2230</v>
      </c>
      <c r="P24" s="282">
        <v>90</v>
      </c>
      <c r="Q24" s="283"/>
      <c r="R24" s="284">
        <v>32</v>
      </c>
      <c r="S24" s="285">
        <v>25</v>
      </c>
      <c r="T24" s="286">
        <v>20</v>
      </c>
      <c r="U24" s="276">
        <v>365</v>
      </c>
      <c r="V24" s="276">
        <v>0</v>
      </c>
      <c r="W24" s="287">
        <f t="shared" si="5"/>
        <v>18.25</v>
      </c>
      <c r="X24" s="286">
        <v>2051</v>
      </c>
      <c r="Y24" s="280">
        <f t="shared" si="6"/>
        <v>0.1779619697708435</v>
      </c>
      <c r="Z24" s="283"/>
      <c r="AA24" s="284">
        <v>21</v>
      </c>
      <c r="AB24" s="285">
        <v>25</v>
      </c>
      <c r="AC24" s="276">
        <v>435</v>
      </c>
      <c r="AD24" s="276">
        <v>1</v>
      </c>
      <c r="AE24" s="288">
        <f t="shared" si="7"/>
        <v>20.761904761904763</v>
      </c>
      <c r="AF24" s="286">
        <v>408</v>
      </c>
      <c r="AG24" s="280">
        <f t="shared" si="8"/>
        <v>1.0686274509803921</v>
      </c>
      <c r="AH24" s="289"/>
      <c r="AI24" s="290">
        <v>18</v>
      </c>
      <c r="AJ24" s="290">
        <v>25</v>
      </c>
      <c r="AK24" s="291">
        <v>328</v>
      </c>
      <c r="AL24" s="291">
        <v>1</v>
      </c>
      <c r="AM24" s="292">
        <f>(Table1[[#This Row],[FY22 Grads]]+Table1[[#This Row],[FY22 Fails]])/Table1[[#This Row],[FY22 Total Courses]]</f>
        <v>18.277777777777779</v>
      </c>
      <c r="AN24" s="293">
        <v>365</v>
      </c>
      <c r="AO24" s="280">
        <f t="shared" si="11"/>
        <v>0.90136986301369859</v>
      </c>
      <c r="AP24" s="353" t="s">
        <v>503</v>
      </c>
    </row>
    <row r="25" spans="1:42" s="294" customFormat="1" ht="30" hidden="1" x14ac:dyDescent="0.25">
      <c r="A25" s="272" t="s">
        <v>46</v>
      </c>
      <c r="B25" s="273" t="s">
        <v>345</v>
      </c>
      <c r="C25" s="295" t="s">
        <v>7</v>
      </c>
      <c r="D25" s="274" t="s">
        <v>108</v>
      </c>
      <c r="E25" s="274" t="s">
        <v>109</v>
      </c>
      <c r="F25" s="275">
        <v>258</v>
      </c>
      <c r="G25" s="276">
        <v>30</v>
      </c>
      <c r="H25" s="277">
        <f t="shared" si="0"/>
        <v>8.6</v>
      </c>
      <c r="I25" s="278">
        <f t="shared" si="1"/>
        <v>9</v>
      </c>
      <c r="J25" s="279">
        <v>4</v>
      </c>
      <c r="K25" s="279">
        <v>8</v>
      </c>
      <c r="L25" s="279">
        <f t="shared" si="2"/>
        <v>32</v>
      </c>
      <c r="M25" s="275">
        <f t="shared" si="3"/>
        <v>-5</v>
      </c>
      <c r="N25" s="280">
        <f t="shared" si="4"/>
        <v>0.46511627906976744</v>
      </c>
      <c r="O25" s="281">
        <v>321</v>
      </c>
      <c r="P25" s="282">
        <v>11</v>
      </c>
      <c r="Q25" s="283"/>
      <c r="R25" s="284">
        <v>4</v>
      </c>
      <c r="S25" s="285">
        <v>30</v>
      </c>
      <c r="T25" s="286">
        <v>2</v>
      </c>
      <c r="U25" s="276">
        <v>36</v>
      </c>
      <c r="V25" s="276">
        <v>0</v>
      </c>
      <c r="W25" s="287">
        <f t="shared" si="5"/>
        <v>18</v>
      </c>
      <c r="X25" s="286">
        <v>299</v>
      </c>
      <c r="Y25" s="280">
        <f t="shared" si="6"/>
        <v>0.12040133779264214</v>
      </c>
      <c r="Z25" s="283"/>
      <c r="AA25" s="284">
        <v>4</v>
      </c>
      <c r="AB25" s="285">
        <v>30</v>
      </c>
      <c r="AC25" s="276">
        <v>53</v>
      </c>
      <c r="AD25" s="276">
        <v>0</v>
      </c>
      <c r="AE25" s="288">
        <f t="shared" si="7"/>
        <v>13.25</v>
      </c>
      <c r="AF25" s="286">
        <v>74</v>
      </c>
      <c r="AG25" s="280">
        <f t="shared" si="8"/>
        <v>0.71621621621621623</v>
      </c>
      <c r="AH25" s="289"/>
      <c r="AI25" s="290">
        <v>4</v>
      </c>
      <c r="AJ25" s="290">
        <v>25</v>
      </c>
      <c r="AK25" s="291">
        <v>57</v>
      </c>
      <c r="AL25" s="291">
        <v>0</v>
      </c>
      <c r="AM25" s="292">
        <f>(Table1[[#This Row],[FY22 Grads]]+Table1[[#This Row],[FY22 Fails]])/Table1[[#This Row],[FY22 Total Courses]]</f>
        <v>14.25</v>
      </c>
      <c r="AN25" s="293">
        <v>69</v>
      </c>
      <c r="AO25" s="280">
        <f t="shared" si="11"/>
        <v>0.82608695652173914</v>
      </c>
      <c r="AP25" s="353" t="s">
        <v>46</v>
      </c>
    </row>
    <row r="26" spans="1:42" s="294" customFormat="1" ht="30" hidden="1" x14ac:dyDescent="0.25">
      <c r="A26" s="297" t="s">
        <v>56</v>
      </c>
      <c r="B26" s="273" t="s">
        <v>442</v>
      </c>
      <c r="C26" s="295" t="s">
        <v>7</v>
      </c>
      <c r="D26" s="274" t="s">
        <v>126</v>
      </c>
      <c r="E26" s="274" t="s">
        <v>127</v>
      </c>
      <c r="F26" s="275">
        <v>620</v>
      </c>
      <c r="G26" s="276">
        <v>35</v>
      </c>
      <c r="H26" s="277">
        <f t="shared" si="0"/>
        <v>17.714285714285715</v>
      </c>
      <c r="I26" s="278">
        <f t="shared" si="1"/>
        <v>18</v>
      </c>
      <c r="J26" s="279">
        <v>5</v>
      </c>
      <c r="K26" s="279">
        <v>30</v>
      </c>
      <c r="L26" s="279">
        <f t="shared" si="2"/>
        <v>150</v>
      </c>
      <c r="M26" s="275">
        <f t="shared" si="3"/>
        <v>-13</v>
      </c>
      <c r="N26" s="280">
        <f t="shared" si="4"/>
        <v>0.28225806451612906</v>
      </c>
      <c r="O26" s="281">
        <v>418</v>
      </c>
      <c r="P26" s="282">
        <v>12</v>
      </c>
      <c r="Q26" s="283"/>
      <c r="R26" s="284">
        <v>7</v>
      </c>
      <c r="S26" s="285">
        <v>35</v>
      </c>
      <c r="T26" s="286">
        <v>4</v>
      </c>
      <c r="U26" s="276">
        <v>72</v>
      </c>
      <c r="V26" s="276">
        <v>0</v>
      </c>
      <c r="W26" s="287">
        <f t="shared" si="5"/>
        <v>18</v>
      </c>
      <c r="X26" s="286">
        <v>494</v>
      </c>
      <c r="Y26" s="280">
        <f t="shared" si="6"/>
        <v>0.145748987854251</v>
      </c>
      <c r="Z26" s="283"/>
      <c r="AA26" s="284">
        <v>2</v>
      </c>
      <c r="AB26" s="285">
        <v>35</v>
      </c>
      <c r="AC26" s="276">
        <v>40</v>
      </c>
      <c r="AD26" s="276">
        <v>0</v>
      </c>
      <c r="AE26" s="288">
        <f t="shared" si="7"/>
        <v>20</v>
      </c>
      <c r="AF26" s="286">
        <v>266</v>
      </c>
      <c r="AG26" s="280">
        <f t="shared" si="8"/>
        <v>0.15037593984962405</v>
      </c>
      <c r="AH26" s="289"/>
      <c r="AI26" s="290">
        <v>1</v>
      </c>
      <c r="AJ26" s="290">
        <v>25</v>
      </c>
      <c r="AK26" s="291">
        <v>17</v>
      </c>
      <c r="AL26" s="291">
        <v>0</v>
      </c>
      <c r="AM26" s="292">
        <f>(Table1[[#This Row],[FY22 Grads]]+Table1[[#This Row],[FY22 Fails]])/Table1[[#This Row],[FY22 Total Courses]]</f>
        <v>17</v>
      </c>
      <c r="AN26" s="293">
        <v>353</v>
      </c>
      <c r="AO26" s="280">
        <f t="shared" si="11"/>
        <v>4.8158640226628892E-2</v>
      </c>
      <c r="AP26" s="353" t="s">
        <v>56</v>
      </c>
    </row>
    <row r="27" spans="1:42" s="294" customFormat="1" ht="30" hidden="1" x14ac:dyDescent="0.25">
      <c r="A27" s="297" t="s">
        <v>33</v>
      </c>
      <c r="B27" s="273" t="s">
        <v>344</v>
      </c>
      <c r="C27" s="295" t="s">
        <v>7</v>
      </c>
      <c r="D27" s="274" t="s">
        <v>181</v>
      </c>
      <c r="E27" s="274" t="s">
        <v>182</v>
      </c>
      <c r="F27" s="275">
        <v>824</v>
      </c>
      <c r="G27" s="276">
        <v>30</v>
      </c>
      <c r="H27" s="277">
        <f t="shared" si="0"/>
        <v>27.466666666666665</v>
      </c>
      <c r="I27" s="278">
        <f t="shared" si="1"/>
        <v>28</v>
      </c>
      <c r="J27" s="279">
        <v>15</v>
      </c>
      <c r="K27" s="279">
        <v>8</v>
      </c>
      <c r="L27" s="279">
        <f t="shared" si="2"/>
        <v>120</v>
      </c>
      <c r="M27" s="275">
        <f t="shared" si="3"/>
        <v>-13</v>
      </c>
      <c r="N27" s="280">
        <f t="shared" si="4"/>
        <v>0.54611650485436891</v>
      </c>
      <c r="O27" s="281">
        <v>816</v>
      </c>
      <c r="P27" s="282">
        <v>28</v>
      </c>
      <c r="Q27" s="283"/>
      <c r="R27" s="284">
        <v>14</v>
      </c>
      <c r="S27" s="285">
        <v>30</v>
      </c>
      <c r="T27" s="286">
        <v>4</v>
      </c>
      <c r="U27" s="276">
        <v>69</v>
      </c>
      <c r="V27" s="276">
        <v>0</v>
      </c>
      <c r="W27" s="287">
        <f t="shared" si="5"/>
        <v>17.25</v>
      </c>
      <c r="X27" s="286">
        <v>810</v>
      </c>
      <c r="Y27" s="280">
        <f t="shared" si="6"/>
        <v>8.5185185185185183E-2</v>
      </c>
      <c r="Z27" s="283"/>
      <c r="AA27" s="284">
        <v>8</v>
      </c>
      <c r="AB27" s="285">
        <v>30</v>
      </c>
      <c r="AC27" s="276">
        <v>100</v>
      </c>
      <c r="AD27" s="276">
        <v>0</v>
      </c>
      <c r="AE27" s="288">
        <f t="shared" si="7"/>
        <v>12.5</v>
      </c>
      <c r="AF27" s="286">
        <v>210</v>
      </c>
      <c r="AG27" s="280">
        <f t="shared" si="8"/>
        <v>0.47619047619047616</v>
      </c>
      <c r="AH27" s="289"/>
      <c r="AI27" s="290">
        <v>9</v>
      </c>
      <c r="AJ27" s="290">
        <v>30</v>
      </c>
      <c r="AK27" s="291">
        <v>132</v>
      </c>
      <c r="AL27" s="291">
        <v>0</v>
      </c>
      <c r="AM27" s="292">
        <f>(Table1[[#This Row],[FY22 Grads]]+Table1[[#This Row],[FY22 Fails]])/Table1[[#This Row],[FY22 Total Courses]]</f>
        <v>14.666666666666666</v>
      </c>
      <c r="AN27" s="293">
        <v>90</v>
      </c>
      <c r="AO27" s="301">
        <f t="shared" si="11"/>
        <v>1.4666666666666666</v>
      </c>
      <c r="AP27" s="353" t="s">
        <v>33</v>
      </c>
    </row>
    <row r="28" spans="1:42" s="294" customFormat="1" ht="15.75" hidden="1" x14ac:dyDescent="0.25">
      <c r="A28" s="272" t="s">
        <v>41</v>
      </c>
      <c r="B28" s="273" t="s">
        <v>345</v>
      </c>
      <c r="C28" s="295" t="s">
        <v>7</v>
      </c>
      <c r="D28" s="274" t="s">
        <v>89</v>
      </c>
      <c r="E28" s="274">
        <v>3878</v>
      </c>
      <c r="F28" s="275">
        <v>325</v>
      </c>
      <c r="G28" s="276">
        <v>25</v>
      </c>
      <c r="H28" s="277">
        <f t="shared" si="0"/>
        <v>13</v>
      </c>
      <c r="I28" s="278">
        <f t="shared" si="1"/>
        <v>13</v>
      </c>
      <c r="J28" s="279">
        <v>2</v>
      </c>
      <c r="K28" s="279">
        <v>24</v>
      </c>
      <c r="L28" s="279">
        <f t="shared" si="2"/>
        <v>48</v>
      </c>
      <c r="M28" s="275">
        <f t="shared" si="3"/>
        <v>-11</v>
      </c>
      <c r="N28" s="280">
        <f t="shared" si="4"/>
        <v>0.15384615384615385</v>
      </c>
      <c r="O28" s="281">
        <v>463</v>
      </c>
      <c r="P28" s="282">
        <v>19</v>
      </c>
      <c r="Q28" s="283"/>
      <c r="R28" s="284">
        <v>2</v>
      </c>
      <c r="S28" s="285">
        <v>25</v>
      </c>
      <c r="T28" s="286">
        <v>1</v>
      </c>
      <c r="U28" s="276">
        <v>17</v>
      </c>
      <c r="V28" s="276">
        <v>0</v>
      </c>
      <c r="W28" s="287">
        <f t="shared" si="5"/>
        <v>17</v>
      </c>
      <c r="X28" s="286">
        <v>384</v>
      </c>
      <c r="Y28" s="280">
        <f t="shared" si="6"/>
        <v>4.4270833333333336E-2</v>
      </c>
      <c r="Z28" s="283"/>
      <c r="AA28" s="284">
        <v>3</v>
      </c>
      <c r="AB28" s="285">
        <v>25</v>
      </c>
      <c r="AC28" s="276">
        <v>51</v>
      </c>
      <c r="AD28" s="276">
        <v>0</v>
      </c>
      <c r="AE28" s="288">
        <f t="shared" si="7"/>
        <v>17</v>
      </c>
      <c r="AF28" s="286">
        <v>215</v>
      </c>
      <c r="AG28" s="280">
        <f t="shared" si="8"/>
        <v>0.23720930232558141</v>
      </c>
      <c r="AH28" s="289"/>
      <c r="AI28" s="290">
        <v>1</v>
      </c>
      <c r="AJ28" s="290">
        <v>25</v>
      </c>
      <c r="AK28" s="291">
        <v>10</v>
      </c>
      <c r="AL28" s="291">
        <v>0</v>
      </c>
      <c r="AM28" s="292">
        <f>(Table1[[#This Row],[FY22 Grads]]+Table1[[#This Row],[FY22 Fails]])/Table1[[#This Row],[FY22 Total Courses]]</f>
        <v>10</v>
      </c>
      <c r="AN28" s="293">
        <v>179</v>
      </c>
      <c r="AO28" s="280">
        <f t="shared" si="11"/>
        <v>5.5865921787709494E-2</v>
      </c>
      <c r="AP28" s="353" t="s">
        <v>41</v>
      </c>
    </row>
    <row r="29" spans="1:42" s="294" customFormat="1" ht="15.75" hidden="1" x14ac:dyDescent="0.25">
      <c r="A29" s="297" t="s">
        <v>504</v>
      </c>
      <c r="B29" s="273" t="s">
        <v>345</v>
      </c>
      <c r="C29" s="295" t="s">
        <v>7</v>
      </c>
      <c r="D29" s="274" t="s">
        <v>122</v>
      </c>
      <c r="E29" s="274" t="s">
        <v>123</v>
      </c>
      <c r="F29" s="275">
        <v>707</v>
      </c>
      <c r="G29" s="276">
        <v>25</v>
      </c>
      <c r="H29" s="277">
        <f t="shared" si="0"/>
        <v>28.28</v>
      </c>
      <c r="I29" s="278">
        <f t="shared" si="1"/>
        <v>29</v>
      </c>
      <c r="J29" s="279">
        <v>6</v>
      </c>
      <c r="K29" s="279">
        <v>40</v>
      </c>
      <c r="L29" s="279">
        <f t="shared" si="2"/>
        <v>240</v>
      </c>
      <c r="M29" s="275">
        <f t="shared" si="3"/>
        <v>-23</v>
      </c>
      <c r="N29" s="280">
        <f t="shared" si="4"/>
        <v>0.21216407355021216</v>
      </c>
      <c r="O29" s="281">
        <v>821</v>
      </c>
      <c r="P29" s="282">
        <v>33</v>
      </c>
      <c r="Q29" s="283"/>
      <c r="R29" s="284">
        <v>10</v>
      </c>
      <c r="S29" s="285">
        <v>25</v>
      </c>
      <c r="T29" s="286">
        <v>7</v>
      </c>
      <c r="U29" s="276">
        <v>101</v>
      </c>
      <c r="V29" s="276">
        <v>10</v>
      </c>
      <c r="W29" s="287">
        <f t="shared" si="5"/>
        <v>15.857142857142858</v>
      </c>
      <c r="X29" s="286">
        <v>860</v>
      </c>
      <c r="Y29" s="280">
        <f t="shared" si="6"/>
        <v>0.12906976744186047</v>
      </c>
      <c r="Z29" s="283"/>
      <c r="AA29" s="284">
        <v>7</v>
      </c>
      <c r="AB29" s="285">
        <v>25</v>
      </c>
      <c r="AC29" s="276">
        <v>124</v>
      </c>
      <c r="AD29" s="276">
        <v>19</v>
      </c>
      <c r="AE29" s="288">
        <f t="shared" si="7"/>
        <v>20.428571428571427</v>
      </c>
      <c r="AF29" s="286">
        <v>603</v>
      </c>
      <c r="AG29" s="280">
        <f t="shared" si="8"/>
        <v>0.23714759535655058</v>
      </c>
      <c r="AH29" s="289"/>
      <c r="AI29" s="290">
        <v>5</v>
      </c>
      <c r="AJ29" s="290">
        <v>25</v>
      </c>
      <c r="AK29" s="291">
        <v>82</v>
      </c>
      <c r="AL29" s="291">
        <v>9</v>
      </c>
      <c r="AM29" s="292">
        <f>(Table1[[#This Row],[FY22 Grads]]+Table1[[#This Row],[FY22 Fails]])/Table1[[#This Row],[FY22 Total Courses]]</f>
        <v>18.2</v>
      </c>
      <c r="AN29" s="293">
        <v>602</v>
      </c>
      <c r="AO29" s="280">
        <f t="shared" si="11"/>
        <v>0.15116279069767441</v>
      </c>
      <c r="AP29" s="353" t="s">
        <v>504</v>
      </c>
    </row>
    <row r="30" spans="1:42" s="294" customFormat="1" ht="45" hidden="1" x14ac:dyDescent="0.25">
      <c r="A30" s="297" t="s">
        <v>29</v>
      </c>
      <c r="B30" s="273" t="s">
        <v>344</v>
      </c>
      <c r="C30" s="295" t="s">
        <v>7</v>
      </c>
      <c r="D30" s="274" t="s">
        <v>169</v>
      </c>
      <c r="E30" s="302" t="s">
        <v>170</v>
      </c>
      <c r="F30" s="275">
        <v>1042</v>
      </c>
      <c r="G30" s="276">
        <v>25</v>
      </c>
      <c r="H30" s="277">
        <f t="shared" si="0"/>
        <v>41.68</v>
      </c>
      <c r="I30" s="278">
        <f t="shared" si="1"/>
        <v>42</v>
      </c>
      <c r="J30" s="279">
        <v>18</v>
      </c>
      <c r="K30" s="279">
        <v>24</v>
      </c>
      <c r="L30" s="279">
        <f t="shared" si="2"/>
        <v>432</v>
      </c>
      <c r="M30" s="275">
        <f t="shared" si="3"/>
        <v>-24</v>
      </c>
      <c r="N30" s="280">
        <f t="shared" si="4"/>
        <v>0.43186180422264875</v>
      </c>
      <c r="O30" s="281">
        <v>1148</v>
      </c>
      <c r="P30" s="282">
        <v>46</v>
      </c>
      <c r="Q30" s="283"/>
      <c r="R30" s="284">
        <v>9</v>
      </c>
      <c r="S30" s="285">
        <v>25</v>
      </c>
      <c r="T30" s="286">
        <v>5</v>
      </c>
      <c r="U30" s="276">
        <v>76</v>
      </c>
      <c r="V30" s="276">
        <v>1</v>
      </c>
      <c r="W30" s="287">
        <f t="shared" si="5"/>
        <v>15.4</v>
      </c>
      <c r="X30" s="286">
        <v>1359</v>
      </c>
      <c r="Y30" s="280">
        <f t="shared" si="6"/>
        <v>5.6659308314937457E-2</v>
      </c>
      <c r="Z30" s="283"/>
      <c r="AA30" s="284">
        <v>14</v>
      </c>
      <c r="AB30" s="285">
        <v>25</v>
      </c>
      <c r="AC30" s="276">
        <v>244</v>
      </c>
      <c r="AD30" s="276">
        <v>0</v>
      </c>
      <c r="AE30" s="288">
        <f t="shared" si="7"/>
        <v>17.428571428571427</v>
      </c>
      <c r="AF30" s="286">
        <v>375</v>
      </c>
      <c r="AG30" s="280">
        <f t="shared" si="8"/>
        <v>0.65066666666666662</v>
      </c>
      <c r="AH30" s="289"/>
      <c r="AI30" s="290">
        <v>20</v>
      </c>
      <c r="AJ30" s="290">
        <v>25</v>
      </c>
      <c r="AK30" s="291">
        <v>278</v>
      </c>
      <c r="AL30" s="291">
        <v>0</v>
      </c>
      <c r="AM30" s="292">
        <f>(Table1[[#This Row],[FY22 Grads]]+Table1[[#This Row],[FY22 Fails]])/Table1[[#This Row],[FY22 Total Courses]]</f>
        <v>13.9</v>
      </c>
      <c r="AN30" s="293">
        <v>500</v>
      </c>
      <c r="AO30" s="280">
        <f t="shared" si="11"/>
        <v>0.55600000000000005</v>
      </c>
      <c r="AP30" s="353" t="s">
        <v>29</v>
      </c>
    </row>
    <row r="31" spans="1:42" s="294" customFormat="1" ht="26.25" hidden="1" x14ac:dyDescent="0.25">
      <c r="A31" s="297" t="s">
        <v>505</v>
      </c>
      <c r="B31" s="273" t="s">
        <v>442</v>
      </c>
      <c r="C31" s="295" t="s">
        <v>7</v>
      </c>
      <c r="D31" s="274" t="s">
        <v>443</v>
      </c>
      <c r="E31" s="274" t="s">
        <v>155</v>
      </c>
      <c r="F31" s="275">
        <v>883</v>
      </c>
      <c r="G31" s="276">
        <v>30</v>
      </c>
      <c r="H31" s="277">
        <f t="shared" si="0"/>
        <v>29.433333333333334</v>
      </c>
      <c r="I31" s="278">
        <f t="shared" si="1"/>
        <v>30</v>
      </c>
      <c r="J31" s="279">
        <v>14</v>
      </c>
      <c r="K31" s="279">
        <v>32</v>
      </c>
      <c r="L31" s="279">
        <f t="shared" si="2"/>
        <v>448</v>
      </c>
      <c r="M31" s="275">
        <f t="shared" si="3"/>
        <v>-16</v>
      </c>
      <c r="N31" s="280">
        <f t="shared" si="4"/>
        <v>0.47565118912797283</v>
      </c>
      <c r="O31" s="281">
        <v>792</v>
      </c>
      <c r="P31" s="282">
        <v>27</v>
      </c>
      <c r="Q31" s="283"/>
      <c r="R31" s="284">
        <v>11</v>
      </c>
      <c r="S31" s="285">
        <v>30</v>
      </c>
      <c r="T31" s="286">
        <v>6</v>
      </c>
      <c r="U31" s="276">
        <v>75</v>
      </c>
      <c r="V31" s="276">
        <v>0</v>
      </c>
      <c r="W31" s="287">
        <f t="shared" si="5"/>
        <v>12.5</v>
      </c>
      <c r="X31" s="286">
        <v>939</v>
      </c>
      <c r="Y31" s="280">
        <f t="shared" si="6"/>
        <v>7.9872204472843447E-2</v>
      </c>
      <c r="Z31" s="283"/>
      <c r="AA31" s="284">
        <v>6</v>
      </c>
      <c r="AB31" s="285">
        <v>30</v>
      </c>
      <c r="AC31" s="276">
        <v>145</v>
      </c>
      <c r="AD31" s="276">
        <v>0</v>
      </c>
      <c r="AE31" s="288">
        <f t="shared" si="7"/>
        <v>24.166666666666668</v>
      </c>
      <c r="AF31" s="286">
        <v>517</v>
      </c>
      <c r="AG31" s="280">
        <f t="shared" si="8"/>
        <v>0.28046421663442939</v>
      </c>
      <c r="AH31" s="289"/>
      <c r="AI31" s="290">
        <v>4</v>
      </c>
      <c r="AJ31" s="290">
        <v>30</v>
      </c>
      <c r="AK31" s="291">
        <v>63</v>
      </c>
      <c r="AL31" s="291">
        <v>0</v>
      </c>
      <c r="AM31" s="292">
        <f>(Table1[[#This Row],[FY22 Grads]]+Table1[[#This Row],[FY22 Fails]])/Table1[[#This Row],[FY22 Total Courses]]</f>
        <v>15.75</v>
      </c>
      <c r="AN31" s="293">
        <v>431</v>
      </c>
      <c r="AO31" s="280">
        <f t="shared" si="11"/>
        <v>0.14617169373549885</v>
      </c>
      <c r="AP31" s="353" t="s">
        <v>505</v>
      </c>
    </row>
    <row r="32" spans="1:42" s="294" customFormat="1" ht="30" hidden="1" x14ac:dyDescent="0.25">
      <c r="A32" s="272" t="s">
        <v>44</v>
      </c>
      <c r="B32" s="273" t="s">
        <v>345</v>
      </c>
      <c r="C32" s="295" t="s">
        <v>7</v>
      </c>
      <c r="D32" s="274" t="s">
        <v>101</v>
      </c>
      <c r="E32" s="274">
        <v>3888</v>
      </c>
      <c r="F32" s="275">
        <v>171</v>
      </c>
      <c r="G32" s="276">
        <v>30</v>
      </c>
      <c r="H32" s="277">
        <f t="shared" si="0"/>
        <v>5.7</v>
      </c>
      <c r="I32" s="277">
        <f t="shared" si="1"/>
        <v>6</v>
      </c>
      <c r="J32" s="279">
        <v>4</v>
      </c>
      <c r="K32" s="296">
        <v>0.5</v>
      </c>
      <c r="L32" s="279">
        <f t="shared" si="2"/>
        <v>2</v>
      </c>
      <c r="M32" s="275">
        <f t="shared" si="3"/>
        <v>-2</v>
      </c>
      <c r="N32" s="280">
        <f t="shared" si="4"/>
        <v>0.70175438596491224</v>
      </c>
      <c r="O32" s="281">
        <v>261</v>
      </c>
      <c r="P32" s="282">
        <v>9</v>
      </c>
      <c r="Q32" s="283"/>
      <c r="R32" s="284">
        <v>4</v>
      </c>
      <c r="S32" s="285">
        <v>30</v>
      </c>
      <c r="T32" s="286">
        <v>2</v>
      </c>
      <c r="U32" s="276">
        <v>24</v>
      </c>
      <c r="V32" s="276">
        <v>0</v>
      </c>
      <c r="W32" s="287">
        <f t="shared" si="5"/>
        <v>12</v>
      </c>
      <c r="X32" s="305">
        <v>234</v>
      </c>
      <c r="Y32" s="280">
        <f t="shared" si="6"/>
        <v>0.10256410256410256</v>
      </c>
      <c r="Z32" s="283"/>
      <c r="AA32" s="284">
        <v>4</v>
      </c>
      <c r="AB32" s="285">
        <v>30</v>
      </c>
      <c r="AC32" s="276">
        <v>41</v>
      </c>
      <c r="AD32" s="276">
        <v>0</v>
      </c>
      <c r="AE32" s="288">
        <f t="shared" si="7"/>
        <v>10.25</v>
      </c>
      <c r="AF32" s="305">
        <v>79</v>
      </c>
      <c r="AG32" s="280">
        <f t="shared" si="8"/>
        <v>0.51898734177215189</v>
      </c>
      <c r="AH32" s="289"/>
      <c r="AI32" s="290">
        <v>4</v>
      </c>
      <c r="AJ32" s="290">
        <v>25</v>
      </c>
      <c r="AK32" s="291">
        <v>28</v>
      </c>
      <c r="AL32" s="291">
        <v>0</v>
      </c>
      <c r="AM32" s="292">
        <f>(Table1[[#This Row],[FY22 Grads]]+Table1[[#This Row],[FY22 Fails]])/Table1[[#This Row],[FY22 Total Courses]]</f>
        <v>7</v>
      </c>
      <c r="AN32" s="293">
        <v>76</v>
      </c>
      <c r="AO32" s="280">
        <f t="shared" si="11"/>
        <v>0.36842105263157893</v>
      </c>
      <c r="AP32" s="353" t="s">
        <v>44</v>
      </c>
    </row>
    <row r="33" spans="1:42" s="294" customFormat="1" ht="39" hidden="1" x14ac:dyDescent="0.25">
      <c r="A33" s="272" t="s">
        <v>506</v>
      </c>
      <c r="B33" s="273" t="s">
        <v>345</v>
      </c>
      <c r="C33" s="295" t="s">
        <v>7</v>
      </c>
      <c r="D33" s="274" t="s">
        <v>188</v>
      </c>
      <c r="E33" s="274">
        <v>5891</v>
      </c>
      <c r="F33" s="275">
        <v>813</v>
      </c>
      <c r="G33" s="276">
        <v>25</v>
      </c>
      <c r="H33" s="277">
        <f t="shared" si="0"/>
        <v>32.520000000000003</v>
      </c>
      <c r="I33" s="278">
        <f t="shared" si="1"/>
        <v>33</v>
      </c>
      <c r="J33" s="279">
        <v>11</v>
      </c>
      <c r="K33" s="279">
        <v>24</v>
      </c>
      <c r="L33" s="279">
        <f t="shared" si="2"/>
        <v>264</v>
      </c>
      <c r="M33" s="275">
        <f t="shared" si="3"/>
        <v>-22</v>
      </c>
      <c r="N33" s="280">
        <f t="shared" si="4"/>
        <v>0.33825338253382536</v>
      </c>
      <c r="O33" s="281">
        <v>797</v>
      </c>
      <c r="P33" s="282">
        <v>32</v>
      </c>
      <c r="Q33" s="283"/>
      <c r="R33" s="284">
        <v>8</v>
      </c>
      <c r="S33" s="285">
        <v>25</v>
      </c>
      <c r="T33" s="286">
        <v>5</v>
      </c>
      <c r="U33" s="276">
        <v>60</v>
      </c>
      <c r="V33" s="276">
        <v>0</v>
      </c>
      <c r="W33" s="287">
        <f t="shared" si="5"/>
        <v>12</v>
      </c>
      <c r="X33" s="305">
        <v>930</v>
      </c>
      <c r="Y33" s="280">
        <f t="shared" si="6"/>
        <v>6.4516129032258063E-2</v>
      </c>
      <c r="Z33" s="283"/>
      <c r="AA33" s="284">
        <v>8</v>
      </c>
      <c r="AB33" s="285">
        <v>25</v>
      </c>
      <c r="AC33" s="276">
        <v>91</v>
      </c>
      <c r="AD33" s="276">
        <v>0</v>
      </c>
      <c r="AE33" s="288">
        <f t="shared" si="7"/>
        <v>11.375</v>
      </c>
      <c r="AF33" s="305">
        <v>385</v>
      </c>
      <c r="AG33" s="280">
        <f t="shared" si="8"/>
        <v>0.23636363636363636</v>
      </c>
      <c r="AH33" s="289"/>
      <c r="AI33" s="290">
        <v>7</v>
      </c>
      <c r="AJ33" s="290">
        <v>25</v>
      </c>
      <c r="AK33" s="291">
        <v>105</v>
      </c>
      <c r="AL33" s="291">
        <v>0</v>
      </c>
      <c r="AM33" s="292">
        <f>(Table1[[#This Row],[FY22 Grads]]+Table1[[#This Row],[FY22 Fails]])/Table1[[#This Row],[FY22 Total Courses]]</f>
        <v>15</v>
      </c>
      <c r="AN33" s="293">
        <v>276</v>
      </c>
      <c r="AO33" s="280">
        <f t="shared" si="11"/>
        <v>0.38043478260869568</v>
      </c>
      <c r="AP33" s="353" t="s">
        <v>506</v>
      </c>
    </row>
    <row r="34" spans="1:42" s="294" customFormat="1" ht="30" hidden="1" x14ac:dyDescent="0.25">
      <c r="A34" s="272" t="s">
        <v>507</v>
      </c>
      <c r="B34" s="273" t="s">
        <v>345</v>
      </c>
      <c r="C34" s="295" t="s">
        <v>7</v>
      </c>
      <c r="D34" s="274" t="s">
        <v>98</v>
      </c>
      <c r="E34" s="274">
        <v>3882</v>
      </c>
      <c r="F34" s="275">
        <v>128</v>
      </c>
      <c r="G34" s="276">
        <v>25</v>
      </c>
      <c r="H34" s="277">
        <f t="shared" si="0"/>
        <v>5.12</v>
      </c>
      <c r="I34" s="278">
        <f t="shared" si="1"/>
        <v>6</v>
      </c>
      <c r="J34" s="279">
        <v>2</v>
      </c>
      <c r="K34" s="279">
        <v>16</v>
      </c>
      <c r="L34" s="279">
        <f t="shared" si="2"/>
        <v>32</v>
      </c>
      <c r="M34" s="275">
        <f t="shared" si="3"/>
        <v>-4</v>
      </c>
      <c r="N34" s="280">
        <f t="shared" si="4"/>
        <v>0.390625</v>
      </c>
      <c r="O34" s="281">
        <v>307</v>
      </c>
      <c r="P34" s="282">
        <v>13</v>
      </c>
      <c r="Q34" s="283"/>
      <c r="R34" s="284">
        <v>2</v>
      </c>
      <c r="S34" s="285">
        <v>25</v>
      </c>
      <c r="T34" s="286">
        <v>1</v>
      </c>
      <c r="U34" s="276">
        <v>11</v>
      </c>
      <c r="V34" s="276">
        <v>0</v>
      </c>
      <c r="W34" s="287">
        <f t="shared" si="5"/>
        <v>11</v>
      </c>
      <c r="X34" s="305">
        <v>261</v>
      </c>
      <c r="Y34" s="280">
        <f t="shared" si="6"/>
        <v>4.2145593869731802E-2</v>
      </c>
      <c r="Z34" s="283"/>
      <c r="AA34" s="284">
        <v>3</v>
      </c>
      <c r="AB34" s="285">
        <v>25</v>
      </c>
      <c r="AC34" s="276">
        <v>26</v>
      </c>
      <c r="AD34" s="276">
        <v>0</v>
      </c>
      <c r="AE34" s="288">
        <f t="shared" si="7"/>
        <v>8.6666666666666661</v>
      </c>
      <c r="AF34" s="305">
        <v>95</v>
      </c>
      <c r="AG34" s="280">
        <f t="shared" si="8"/>
        <v>0.27368421052631581</v>
      </c>
      <c r="AH34" s="289"/>
      <c r="AI34" s="290">
        <v>1</v>
      </c>
      <c r="AJ34" s="290">
        <v>25</v>
      </c>
      <c r="AK34" s="291">
        <v>9</v>
      </c>
      <c r="AL34" s="291">
        <v>0</v>
      </c>
      <c r="AM34" s="292">
        <f>(Table1[[#This Row],[FY22 Grads]]+Table1[[#This Row],[FY22 Fails]])/Table1[[#This Row],[FY22 Total Courses]]</f>
        <v>9</v>
      </c>
      <c r="AN34" s="293">
        <v>82</v>
      </c>
      <c r="AO34" s="280">
        <f t="shared" si="11"/>
        <v>0.10975609756097561</v>
      </c>
      <c r="AP34" s="353" t="s">
        <v>507</v>
      </c>
    </row>
    <row r="35" spans="1:42" s="294" customFormat="1" ht="30" hidden="1" x14ac:dyDescent="0.25">
      <c r="A35" s="272" t="s">
        <v>508</v>
      </c>
      <c r="B35" s="273" t="s">
        <v>441</v>
      </c>
      <c r="C35" s="273" t="s">
        <v>80</v>
      </c>
      <c r="D35" s="274" t="s">
        <v>249</v>
      </c>
      <c r="E35" s="274" t="s">
        <v>250</v>
      </c>
      <c r="F35" s="275">
        <v>92</v>
      </c>
      <c r="G35" s="276">
        <v>25</v>
      </c>
      <c r="H35" s="277">
        <f t="shared" si="0"/>
        <v>3.68</v>
      </c>
      <c r="I35" s="278">
        <f t="shared" si="1"/>
        <v>4</v>
      </c>
      <c r="J35" s="279">
        <v>4</v>
      </c>
      <c r="K35" s="279">
        <v>16</v>
      </c>
      <c r="L35" s="279">
        <f t="shared" si="2"/>
        <v>64</v>
      </c>
      <c r="M35" s="275">
        <f t="shared" si="3"/>
        <v>0</v>
      </c>
      <c r="N35" s="280">
        <f t="shared" si="4"/>
        <v>1.0869565217391304</v>
      </c>
      <c r="O35" s="281">
        <v>61</v>
      </c>
      <c r="P35" s="282">
        <v>3</v>
      </c>
      <c r="Q35" s="283"/>
      <c r="R35" s="284">
        <v>4</v>
      </c>
      <c r="S35" s="285">
        <v>25</v>
      </c>
      <c r="T35" s="286">
        <v>3</v>
      </c>
      <c r="U35" s="276">
        <v>22</v>
      </c>
      <c r="V35" s="276">
        <v>0</v>
      </c>
      <c r="W35" s="287">
        <f t="shared" si="5"/>
        <v>7.333333333333333</v>
      </c>
      <c r="X35" s="305">
        <v>58</v>
      </c>
      <c r="Y35" s="280">
        <f t="shared" si="6"/>
        <v>0.37931034482758619</v>
      </c>
      <c r="Z35" s="283"/>
      <c r="AA35" s="284">
        <v>4</v>
      </c>
      <c r="AB35" s="285">
        <v>25</v>
      </c>
      <c r="AC35" s="276">
        <v>54</v>
      </c>
      <c r="AD35" s="276">
        <v>2</v>
      </c>
      <c r="AE35" s="288">
        <f t="shared" si="7"/>
        <v>14</v>
      </c>
      <c r="AF35" s="306">
        <v>86</v>
      </c>
      <c r="AG35" s="280">
        <f t="shared" si="8"/>
        <v>0.65116279069767447</v>
      </c>
      <c r="AH35" s="289"/>
      <c r="AI35" s="290">
        <v>5</v>
      </c>
      <c r="AJ35" s="290">
        <v>30</v>
      </c>
      <c r="AK35" s="291">
        <v>32</v>
      </c>
      <c r="AL35" s="291">
        <v>0</v>
      </c>
      <c r="AM35" s="292">
        <f>(Table1[[#This Row],[FY22 Grads]]+Table1[[#This Row],[FY22 Fails]])/Table1[[#This Row],[FY22 Total Courses]]</f>
        <v>6.4</v>
      </c>
      <c r="AN35" s="293">
        <v>19</v>
      </c>
      <c r="AO35" s="301">
        <f t="shared" si="11"/>
        <v>1.6842105263157894</v>
      </c>
      <c r="AP35" s="353" t="s">
        <v>508</v>
      </c>
    </row>
    <row r="36" spans="1:42" s="294" customFormat="1" ht="15.75" hidden="1" x14ac:dyDescent="0.25">
      <c r="A36" s="272" t="s">
        <v>45</v>
      </c>
      <c r="B36" s="273" t="s">
        <v>345</v>
      </c>
      <c r="C36" s="295" t="s">
        <v>7</v>
      </c>
      <c r="D36" s="274" t="s">
        <v>104</v>
      </c>
      <c r="E36" s="274" t="s">
        <v>105</v>
      </c>
      <c r="F36" s="275">
        <v>197</v>
      </c>
      <c r="G36" s="276">
        <v>25</v>
      </c>
      <c r="H36" s="277">
        <f t="shared" si="0"/>
        <v>7.88</v>
      </c>
      <c r="I36" s="277">
        <f t="shared" si="1"/>
        <v>8</v>
      </c>
      <c r="J36" s="279">
        <v>2</v>
      </c>
      <c r="K36" s="279">
        <v>40</v>
      </c>
      <c r="L36" s="279">
        <f t="shared" si="2"/>
        <v>80</v>
      </c>
      <c r="M36" s="275">
        <f t="shared" si="3"/>
        <v>-6</v>
      </c>
      <c r="N36" s="280">
        <f t="shared" si="4"/>
        <v>0.25380710659898476</v>
      </c>
      <c r="O36" s="281">
        <v>330</v>
      </c>
      <c r="P36" s="282">
        <v>14</v>
      </c>
      <c r="Q36" s="283"/>
      <c r="R36" s="284">
        <v>2</v>
      </c>
      <c r="S36" s="285">
        <v>25</v>
      </c>
      <c r="T36" s="286">
        <v>1</v>
      </c>
      <c r="U36" s="276">
        <v>7</v>
      </c>
      <c r="V36" s="276">
        <v>0</v>
      </c>
      <c r="W36" s="287">
        <f t="shared" si="5"/>
        <v>7</v>
      </c>
      <c r="X36" s="305">
        <v>291</v>
      </c>
      <c r="Y36" s="280">
        <f t="shared" si="6"/>
        <v>2.4054982817869417E-2</v>
      </c>
      <c r="Z36" s="283"/>
      <c r="AA36" s="284">
        <v>3</v>
      </c>
      <c r="AB36" s="285">
        <v>25</v>
      </c>
      <c r="AC36" s="276">
        <v>22</v>
      </c>
      <c r="AD36" s="276">
        <v>0</v>
      </c>
      <c r="AE36" s="288">
        <f t="shared" si="7"/>
        <v>7.333333333333333</v>
      </c>
      <c r="AF36" s="305">
        <v>150</v>
      </c>
      <c r="AG36" s="280">
        <f t="shared" si="8"/>
        <v>0.14666666666666667</v>
      </c>
      <c r="AH36" s="289"/>
      <c r="AI36" s="290">
        <v>1</v>
      </c>
      <c r="AJ36" s="290">
        <v>25</v>
      </c>
      <c r="AK36" s="291">
        <v>5</v>
      </c>
      <c r="AL36" s="291">
        <v>0</v>
      </c>
      <c r="AM36" s="292">
        <f>(Table1[[#This Row],[FY22 Grads]]+Table1[[#This Row],[FY22 Fails]])/Table1[[#This Row],[FY22 Total Courses]]</f>
        <v>5</v>
      </c>
      <c r="AN36" s="293">
        <v>96</v>
      </c>
      <c r="AO36" s="280">
        <f t="shared" si="11"/>
        <v>5.2083333333333336E-2</v>
      </c>
      <c r="AP36" s="353" t="s">
        <v>45</v>
      </c>
    </row>
    <row r="37" spans="1:42" s="294" customFormat="1" ht="30" hidden="1" x14ac:dyDescent="0.25">
      <c r="A37" s="272" t="s">
        <v>48</v>
      </c>
      <c r="B37" s="273" t="s">
        <v>345</v>
      </c>
      <c r="C37" s="295" t="s">
        <v>7</v>
      </c>
      <c r="D37" s="274" t="s">
        <v>133</v>
      </c>
      <c r="E37" s="274" t="s">
        <v>134</v>
      </c>
      <c r="F37" s="275">
        <v>61</v>
      </c>
      <c r="G37" s="276">
        <v>25</v>
      </c>
      <c r="H37" s="277">
        <f t="shared" si="0"/>
        <v>2.44</v>
      </c>
      <c r="I37" s="278">
        <f t="shared" si="1"/>
        <v>3</v>
      </c>
      <c r="J37" s="279">
        <v>2</v>
      </c>
      <c r="K37" s="279">
        <v>16</v>
      </c>
      <c r="L37" s="279">
        <f t="shared" si="2"/>
        <v>32</v>
      </c>
      <c r="M37" s="275">
        <f t="shared" si="3"/>
        <v>-1</v>
      </c>
      <c r="N37" s="280">
        <f t="shared" si="4"/>
        <v>0.81967213114754101</v>
      </c>
      <c r="O37" s="281">
        <v>131</v>
      </c>
      <c r="P37" s="282">
        <v>6</v>
      </c>
      <c r="Q37" s="283"/>
      <c r="R37" s="284">
        <v>1</v>
      </c>
      <c r="S37" s="285">
        <v>25</v>
      </c>
      <c r="T37" s="286">
        <v>0</v>
      </c>
      <c r="U37" s="276">
        <v>0</v>
      </c>
      <c r="V37" s="276">
        <v>0</v>
      </c>
      <c r="W37" s="287"/>
      <c r="X37" s="305">
        <v>113</v>
      </c>
      <c r="Y37" s="280">
        <f t="shared" si="6"/>
        <v>0</v>
      </c>
      <c r="Z37" s="283"/>
      <c r="AA37" s="284">
        <v>2</v>
      </c>
      <c r="AB37" s="285">
        <v>25</v>
      </c>
      <c r="AC37" s="276">
        <v>25</v>
      </c>
      <c r="AD37" s="276">
        <v>1</v>
      </c>
      <c r="AE37" s="288">
        <f t="shared" si="7"/>
        <v>13</v>
      </c>
      <c r="AF37" s="305">
        <v>30</v>
      </c>
      <c r="AG37" s="280">
        <f t="shared" si="8"/>
        <v>0.8666666666666667</v>
      </c>
      <c r="AH37" s="289"/>
      <c r="AI37" s="290"/>
      <c r="AJ37" s="290"/>
      <c r="AK37" s="298"/>
      <c r="AL37" s="298"/>
      <c r="AM37" s="292"/>
      <c r="AN37" s="293">
        <v>111</v>
      </c>
      <c r="AO37" s="280">
        <v>0</v>
      </c>
      <c r="AP37" s="353" t="s">
        <v>48</v>
      </c>
    </row>
    <row r="38" spans="1:42" s="294" customFormat="1" ht="45" hidden="1" x14ac:dyDescent="0.25">
      <c r="A38" s="272" t="s">
        <v>509</v>
      </c>
      <c r="B38" s="273" t="s">
        <v>345</v>
      </c>
      <c r="C38" s="273" t="s">
        <v>80</v>
      </c>
      <c r="D38" s="274" t="s">
        <v>394</v>
      </c>
      <c r="E38" s="274" t="s">
        <v>394</v>
      </c>
      <c r="F38" s="275">
        <v>578</v>
      </c>
      <c r="G38" s="276">
        <v>45</v>
      </c>
      <c r="H38" s="277">
        <f t="shared" si="0"/>
        <v>12.844444444444445</v>
      </c>
      <c r="I38" s="278">
        <f t="shared" si="1"/>
        <v>13</v>
      </c>
      <c r="J38" s="275"/>
      <c r="K38" s="275"/>
      <c r="L38" s="275"/>
      <c r="M38" s="275">
        <f t="shared" si="3"/>
        <v>-13</v>
      </c>
      <c r="N38" s="280">
        <f t="shared" si="4"/>
        <v>0</v>
      </c>
      <c r="O38" s="281"/>
      <c r="P38" s="282"/>
      <c r="Q38" s="283"/>
      <c r="R38" s="284"/>
      <c r="S38" s="285"/>
      <c r="T38" s="286"/>
      <c r="U38" s="276"/>
      <c r="V38" s="276"/>
      <c r="W38" s="287"/>
      <c r="X38" s="276"/>
      <c r="Y38" s="280"/>
      <c r="Z38" s="283"/>
      <c r="AA38" s="284"/>
      <c r="AB38" s="309"/>
      <c r="AC38" s="276"/>
      <c r="AD38" s="276"/>
      <c r="AE38" s="288"/>
      <c r="AF38" s="298"/>
      <c r="AG38" s="280"/>
      <c r="AH38" s="289"/>
      <c r="AI38" s="290"/>
      <c r="AJ38" s="290"/>
      <c r="AK38" s="291"/>
      <c r="AL38" s="291"/>
      <c r="AM38" s="292"/>
      <c r="AN38" s="293"/>
      <c r="AO38" s="280"/>
      <c r="AP38" s="353" t="s">
        <v>509</v>
      </c>
    </row>
    <row r="39" spans="1:42" s="294" customFormat="1" ht="26.25" hidden="1" x14ac:dyDescent="0.25">
      <c r="A39" s="272" t="s">
        <v>231</v>
      </c>
      <c r="B39" s="273" t="s">
        <v>441</v>
      </c>
      <c r="C39" s="273" t="s">
        <v>80</v>
      </c>
      <c r="D39" s="274" t="s">
        <v>232</v>
      </c>
      <c r="E39" s="274" t="s">
        <v>510</v>
      </c>
      <c r="F39" s="275">
        <v>711</v>
      </c>
      <c r="G39" s="276">
        <v>25</v>
      </c>
      <c r="H39" s="277">
        <f t="shared" si="0"/>
        <v>28.44</v>
      </c>
      <c r="I39" s="278">
        <f t="shared" si="1"/>
        <v>29</v>
      </c>
      <c r="J39" s="310"/>
      <c r="K39" s="310"/>
      <c r="L39" s="310"/>
      <c r="M39" s="310">
        <f t="shared" si="3"/>
        <v>-29</v>
      </c>
      <c r="N39" s="311">
        <f t="shared" si="4"/>
        <v>0</v>
      </c>
      <c r="O39" s="281"/>
      <c r="P39" s="282"/>
      <c r="Q39" s="283"/>
      <c r="R39" s="284"/>
      <c r="S39" s="285"/>
      <c r="T39" s="286"/>
      <c r="U39" s="276"/>
      <c r="V39" s="276"/>
      <c r="W39" s="287"/>
      <c r="X39" s="338"/>
      <c r="Y39" s="280"/>
      <c r="Z39" s="283"/>
      <c r="AA39" s="284"/>
      <c r="AB39" s="309"/>
      <c r="AC39" s="276"/>
      <c r="AD39" s="276"/>
      <c r="AE39" s="288"/>
      <c r="AF39" s="306"/>
      <c r="AG39" s="280"/>
      <c r="AH39" s="289"/>
      <c r="AI39" s="290"/>
      <c r="AJ39" s="290"/>
      <c r="AK39" s="291"/>
      <c r="AL39" s="291"/>
      <c r="AM39" s="292"/>
      <c r="AN39" s="293"/>
      <c r="AO39" s="280"/>
      <c r="AP39" s="353" t="s">
        <v>231</v>
      </c>
    </row>
    <row r="40" spans="1:42" s="294" customFormat="1" ht="30" hidden="1" x14ac:dyDescent="0.25">
      <c r="A40" s="312" t="s">
        <v>511</v>
      </c>
      <c r="B40" s="273" t="s">
        <v>442</v>
      </c>
      <c r="C40" s="313" t="s">
        <v>80</v>
      </c>
      <c r="D40" s="314" t="s">
        <v>394</v>
      </c>
      <c r="E40" s="314" t="s">
        <v>394</v>
      </c>
      <c r="F40" s="315">
        <v>1178</v>
      </c>
      <c r="G40" s="316">
        <v>45</v>
      </c>
      <c r="H40" s="317">
        <f t="shared" si="0"/>
        <v>26.177777777777777</v>
      </c>
      <c r="I40" s="317">
        <f t="shared" si="1"/>
        <v>27</v>
      </c>
      <c r="J40" s="310"/>
      <c r="K40" s="310"/>
      <c r="L40" s="310"/>
      <c r="M40" s="310">
        <f t="shared" si="3"/>
        <v>-27</v>
      </c>
      <c r="N40" s="311">
        <f t="shared" si="4"/>
        <v>0</v>
      </c>
      <c r="O40" s="318"/>
      <c r="P40" s="319"/>
      <c r="Q40" s="283"/>
      <c r="R40" s="284"/>
      <c r="S40" s="284"/>
      <c r="T40" s="276"/>
      <c r="U40" s="276"/>
      <c r="V40" s="276"/>
      <c r="W40" s="287"/>
      <c r="X40" s="276"/>
      <c r="Y40" s="280"/>
      <c r="Z40" s="283"/>
      <c r="AA40" s="284"/>
      <c r="AB40" s="309"/>
      <c r="AC40" s="276"/>
      <c r="AD40" s="276"/>
      <c r="AE40" s="288"/>
      <c r="AF40" s="298"/>
      <c r="AG40" s="280"/>
      <c r="AH40" s="289"/>
      <c r="AI40" s="320"/>
      <c r="AJ40" s="320"/>
      <c r="AK40" s="321"/>
      <c r="AL40" s="321"/>
      <c r="AM40" s="322"/>
      <c r="AN40" s="323"/>
      <c r="AO40" s="311"/>
      <c r="AP40" s="354" t="s">
        <v>511</v>
      </c>
    </row>
    <row r="41" spans="1:42" s="294" customFormat="1" x14ac:dyDescent="0.25">
      <c r="A41" s="324" t="s">
        <v>62</v>
      </c>
      <c r="B41" s="325"/>
      <c r="C41" s="325"/>
      <c r="D41" s="325"/>
      <c r="E41" s="325"/>
      <c r="F41" s="326">
        <f>SUBTOTAL(109,F2:F40)</f>
        <v>1606</v>
      </c>
      <c r="G41" s="327"/>
      <c r="H41" s="327"/>
      <c r="I41" s="327">
        <f>SUBTOTAL(109,Table1[FY25Courses Needed Round Up])</f>
        <v>36</v>
      </c>
      <c r="J41" s="327">
        <f>SUM(J2:J40)</f>
        <v>497</v>
      </c>
      <c r="K41" s="327"/>
      <c r="L41" s="327"/>
      <c r="M41" s="327">
        <f>SUM(J41-I41)</f>
        <v>461</v>
      </c>
      <c r="N41" s="327"/>
      <c r="O41" s="328">
        <f>SUBTOTAL(109,Table1[Quotas: All Data])</f>
        <v>919</v>
      </c>
      <c r="P41" s="328">
        <f>SUBTOTAL(109,Table1[Courses Needed: All Data])</f>
        <v>31</v>
      </c>
      <c r="Q41" s="329"/>
      <c r="R41" s="279">
        <f>SUM(R2:R40)</f>
        <v>430</v>
      </c>
      <c r="S41" s="279">
        <f>SUM(S2:S40)</f>
        <v>1235</v>
      </c>
      <c r="T41" s="279"/>
      <c r="U41" s="279">
        <f>SUM(U2:U40)</f>
        <v>7574</v>
      </c>
      <c r="V41" s="279">
        <f>SUM(AD2:AD40)</f>
        <v>271</v>
      </c>
      <c r="W41" s="279"/>
      <c r="X41" s="330">
        <f>SUM(X2:X40)</f>
        <v>26845</v>
      </c>
      <c r="Y41" s="279"/>
      <c r="Z41" s="329"/>
      <c r="AA41" s="279">
        <f>SUM(AA2:AA40)</f>
        <v>431</v>
      </c>
      <c r="AB41" s="279">
        <f>SUM(AB2:AB40)</f>
        <v>1120</v>
      </c>
      <c r="AC41" s="279">
        <f>SUM(AC2:AC40)</f>
        <v>10137</v>
      </c>
      <c r="AD41" s="279">
        <f>SUM(AL2:AL40)</f>
        <v>173</v>
      </c>
      <c r="AE41" s="279"/>
      <c r="AF41" s="330">
        <f>SUM(AF2:AF40)</f>
        <v>15180</v>
      </c>
      <c r="AG41" s="279"/>
      <c r="AH41" s="331"/>
      <c r="AI41" s="279">
        <f>SUBTOTAL(109,Table1[FY22 Total Courses])</f>
        <v>12</v>
      </c>
      <c r="AJ41" s="279">
        <f>SUM(AJ2:AJ40)</f>
        <v>1000</v>
      </c>
      <c r="AK41" s="279">
        <f>SUM(AK2:AK40)</f>
        <v>8105</v>
      </c>
      <c r="AL41" s="279">
        <f>SUM(AL2:AL40)</f>
        <v>173</v>
      </c>
      <c r="AM41" s="279"/>
      <c r="AN41" s="330">
        <f>SUM(AN2:AN40)</f>
        <v>10947</v>
      </c>
      <c r="AO41" s="332"/>
      <c r="AP41" s="333" t="s">
        <v>62</v>
      </c>
    </row>
    <row r="42" spans="1:42" x14ac:dyDescent="0.25">
      <c r="A42" s="334" t="s">
        <v>512</v>
      </c>
    </row>
    <row r="43" spans="1:42" x14ac:dyDescent="0.25">
      <c r="AH43" s="335"/>
      <c r="AJ43" s="14"/>
    </row>
    <row r="44" spans="1:42" x14ac:dyDescent="0.25">
      <c r="AI44" s="14"/>
      <c r="AJ44" s="14"/>
    </row>
    <row r="45" spans="1:42" x14ac:dyDescent="0.25">
      <c r="AI45" s="14"/>
      <c r="AJ45" s="14"/>
    </row>
    <row r="46" spans="1:42" x14ac:dyDescent="0.25">
      <c r="AI46" s="14"/>
      <c r="AJ46" s="14"/>
    </row>
    <row r="47" spans="1:42" x14ac:dyDescent="0.25">
      <c r="AI47" s="14"/>
      <c r="AJ47" s="14"/>
    </row>
    <row r="48" spans="1:42" x14ac:dyDescent="0.25">
      <c r="AI48" s="14"/>
      <c r="AJ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</sheetData>
  <conditionalFormatting sqref="S2:T39">
    <cfRule type="cellIs" dxfId="649" priority="1" operator="lessThan">
      <formula>0</formula>
    </cfRule>
  </conditionalFormatting>
  <conditionalFormatting sqref="X2:X31 AF2:AF31 AB2:AB37 X33:X35 AF33:AF38 X37:X39">
    <cfRule type="cellIs" dxfId="648" priority="2" operator="lessThan">
      <formula>0</formula>
    </cfRule>
  </conditionalFormatting>
  <pageMargins left="0.7" right="0.7" top="0.75" bottom="0.75" header="0.3" footer="0.3"/>
  <pageSetup paperSize="5" scale="99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DE3D-EB10-4E9D-B779-3906CC1B29D9}">
  <dimension ref="A1:Y15"/>
  <sheetViews>
    <sheetView workbookViewId="0">
      <selection sqref="A1:A104857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513</v>
      </c>
    </row>
    <row r="3" spans="1:25" x14ac:dyDescent="0.25">
      <c r="A3" t="s">
        <v>514</v>
      </c>
      <c r="B3" t="s">
        <v>515</v>
      </c>
      <c r="C3" t="s">
        <v>41</v>
      </c>
      <c r="D3" t="s">
        <v>42</v>
      </c>
      <c r="E3" t="s">
        <v>507</v>
      </c>
      <c r="F3" t="s">
        <v>44</v>
      </c>
      <c r="G3" t="s">
        <v>45</v>
      </c>
      <c r="H3" t="s">
        <v>46</v>
      </c>
      <c r="I3" t="s">
        <v>503</v>
      </c>
      <c r="J3" t="s">
        <v>504</v>
      </c>
      <c r="K3" t="s">
        <v>56</v>
      </c>
      <c r="L3" t="s">
        <v>48</v>
      </c>
      <c r="M3" t="s">
        <v>516</v>
      </c>
      <c r="N3" t="s">
        <v>517</v>
      </c>
      <c r="O3" t="s">
        <v>505</v>
      </c>
      <c r="P3" t="s">
        <v>518</v>
      </c>
      <c r="Q3" t="s">
        <v>519</v>
      </c>
      <c r="R3" t="s">
        <v>520</v>
      </c>
      <c r="S3" t="s">
        <v>521</v>
      </c>
      <c r="T3" t="s">
        <v>522</v>
      </c>
      <c r="U3" t="s">
        <v>506</v>
      </c>
      <c r="V3" t="s">
        <v>523</v>
      </c>
      <c r="W3" t="s">
        <v>53</v>
      </c>
      <c r="X3" t="s">
        <v>501</v>
      </c>
      <c r="Y3" t="s">
        <v>524</v>
      </c>
    </row>
    <row r="4" spans="1:25" x14ac:dyDescent="0.25">
      <c r="A4" t="s">
        <v>525</v>
      </c>
      <c r="B4" t="s">
        <v>86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526</v>
      </c>
      <c r="B5" t="s">
        <v>86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4</v>
      </c>
      <c r="K5">
        <v>10</v>
      </c>
      <c r="P5">
        <v>1</v>
      </c>
      <c r="Q5">
        <v>1</v>
      </c>
      <c r="R5">
        <v>2</v>
      </c>
      <c r="S5">
        <v>3</v>
      </c>
      <c r="V5">
        <v>1</v>
      </c>
      <c r="Y5">
        <v>34</v>
      </c>
    </row>
    <row r="6" spans="1:25" x14ac:dyDescent="0.25">
      <c r="A6" t="s">
        <v>527</v>
      </c>
      <c r="B6" t="s">
        <v>86</v>
      </c>
      <c r="M6">
        <v>30</v>
      </c>
      <c r="Q6">
        <v>30</v>
      </c>
      <c r="S6">
        <v>30</v>
      </c>
      <c r="V6">
        <v>30</v>
      </c>
      <c r="Y6">
        <v>120</v>
      </c>
    </row>
    <row r="7" spans="1:25" x14ac:dyDescent="0.25">
      <c r="A7" t="s">
        <v>397</v>
      </c>
      <c r="B7" t="s">
        <v>86</v>
      </c>
      <c r="Y7">
        <v>0</v>
      </c>
    </row>
    <row r="8" spans="1:25" x14ac:dyDescent="0.25">
      <c r="A8" t="s">
        <v>528</v>
      </c>
      <c r="B8" t="s">
        <v>86</v>
      </c>
      <c r="Y8">
        <v>0</v>
      </c>
    </row>
    <row r="9" spans="1:25" x14ac:dyDescent="0.25">
      <c r="A9" t="s">
        <v>529</v>
      </c>
      <c r="B9" t="s">
        <v>86</v>
      </c>
      <c r="W9">
        <v>1</v>
      </c>
      <c r="Y9">
        <v>1</v>
      </c>
    </row>
    <row r="10" spans="1:25" x14ac:dyDescent="0.25">
      <c r="A10" t="s">
        <v>530</v>
      </c>
      <c r="B10" t="s">
        <v>86</v>
      </c>
      <c r="I10">
        <v>2</v>
      </c>
      <c r="Y10">
        <v>2</v>
      </c>
    </row>
    <row r="11" spans="1:25" x14ac:dyDescent="0.25">
      <c r="A11" t="s">
        <v>531</v>
      </c>
      <c r="B11" t="s">
        <v>86</v>
      </c>
      <c r="Y11">
        <v>0</v>
      </c>
    </row>
    <row r="12" spans="1:25" x14ac:dyDescent="0.25">
      <c r="A12" t="s">
        <v>532</v>
      </c>
      <c r="B12" t="s">
        <v>86</v>
      </c>
      <c r="Y12">
        <v>0</v>
      </c>
    </row>
    <row r="13" spans="1:25" x14ac:dyDescent="0.25">
      <c r="A13" t="s">
        <v>533</v>
      </c>
      <c r="B13" t="s">
        <v>86</v>
      </c>
      <c r="Y13">
        <v>0</v>
      </c>
    </row>
    <row r="14" spans="1:25" x14ac:dyDescent="0.25">
      <c r="A14" t="s">
        <v>534</v>
      </c>
      <c r="B14" t="s">
        <v>86</v>
      </c>
      <c r="Y14">
        <v>0</v>
      </c>
    </row>
    <row r="15" spans="1:25" x14ac:dyDescent="0.25">
      <c r="A15" t="s">
        <v>535</v>
      </c>
      <c r="B15" t="s">
        <v>86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669D-2ECC-463B-A7D6-8D15B7D81945}">
  <dimension ref="A1:Y15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536</v>
      </c>
    </row>
    <row r="3" spans="1:25" x14ac:dyDescent="0.25">
      <c r="A3" t="s">
        <v>514</v>
      </c>
      <c r="B3" t="s">
        <v>515</v>
      </c>
      <c r="C3" t="s">
        <v>41</v>
      </c>
      <c r="D3" t="s">
        <v>42</v>
      </c>
      <c r="E3" t="s">
        <v>507</v>
      </c>
      <c r="F3" t="s">
        <v>44</v>
      </c>
      <c r="G3" t="s">
        <v>45</v>
      </c>
      <c r="H3" t="s">
        <v>46</v>
      </c>
      <c r="I3" t="s">
        <v>503</v>
      </c>
      <c r="J3" t="s">
        <v>504</v>
      </c>
      <c r="K3" t="s">
        <v>56</v>
      </c>
      <c r="L3" t="s">
        <v>48</v>
      </c>
      <c r="M3" t="s">
        <v>516</v>
      </c>
      <c r="N3" t="s">
        <v>517</v>
      </c>
      <c r="O3" t="s">
        <v>505</v>
      </c>
      <c r="P3" t="s">
        <v>518</v>
      </c>
      <c r="Q3" t="s">
        <v>519</v>
      </c>
      <c r="R3" t="s">
        <v>520</v>
      </c>
      <c r="S3" t="s">
        <v>521</v>
      </c>
      <c r="T3" t="s">
        <v>522</v>
      </c>
      <c r="U3" t="s">
        <v>506</v>
      </c>
      <c r="V3" t="s">
        <v>523</v>
      </c>
      <c r="W3" t="s">
        <v>53</v>
      </c>
      <c r="X3" t="s">
        <v>501</v>
      </c>
      <c r="Y3" t="s">
        <v>524</v>
      </c>
    </row>
    <row r="4" spans="1:25" x14ac:dyDescent="0.25">
      <c r="A4" t="s">
        <v>525</v>
      </c>
      <c r="B4" t="s">
        <v>91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529</v>
      </c>
      <c r="B5" t="s">
        <v>91</v>
      </c>
      <c r="I5">
        <v>1</v>
      </c>
      <c r="U5">
        <v>1</v>
      </c>
      <c r="Y5">
        <v>2</v>
      </c>
    </row>
    <row r="6" spans="1:25" x14ac:dyDescent="0.25">
      <c r="A6" t="s">
        <v>530</v>
      </c>
      <c r="B6" t="s">
        <v>91</v>
      </c>
      <c r="I6">
        <v>2</v>
      </c>
      <c r="P6">
        <v>2</v>
      </c>
      <c r="Q6">
        <v>5</v>
      </c>
      <c r="Y6">
        <v>9</v>
      </c>
    </row>
    <row r="7" spans="1:25" x14ac:dyDescent="0.25">
      <c r="A7" t="s">
        <v>533</v>
      </c>
      <c r="B7" t="s">
        <v>91</v>
      </c>
      <c r="I7">
        <v>5</v>
      </c>
      <c r="W7">
        <v>20</v>
      </c>
      <c r="Y7">
        <v>25</v>
      </c>
    </row>
    <row r="8" spans="1:25" x14ac:dyDescent="0.25">
      <c r="A8" t="s">
        <v>526</v>
      </c>
      <c r="B8" t="s">
        <v>91</v>
      </c>
      <c r="C8">
        <v>2</v>
      </c>
      <c r="D8">
        <v>5</v>
      </c>
      <c r="E8">
        <v>1</v>
      </c>
      <c r="F8">
        <v>3</v>
      </c>
      <c r="G8">
        <v>2</v>
      </c>
      <c r="H8">
        <v>4</v>
      </c>
      <c r="I8">
        <v>11</v>
      </c>
      <c r="K8">
        <v>2</v>
      </c>
      <c r="O8">
        <v>1</v>
      </c>
      <c r="P8">
        <v>1</v>
      </c>
      <c r="Q8">
        <v>1</v>
      </c>
      <c r="R8">
        <v>7</v>
      </c>
      <c r="S8">
        <v>8</v>
      </c>
      <c r="V8">
        <v>3</v>
      </c>
      <c r="Y8">
        <v>51</v>
      </c>
    </row>
    <row r="9" spans="1:25" x14ac:dyDescent="0.25">
      <c r="A9" t="s">
        <v>527</v>
      </c>
      <c r="B9" t="s">
        <v>91</v>
      </c>
      <c r="M9">
        <v>20</v>
      </c>
      <c r="N9">
        <v>20</v>
      </c>
      <c r="P9">
        <v>20</v>
      </c>
      <c r="Q9">
        <v>20</v>
      </c>
      <c r="R9">
        <v>20</v>
      </c>
      <c r="S9">
        <v>20</v>
      </c>
      <c r="T9">
        <v>20</v>
      </c>
      <c r="V9">
        <v>20</v>
      </c>
      <c r="X9">
        <v>30</v>
      </c>
      <c r="Y9">
        <v>190</v>
      </c>
    </row>
    <row r="10" spans="1:25" x14ac:dyDescent="0.25">
      <c r="A10" t="s">
        <v>397</v>
      </c>
      <c r="B10" t="s">
        <v>91</v>
      </c>
      <c r="Y10">
        <v>0</v>
      </c>
    </row>
    <row r="11" spans="1:25" x14ac:dyDescent="0.25">
      <c r="A11" t="s">
        <v>528</v>
      </c>
      <c r="B11" t="s">
        <v>91</v>
      </c>
      <c r="Y11">
        <v>0</v>
      </c>
    </row>
    <row r="12" spans="1:25" x14ac:dyDescent="0.25">
      <c r="A12" t="s">
        <v>531</v>
      </c>
      <c r="B12" t="s">
        <v>91</v>
      </c>
      <c r="Y12">
        <v>0</v>
      </c>
    </row>
    <row r="13" spans="1:25" x14ac:dyDescent="0.25">
      <c r="A13" t="s">
        <v>532</v>
      </c>
      <c r="B13" t="s">
        <v>91</v>
      </c>
      <c r="Y13">
        <v>0</v>
      </c>
    </row>
    <row r="14" spans="1:25" x14ac:dyDescent="0.25">
      <c r="A14" t="s">
        <v>534</v>
      </c>
      <c r="B14" t="s">
        <v>91</v>
      </c>
      <c r="Y14">
        <v>0</v>
      </c>
    </row>
    <row r="15" spans="1:25" x14ac:dyDescent="0.25">
      <c r="A15" t="s">
        <v>535</v>
      </c>
      <c r="B15" t="s">
        <v>91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EF87-21CB-45BC-83F8-EBFD1A3F61F5}">
  <sheetPr>
    <tabColor theme="7" tint="0.39997558519241921"/>
  </sheetPr>
  <dimension ref="A1:DD27"/>
  <sheetViews>
    <sheetView zoomScaleNormal="100" workbookViewId="0">
      <pane xSplit="1" topLeftCell="B1" activePane="topRight" state="frozen"/>
      <selection pane="topRight" activeCell="A11" sqref="A11"/>
    </sheetView>
  </sheetViews>
  <sheetFormatPr defaultColWidth="9.140625" defaultRowHeight="15" x14ac:dyDescent="0.25"/>
  <cols>
    <col min="1" max="1" width="66.42578125" bestFit="1" customWidth="1"/>
    <col min="2" max="2" width="16.28515625" bestFit="1" customWidth="1"/>
    <col min="3" max="6" width="4" bestFit="1" customWidth="1"/>
    <col min="7" max="7" width="3.7109375" bestFit="1" customWidth="1"/>
    <col min="8" max="19" width="4" bestFit="1" customWidth="1"/>
    <col min="20" max="20" width="3.7109375" bestFit="1" customWidth="1"/>
    <col min="21" max="21" width="4" bestFit="1" customWidth="1"/>
    <col min="22" max="23" width="3.7109375" bestFit="1" customWidth="1"/>
    <col min="24" max="24" width="4" bestFit="1" customWidth="1"/>
    <col min="25" max="25" width="3.7109375" bestFit="1" customWidth="1"/>
    <col min="26" max="27" width="4" bestFit="1" customWidth="1"/>
    <col min="28" max="28" width="3.7109375" bestFit="1" customWidth="1"/>
    <col min="29" max="31" width="4" bestFit="1" customWidth="1"/>
    <col min="32" max="32" width="5" bestFit="1" customWidth="1"/>
    <col min="33" max="33" width="4" bestFit="1" customWidth="1"/>
    <col min="34" max="34" width="3.7109375" bestFit="1" customWidth="1"/>
    <col min="35" max="35" width="4" bestFit="1" customWidth="1"/>
    <col min="36" max="36" width="5" bestFit="1" customWidth="1"/>
    <col min="37" max="37" width="4" bestFit="1" customWidth="1"/>
    <col min="38" max="38" width="3.7109375" bestFit="1" customWidth="1"/>
    <col min="39" max="40" width="4" bestFit="1" customWidth="1"/>
    <col min="41" max="41" width="3.7109375" bestFit="1" customWidth="1"/>
    <col min="42" max="42" width="5" bestFit="1" customWidth="1"/>
    <col min="43" max="43" width="4" bestFit="1" customWidth="1"/>
    <col min="44" max="46" width="3.7109375" bestFit="1" customWidth="1"/>
    <col min="47" max="51" width="4" bestFit="1" customWidth="1"/>
    <col min="52" max="60" width="3.7109375" bestFit="1" customWidth="1"/>
    <col min="61" max="61" width="4" bestFit="1" customWidth="1"/>
    <col min="62" max="65" width="3.7109375" bestFit="1" customWidth="1"/>
    <col min="66" max="66" width="4" bestFit="1" customWidth="1"/>
    <col min="67" max="69" width="3.7109375" bestFit="1" customWidth="1"/>
    <col min="70" max="70" width="4" bestFit="1" customWidth="1"/>
    <col min="71" max="80" width="3.7109375" bestFit="1" customWidth="1"/>
    <col min="81" max="81" width="4" bestFit="1" customWidth="1"/>
    <col min="82" max="83" width="3.7109375" bestFit="1" customWidth="1"/>
    <col min="84" max="84" width="4" bestFit="1" customWidth="1"/>
    <col min="85" max="89" width="3.7109375" bestFit="1" customWidth="1"/>
    <col min="90" max="90" width="4" bestFit="1" customWidth="1"/>
    <col min="91" max="106" width="3.7109375" bestFit="1" customWidth="1"/>
    <col min="107" max="107" width="6" bestFit="1" customWidth="1"/>
    <col min="108" max="108" width="8" customWidth="1"/>
    <col min="109" max="203" width="44.28515625" bestFit="1" customWidth="1"/>
    <col min="204" max="204" width="44.28515625" customWidth="1"/>
    <col min="205" max="250" width="44.28515625" bestFit="1" customWidth="1"/>
    <col min="251" max="251" width="29.7109375" bestFit="1" customWidth="1"/>
    <col min="252" max="252" width="38.42578125" bestFit="1" customWidth="1"/>
    <col min="253" max="253" width="40.28515625" bestFit="1" customWidth="1"/>
    <col min="254" max="254" width="49" bestFit="1" customWidth="1"/>
    <col min="255" max="255" width="36" bestFit="1" customWidth="1"/>
  </cols>
  <sheetData>
    <row r="1" spans="1:108" x14ac:dyDescent="0.25">
      <c r="A1" t="s">
        <v>514</v>
      </c>
      <c r="B1" t="s">
        <v>537</v>
      </c>
    </row>
    <row r="3" spans="1:108" hidden="1" x14ac:dyDescent="0.25">
      <c r="B3" t="s">
        <v>538</v>
      </c>
    </row>
    <row r="4" spans="1:108" s="250" customFormat="1" ht="111" customHeight="1" x14ac:dyDescent="0.25">
      <c r="A4" s="1" t="s">
        <v>63</v>
      </c>
      <c r="B4" s="249" t="s">
        <v>86</v>
      </c>
      <c r="C4" s="249" t="s">
        <v>91</v>
      </c>
      <c r="D4" s="249" t="s">
        <v>102</v>
      </c>
      <c r="E4" s="249" t="s">
        <v>121</v>
      </c>
      <c r="F4" s="249" t="s">
        <v>128</v>
      </c>
      <c r="G4" s="249" t="s">
        <v>139</v>
      </c>
      <c r="H4" s="249" t="s">
        <v>142</v>
      </c>
      <c r="I4" s="249" t="s">
        <v>146</v>
      </c>
      <c r="J4" s="249" t="s">
        <v>150</v>
      </c>
      <c r="K4" s="249" t="s">
        <v>153</v>
      </c>
      <c r="L4" s="249" t="s">
        <v>157</v>
      </c>
      <c r="M4" s="249" t="s">
        <v>161</v>
      </c>
      <c r="N4" s="249" t="s">
        <v>168</v>
      </c>
      <c r="O4" s="249" t="s">
        <v>172</v>
      </c>
      <c r="P4" s="249" t="s">
        <v>176</v>
      </c>
      <c r="Q4" s="249" t="s">
        <v>180</v>
      </c>
      <c r="R4" s="249" t="s">
        <v>183</v>
      </c>
      <c r="S4" s="249" t="s">
        <v>193</v>
      </c>
      <c r="T4" s="249" t="s">
        <v>197</v>
      </c>
      <c r="U4" s="249" t="s">
        <v>206</v>
      </c>
      <c r="V4" s="249" t="s">
        <v>539</v>
      </c>
      <c r="W4" s="249" t="s">
        <v>540</v>
      </c>
      <c r="X4" s="249" t="s">
        <v>541</v>
      </c>
      <c r="Y4" s="249" t="s">
        <v>219</v>
      </c>
      <c r="Z4" s="249" t="s">
        <v>221</v>
      </c>
      <c r="AA4" s="249" t="s">
        <v>241</v>
      </c>
      <c r="AB4" s="249" t="s">
        <v>542</v>
      </c>
      <c r="AC4" s="340" t="s">
        <v>248</v>
      </c>
      <c r="AD4" s="249" t="s">
        <v>254</v>
      </c>
      <c r="AE4" s="249" t="s">
        <v>259</v>
      </c>
      <c r="AF4" s="249" t="s">
        <v>266</v>
      </c>
      <c r="AG4" s="249" t="s">
        <v>272</v>
      </c>
      <c r="AH4" s="249" t="s">
        <v>274</v>
      </c>
      <c r="AI4" s="249" t="s">
        <v>543</v>
      </c>
      <c r="AJ4" s="249" t="s">
        <v>276</v>
      </c>
      <c r="AK4" s="249" t="s">
        <v>277</v>
      </c>
      <c r="AL4" s="249" t="s">
        <v>280</v>
      </c>
      <c r="AM4" s="249" t="s">
        <v>282</v>
      </c>
      <c r="AN4" s="249" t="s">
        <v>284</v>
      </c>
      <c r="AO4" s="249" t="s">
        <v>291</v>
      </c>
      <c r="AP4" s="249" t="s">
        <v>292</v>
      </c>
      <c r="AQ4" s="249" t="s">
        <v>295</v>
      </c>
      <c r="AR4" s="249" t="s">
        <v>296</v>
      </c>
      <c r="AS4" s="340" t="s">
        <v>297</v>
      </c>
      <c r="AT4" s="340" t="s">
        <v>299</v>
      </c>
      <c r="AU4" s="341" t="s">
        <v>544</v>
      </c>
      <c r="AV4" s="342" t="s">
        <v>304</v>
      </c>
      <c r="AW4" s="342" t="s">
        <v>305</v>
      </c>
      <c r="AX4" s="342" t="s">
        <v>306</v>
      </c>
      <c r="AY4" s="342" t="s">
        <v>309</v>
      </c>
      <c r="AZ4" s="343" t="s">
        <v>289</v>
      </c>
      <c r="BA4" s="343" t="s">
        <v>545</v>
      </c>
      <c r="BB4" s="343" t="s">
        <v>546</v>
      </c>
      <c r="BC4" s="343" t="s">
        <v>547</v>
      </c>
      <c r="BD4" s="343" t="s">
        <v>548</v>
      </c>
      <c r="BE4" s="343" t="s">
        <v>549</v>
      </c>
      <c r="BF4" s="343" t="s">
        <v>550</v>
      </c>
      <c r="BG4" s="343" t="s">
        <v>310</v>
      </c>
      <c r="BH4" s="343" t="s">
        <v>551</v>
      </c>
      <c r="BI4" s="343" t="s">
        <v>278</v>
      </c>
      <c r="BJ4" s="343" t="s">
        <v>552</v>
      </c>
      <c r="BK4" s="343" t="s">
        <v>553</v>
      </c>
      <c r="BL4" s="343" t="s">
        <v>213</v>
      </c>
      <c r="BM4" s="343" t="s">
        <v>554</v>
      </c>
      <c r="BN4" s="343" t="s">
        <v>257</v>
      </c>
      <c r="BO4" s="343" t="s">
        <v>308</v>
      </c>
      <c r="BP4" s="343" t="s">
        <v>555</v>
      </c>
      <c r="BQ4" s="343" t="s">
        <v>136</v>
      </c>
      <c r="BR4" s="343" t="s">
        <v>202</v>
      </c>
      <c r="BS4" s="343" t="s">
        <v>95</v>
      </c>
      <c r="BT4" s="343" t="s">
        <v>556</v>
      </c>
      <c r="BU4" s="343" t="s">
        <v>557</v>
      </c>
      <c r="BV4" s="343" t="s">
        <v>244</v>
      </c>
      <c r="BW4" s="343" t="s">
        <v>558</v>
      </c>
      <c r="BX4" s="343" t="s">
        <v>298</v>
      </c>
      <c r="BY4" s="343" t="s">
        <v>559</v>
      </c>
      <c r="BZ4" s="343" t="s">
        <v>560</v>
      </c>
      <c r="CA4" s="343" t="s">
        <v>561</v>
      </c>
      <c r="CB4" s="343" t="s">
        <v>562</v>
      </c>
      <c r="CC4" s="343" t="s">
        <v>563</v>
      </c>
      <c r="CD4" s="343" t="s">
        <v>564</v>
      </c>
      <c r="CE4" s="343" t="s">
        <v>565</v>
      </c>
      <c r="CF4" s="343" t="s">
        <v>566</v>
      </c>
      <c r="CG4" s="343" t="s">
        <v>567</v>
      </c>
      <c r="CH4" s="343" t="s">
        <v>568</v>
      </c>
      <c r="CI4" s="343" t="s">
        <v>569</v>
      </c>
      <c r="CJ4" s="343" t="s">
        <v>570</v>
      </c>
      <c r="CK4" s="343" t="s">
        <v>571</v>
      </c>
      <c r="CL4" s="343" t="s">
        <v>572</v>
      </c>
      <c r="CM4" s="343" t="s">
        <v>573</v>
      </c>
      <c r="CN4" s="343" t="s">
        <v>574</v>
      </c>
      <c r="CO4" s="344" t="s">
        <v>389</v>
      </c>
      <c r="CP4" s="344" t="s">
        <v>575</v>
      </c>
      <c r="CQ4" s="344" t="s">
        <v>576</v>
      </c>
      <c r="CR4" s="344" t="s">
        <v>577</v>
      </c>
      <c r="CS4" s="344" t="s">
        <v>578</v>
      </c>
      <c r="CT4" s="344" t="s">
        <v>579</v>
      </c>
      <c r="CU4" s="344" t="s">
        <v>580</v>
      </c>
      <c r="CV4" s="344" t="s">
        <v>581</v>
      </c>
      <c r="CW4" s="344" t="s">
        <v>582</v>
      </c>
      <c r="CX4" s="344" t="s">
        <v>583</v>
      </c>
      <c r="CY4" s="344" t="s">
        <v>584</v>
      </c>
      <c r="CZ4" s="344" t="s">
        <v>585</v>
      </c>
      <c r="DA4" s="344" t="s">
        <v>586</v>
      </c>
      <c r="DB4" s="250" t="s">
        <v>587</v>
      </c>
      <c r="DC4" s="251" t="s">
        <v>588</v>
      </c>
      <c r="DD4"/>
    </row>
    <row r="5" spans="1:108" x14ac:dyDescent="0.25">
      <c r="A5" s="245" t="s">
        <v>589</v>
      </c>
      <c r="B5" s="81">
        <v>2</v>
      </c>
      <c r="C5" s="81">
        <v>2</v>
      </c>
      <c r="D5" s="81">
        <v>0</v>
      </c>
      <c r="E5" s="81">
        <v>6</v>
      </c>
      <c r="F5" s="81">
        <v>0</v>
      </c>
      <c r="G5" s="81">
        <v>0</v>
      </c>
      <c r="H5" s="81">
        <v>3</v>
      </c>
      <c r="I5" s="81">
        <v>13</v>
      </c>
      <c r="J5" s="81">
        <v>1</v>
      </c>
      <c r="K5" s="81">
        <v>5</v>
      </c>
      <c r="L5" s="81">
        <v>0</v>
      </c>
      <c r="M5" s="81">
        <v>1</v>
      </c>
      <c r="N5" s="81">
        <v>4</v>
      </c>
      <c r="O5" s="81">
        <v>3</v>
      </c>
      <c r="P5" s="81">
        <v>12</v>
      </c>
      <c r="Q5" s="81">
        <v>0</v>
      </c>
      <c r="R5" s="81">
        <v>4</v>
      </c>
      <c r="S5" s="81">
        <v>0</v>
      </c>
      <c r="T5" s="81">
        <v>0</v>
      </c>
      <c r="U5" s="81">
        <v>0</v>
      </c>
      <c r="V5" s="81">
        <v>1</v>
      </c>
      <c r="W5" s="81">
        <v>0</v>
      </c>
      <c r="X5" s="81">
        <v>0</v>
      </c>
      <c r="Y5" s="81">
        <v>0</v>
      </c>
      <c r="Z5" s="81">
        <v>3</v>
      </c>
      <c r="AA5" s="81">
        <v>1</v>
      </c>
      <c r="AB5" s="81">
        <v>0</v>
      </c>
      <c r="AC5" s="81">
        <v>10</v>
      </c>
      <c r="AD5" s="81">
        <v>3</v>
      </c>
      <c r="AE5" s="81">
        <v>1</v>
      </c>
      <c r="AF5" s="81">
        <v>66</v>
      </c>
      <c r="AG5" s="81">
        <v>4</v>
      </c>
      <c r="AH5" s="81">
        <v>1</v>
      </c>
      <c r="AI5" s="81">
        <v>6</v>
      </c>
      <c r="AJ5" s="81">
        <v>25</v>
      </c>
      <c r="AK5" s="81">
        <v>2</v>
      </c>
      <c r="AL5" s="81">
        <v>0</v>
      </c>
      <c r="AM5" s="81">
        <v>1</v>
      </c>
      <c r="AN5" s="81">
        <v>5</v>
      </c>
      <c r="AO5" s="81">
        <v>4</v>
      </c>
      <c r="AP5" s="81">
        <v>44</v>
      </c>
      <c r="AQ5" s="81">
        <v>10</v>
      </c>
      <c r="AR5" s="81">
        <v>0</v>
      </c>
      <c r="AS5" s="81">
        <v>1</v>
      </c>
      <c r="AT5" s="81">
        <v>2</v>
      </c>
      <c r="AU5" s="81">
        <v>6</v>
      </c>
      <c r="AV5" s="81">
        <v>5</v>
      </c>
      <c r="AW5" s="81">
        <v>0</v>
      </c>
      <c r="AX5" s="81">
        <v>0</v>
      </c>
      <c r="AY5" s="81">
        <v>12</v>
      </c>
      <c r="AZ5" s="81">
        <v>2</v>
      </c>
      <c r="BA5" s="81">
        <v>0</v>
      </c>
      <c r="BB5" s="81">
        <v>0</v>
      </c>
      <c r="BC5" s="81">
        <v>0</v>
      </c>
      <c r="BD5" s="81">
        <v>2</v>
      </c>
      <c r="BE5" s="81">
        <v>3</v>
      </c>
      <c r="BF5" s="81">
        <v>2</v>
      </c>
      <c r="BG5" s="81">
        <v>1</v>
      </c>
      <c r="BH5" s="81">
        <v>2</v>
      </c>
      <c r="BI5" s="81">
        <v>9</v>
      </c>
      <c r="BJ5" s="81">
        <v>0</v>
      </c>
      <c r="BK5" s="81">
        <v>0</v>
      </c>
      <c r="BL5" s="81">
        <v>0</v>
      </c>
      <c r="BM5" s="81">
        <v>0</v>
      </c>
      <c r="BN5" s="81">
        <v>0</v>
      </c>
      <c r="BO5" s="81">
        <v>0</v>
      </c>
      <c r="BP5" s="81">
        <v>0</v>
      </c>
      <c r="BQ5" s="81"/>
      <c r="BR5" s="81"/>
      <c r="BS5" s="81"/>
      <c r="BT5" s="81">
        <v>1</v>
      </c>
      <c r="BU5" s="81">
        <v>1</v>
      </c>
      <c r="BV5" s="81">
        <v>1</v>
      </c>
      <c r="BW5" s="81"/>
      <c r="BX5" s="81"/>
      <c r="BY5" s="81"/>
      <c r="BZ5" s="81"/>
      <c r="CA5" s="81"/>
      <c r="CB5" s="81"/>
      <c r="CC5" s="81"/>
      <c r="CD5" s="81"/>
      <c r="CE5" s="81"/>
      <c r="CF5" s="81">
        <v>2</v>
      </c>
      <c r="CG5" s="81"/>
      <c r="CH5" s="81"/>
      <c r="CI5" s="81"/>
      <c r="CJ5" s="81"/>
      <c r="CK5" s="81"/>
      <c r="CL5" s="81">
        <v>30</v>
      </c>
      <c r="CM5" s="81"/>
      <c r="CN5" s="81"/>
      <c r="CO5" s="81">
        <v>0</v>
      </c>
      <c r="CP5" s="81">
        <v>0</v>
      </c>
      <c r="CQ5" s="81">
        <v>0</v>
      </c>
      <c r="CR5" s="81">
        <v>0</v>
      </c>
      <c r="CS5" s="81">
        <v>0</v>
      </c>
      <c r="CT5" s="81">
        <v>0</v>
      </c>
      <c r="CU5" s="81">
        <v>0</v>
      </c>
      <c r="CV5" s="81">
        <v>0</v>
      </c>
      <c r="CW5" s="81">
        <v>0</v>
      </c>
      <c r="CX5" s="81">
        <v>0</v>
      </c>
      <c r="CY5" s="81">
        <v>0</v>
      </c>
      <c r="CZ5" s="81">
        <v>0</v>
      </c>
      <c r="DA5" s="81">
        <v>0</v>
      </c>
      <c r="DB5" s="81">
        <v>0</v>
      </c>
      <c r="DC5" s="252">
        <v>325</v>
      </c>
    </row>
    <row r="6" spans="1:108" x14ac:dyDescent="0.25">
      <c r="A6" s="245" t="s">
        <v>590</v>
      </c>
      <c r="B6" s="81">
        <v>2</v>
      </c>
      <c r="C6" s="81">
        <v>5</v>
      </c>
      <c r="D6" s="81">
        <v>0</v>
      </c>
      <c r="E6" s="81">
        <v>9</v>
      </c>
      <c r="F6" s="81">
        <v>0</v>
      </c>
      <c r="G6" s="81">
        <v>0</v>
      </c>
      <c r="H6" s="81">
        <v>4</v>
      </c>
      <c r="I6" s="81">
        <v>29</v>
      </c>
      <c r="J6" s="81">
        <v>1</v>
      </c>
      <c r="K6" s="81">
        <v>7</v>
      </c>
      <c r="L6" s="81">
        <v>0</v>
      </c>
      <c r="M6" s="81">
        <v>1</v>
      </c>
      <c r="N6" s="81">
        <v>6</v>
      </c>
      <c r="O6" s="81">
        <v>6</v>
      </c>
      <c r="P6" s="81">
        <v>8</v>
      </c>
      <c r="Q6" s="81">
        <v>0</v>
      </c>
      <c r="R6" s="81">
        <v>6</v>
      </c>
      <c r="S6" s="81">
        <v>0</v>
      </c>
      <c r="T6" s="81">
        <v>0</v>
      </c>
      <c r="U6" s="81">
        <v>8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1</v>
      </c>
      <c r="AB6" s="81">
        <v>0</v>
      </c>
      <c r="AC6" s="81">
        <v>10</v>
      </c>
      <c r="AD6" s="81">
        <v>2</v>
      </c>
      <c r="AE6" s="81">
        <v>0</v>
      </c>
      <c r="AF6" s="81">
        <v>38</v>
      </c>
      <c r="AG6" s="81">
        <v>5</v>
      </c>
      <c r="AH6" s="81">
        <v>1</v>
      </c>
      <c r="AI6" s="81">
        <v>3</v>
      </c>
      <c r="AJ6" s="81">
        <v>53</v>
      </c>
      <c r="AK6" s="81">
        <v>4</v>
      </c>
      <c r="AL6" s="81">
        <v>0</v>
      </c>
      <c r="AM6" s="81">
        <v>1</v>
      </c>
      <c r="AN6" s="81">
        <v>8</v>
      </c>
      <c r="AO6" s="81">
        <v>4</v>
      </c>
      <c r="AP6" s="81">
        <v>37</v>
      </c>
      <c r="AQ6" s="81">
        <v>9</v>
      </c>
      <c r="AR6" s="81">
        <v>0</v>
      </c>
      <c r="AS6" s="81">
        <v>1</v>
      </c>
      <c r="AT6" s="81">
        <v>4</v>
      </c>
      <c r="AU6" s="81">
        <v>13</v>
      </c>
      <c r="AV6" s="81">
        <v>3</v>
      </c>
      <c r="AW6" s="81">
        <v>0</v>
      </c>
      <c r="AX6" s="81">
        <v>0</v>
      </c>
      <c r="AY6" s="81">
        <v>17</v>
      </c>
      <c r="AZ6" s="81">
        <v>4</v>
      </c>
      <c r="BA6" s="81">
        <v>0</v>
      </c>
      <c r="BB6" s="81">
        <v>0</v>
      </c>
      <c r="BC6" s="81">
        <v>0</v>
      </c>
      <c r="BD6" s="81">
        <v>4</v>
      </c>
      <c r="BE6" s="81">
        <v>2</v>
      </c>
      <c r="BF6" s="81">
        <v>2</v>
      </c>
      <c r="BG6" s="81">
        <v>0</v>
      </c>
      <c r="BH6" s="81">
        <v>0</v>
      </c>
      <c r="BI6" s="81">
        <v>11</v>
      </c>
      <c r="BJ6" s="81">
        <v>0</v>
      </c>
      <c r="BK6" s="81">
        <v>0</v>
      </c>
      <c r="BL6" s="81">
        <v>0</v>
      </c>
      <c r="BM6" s="81">
        <v>0</v>
      </c>
      <c r="BN6" s="81">
        <v>0</v>
      </c>
      <c r="BO6" s="81">
        <v>0</v>
      </c>
      <c r="BP6" s="81">
        <v>0</v>
      </c>
      <c r="BQ6" s="81"/>
      <c r="BR6" s="81">
        <v>3</v>
      </c>
      <c r="BS6" s="81"/>
      <c r="BT6" s="81">
        <v>3</v>
      </c>
      <c r="BU6" s="81">
        <v>2</v>
      </c>
      <c r="BV6" s="81">
        <v>3</v>
      </c>
      <c r="BW6" s="81"/>
      <c r="BX6" s="81"/>
      <c r="BY6" s="81"/>
      <c r="BZ6" s="81"/>
      <c r="CA6" s="81"/>
      <c r="CB6" s="81"/>
      <c r="CC6" s="81"/>
      <c r="CD6" s="81"/>
      <c r="CE6" s="81"/>
      <c r="CF6" s="81">
        <v>1</v>
      </c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252">
        <v>341</v>
      </c>
    </row>
    <row r="7" spans="1:108" x14ac:dyDescent="0.25">
      <c r="A7" s="245" t="s">
        <v>591</v>
      </c>
      <c r="B7" s="81">
        <v>2</v>
      </c>
      <c r="C7" s="81">
        <v>1</v>
      </c>
      <c r="D7" s="81">
        <v>0</v>
      </c>
      <c r="E7" s="81">
        <v>1</v>
      </c>
      <c r="F7" s="81">
        <v>0</v>
      </c>
      <c r="G7" s="81">
        <v>0</v>
      </c>
      <c r="H7" s="81">
        <v>1</v>
      </c>
      <c r="I7" s="81">
        <v>9</v>
      </c>
      <c r="J7" s="81">
        <v>1</v>
      </c>
      <c r="K7" s="81">
        <v>4</v>
      </c>
      <c r="L7" s="81">
        <v>0</v>
      </c>
      <c r="M7" s="81">
        <v>0</v>
      </c>
      <c r="N7" s="81">
        <v>2</v>
      </c>
      <c r="O7" s="81">
        <v>0</v>
      </c>
      <c r="P7" s="81">
        <v>11</v>
      </c>
      <c r="Q7" s="81">
        <v>0</v>
      </c>
      <c r="R7" s="81">
        <v>4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81">
        <v>3</v>
      </c>
      <c r="AA7" s="81">
        <v>0</v>
      </c>
      <c r="AB7" s="81">
        <v>0</v>
      </c>
      <c r="AC7" s="81">
        <v>8</v>
      </c>
      <c r="AD7" s="81">
        <v>2</v>
      </c>
      <c r="AE7" s="81">
        <v>1</v>
      </c>
      <c r="AF7" s="81">
        <v>5</v>
      </c>
      <c r="AG7" s="81">
        <v>1</v>
      </c>
      <c r="AH7" s="81">
        <v>2</v>
      </c>
      <c r="AI7" s="81">
        <v>2</v>
      </c>
      <c r="AJ7" s="81">
        <v>4</v>
      </c>
      <c r="AK7" s="81">
        <v>1</v>
      </c>
      <c r="AL7" s="81">
        <v>0</v>
      </c>
      <c r="AM7" s="81">
        <v>0</v>
      </c>
      <c r="AN7" s="81">
        <v>1</v>
      </c>
      <c r="AO7" s="81">
        <v>0</v>
      </c>
      <c r="AP7" s="81">
        <v>21</v>
      </c>
      <c r="AQ7" s="81">
        <v>6</v>
      </c>
      <c r="AR7" s="81">
        <v>0</v>
      </c>
      <c r="AS7" s="81">
        <v>2</v>
      </c>
      <c r="AT7" s="81">
        <v>1</v>
      </c>
      <c r="AU7" s="81">
        <v>3</v>
      </c>
      <c r="AV7" s="81">
        <v>2</v>
      </c>
      <c r="AW7" s="81">
        <v>6</v>
      </c>
      <c r="AX7" s="81">
        <v>0</v>
      </c>
      <c r="AY7" s="81">
        <v>7</v>
      </c>
      <c r="AZ7" s="81">
        <v>3</v>
      </c>
      <c r="BA7" s="81">
        <v>0</v>
      </c>
      <c r="BB7" s="81">
        <v>0</v>
      </c>
      <c r="BC7" s="81">
        <v>0</v>
      </c>
      <c r="BD7" s="81">
        <v>2</v>
      </c>
      <c r="BE7" s="81">
        <v>0</v>
      </c>
      <c r="BF7" s="81">
        <v>2</v>
      </c>
      <c r="BG7" s="81">
        <v>1</v>
      </c>
      <c r="BH7" s="81">
        <v>2</v>
      </c>
      <c r="BI7" s="81">
        <v>2</v>
      </c>
      <c r="BJ7" s="81">
        <v>0</v>
      </c>
      <c r="BK7" s="81">
        <v>0</v>
      </c>
      <c r="BL7" s="81">
        <v>0</v>
      </c>
      <c r="BM7" s="81">
        <v>0</v>
      </c>
      <c r="BN7" s="81">
        <v>0</v>
      </c>
      <c r="BO7" s="81">
        <v>0</v>
      </c>
      <c r="BP7" s="81">
        <v>0</v>
      </c>
      <c r="BQ7" s="81"/>
      <c r="BR7" s="81"/>
      <c r="BS7" s="81"/>
      <c r="BT7" s="81">
        <v>1</v>
      </c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>
        <v>1</v>
      </c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252">
        <v>128</v>
      </c>
    </row>
    <row r="8" spans="1:108" x14ac:dyDescent="0.25">
      <c r="A8" s="245" t="s">
        <v>592</v>
      </c>
      <c r="B8" s="81">
        <v>2</v>
      </c>
      <c r="C8" s="81">
        <v>3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17</v>
      </c>
      <c r="J8" s="81">
        <v>1</v>
      </c>
      <c r="K8" s="81">
        <v>6</v>
      </c>
      <c r="L8" s="81">
        <v>0</v>
      </c>
      <c r="M8" s="81">
        <v>0</v>
      </c>
      <c r="N8" s="81">
        <v>3</v>
      </c>
      <c r="O8" s="81">
        <v>0</v>
      </c>
      <c r="P8" s="81">
        <v>8</v>
      </c>
      <c r="Q8" s="81">
        <v>0</v>
      </c>
      <c r="R8" s="81">
        <v>4</v>
      </c>
      <c r="S8" s="81">
        <v>0</v>
      </c>
      <c r="T8" s="81">
        <v>0</v>
      </c>
      <c r="U8" s="81">
        <v>1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8</v>
      </c>
      <c r="AD8" s="81">
        <v>2</v>
      </c>
      <c r="AE8" s="81">
        <v>0</v>
      </c>
      <c r="AF8" s="81">
        <v>7</v>
      </c>
      <c r="AG8" s="81">
        <v>2</v>
      </c>
      <c r="AH8" s="81">
        <v>2</v>
      </c>
      <c r="AI8" s="81">
        <v>1</v>
      </c>
      <c r="AJ8" s="81">
        <v>26</v>
      </c>
      <c r="AK8" s="81">
        <v>3</v>
      </c>
      <c r="AL8" s="81">
        <v>0</v>
      </c>
      <c r="AM8" s="81">
        <v>0</v>
      </c>
      <c r="AN8" s="81">
        <v>0</v>
      </c>
      <c r="AO8" s="81">
        <v>0</v>
      </c>
      <c r="AP8" s="81">
        <v>19</v>
      </c>
      <c r="AQ8" s="81">
        <v>7</v>
      </c>
      <c r="AR8" s="81">
        <v>0</v>
      </c>
      <c r="AS8" s="81">
        <v>2</v>
      </c>
      <c r="AT8" s="81">
        <v>2</v>
      </c>
      <c r="AU8" s="81">
        <v>9</v>
      </c>
      <c r="AV8" s="81">
        <v>2</v>
      </c>
      <c r="AW8" s="81">
        <v>6</v>
      </c>
      <c r="AX8" s="81">
        <v>0</v>
      </c>
      <c r="AY8" s="81">
        <v>11</v>
      </c>
      <c r="AZ8" s="81">
        <v>3</v>
      </c>
      <c r="BA8" s="81">
        <v>0</v>
      </c>
      <c r="BB8" s="81">
        <v>0</v>
      </c>
      <c r="BC8" s="81">
        <v>0</v>
      </c>
      <c r="BD8" s="81">
        <v>2</v>
      </c>
      <c r="BE8" s="81">
        <v>0</v>
      </c>
      <c r="BF8" s="81">
        <v>2</v>
      </c>
      <c r="BG8" s="81">
        <v>0</v>
      </c>
      <c r="BH8" s="81">
        <v>0</v>
      </c>
      <c r="BI8" s="81">
        <v>4</v>
      </c>
      <c r="BJ8" s="81">
        <v>0</v>
      </c>
      <c r="BK8" s="81">
        <v>0</v>
      </c>
      <c r="BL8" s="81">
        <v>0</v>
      </c>
      <c r="BM8" s="81">
        <v>0</v>
      </c>
      <c r="BN8" s="81">
        <v>0</v>
      </c>
      <c r="BO8" s="81">
        <v>0</v>
      </c>
      <c r="BP8" s="81">
        <v>0</v>
      </c>
      <c r="BQ8" s="81"/>
      <c r="BR8" s="81">
        <v>3</v>
      </c>
      <c r="BS8" s="81"/>
      <c r="BT8" s="81">
        <v>2</v>
      </c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>
        <v>1</v>
      </c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252">
        <v>171</v>
      </c>
    </row>
    <row r="9" spans="1:108" x14ac:dyDescent="0.25">
      <c r="A9" s="245" t="s">
        <v>593</v>
      </c>
      <c r="B9" s="81">
        <v>2</v>
      </c>
      <c r="C9" s="81">
        <v>2</v>
      </c>
      <c r="D9" s="81">
        <v>0</v>
      </c>
      <c r="E9" s="81">
        <v>2</v>
      </c>
      <c r="F9" s="81">
        <v>0</v>
      </c>
      <c r="G9" s="81">
        <v>0</v>
      </c>
      <c r="H9" s="81">
        <v>1</v>
      </c>
      <c r="I9" s="81">
        <v>7</v>
      </c>
      <c r="J9" s="81">
        <v>1</v>
      </c>
      <c r="K9" s="81">
        <v>3</v>
      </c>
      <c r="L9" s="81">
        <v>0</v>
      </c>
      <c r="M9" s="81">
        <v>0</v>
      </c>
      <c r="N9" s="81">
        <v>15</v>
      </c>
      <c r="O9" s="81">
        <v>0</v>
      </c>
      <c r="P9" s="81">
        <v>7</v>
      </c>
      <c r="Q9" s="81">
        <v>0</v>
      </c>
      <c r="R9" s="81">
        <v>0</v>
      </c>
      <c r="S9" s="81">
        <v>3</v>
      </c>
      <c r="T9" s="81">
        <v>0</v>
      </c>
      <c r="U9" s="81">
        <v>4</v>
      </c>
      <c r="V9" s="81">
        <v>0</v>
      </c>
      <c r="W9" s="81">
        <v>0</v>
      </c>
      <c r="X9" s="81">
        <v>0</v>
      </c>
      <c r="Y9" s="81">
        <v>0</v>
      </c>
      <c r="Z9" s="81">
        <v>2</v>
      </c>
      <c r="AA9" s="81">
        <v>0</v>
      </c>
      <c r="AB9" s="81">
        <v>0</v>
      </c>
      <c r="AC9" s="81">
        <v>9</v>
      </c>
      <c r="AD9" s="81">
        <v>1</v>
      </c>
      <c r="AE9" s="81">
        <v>2</v>
      </c>
      <c r="AF9" s="81">
        <v>13</v>
      </c>
      <c r="AG9" s="81">
        <v>3</v>
      </c>
      <c r="AH9" s="81">
        <v>0</v>
      </c>
      <c r="AI9" s="81">
        <v>1</v>
      </c>
      <c r="AJ9" s="81">
        <v>15</v>
      </c>
      <c r="AK9" s="81">
        <v>9</v>
      </c>
      <c r="AL9" s="81">
        <v>0</v>
      </c>
      <c r="AM9" s="81">
        <v>0</v>
      </c>
      <c r="AN9" s="81">
        <v>1</v>
      </c>
      <c r="AO9" s="81">
        <v>1</v>
      </c>
      <c r="AP9" s="81">
        <v>18</v>
      </c>
      <c r="AQ9" s="81">
        <v>14</v>
      </c>
      <c r="AR9" s="81">
        <v>0</v>
      </c>
      <c r="AS9" s="81">
        <v>0</v>
      </c>
      <c r="AT9" s="81">
        <v>2</v>
      </c>
      <c r="AU9" s="81">
        <v>4</v>
      </c>
      <c r="AV9" s="81">
        <v>0</v>
      </c>
      <c r="AW9" s="81">
        <v>1</v>
      </c>
      <c r="AX9" s="81">
        <v>0</v>
      </c>
      <c r="AY9" s="81">
        <v>6</v>
      </c>
      <c r="AZ9" s="81">
        <v>4</v>
      </c>
      <c r="BA9" s="81">
        <v>0</v>
      </c>
      <c r="BB9" s="81">
        <v>0</v>
      </c>
      <c r="BC9" s="81">
        <v>0</v>
      </c>
      <c r="BD9" s="81">
        <v>2</v>
      </c>
      <c r="BE9" s="81">
        <v>0</v>
      </c>
      <c r="BF9" s="81">
        <v>0</v>
      </c>
      <c r="BG9" s="81">
        <v>1</v>
      </c>
      <c r="BH9" s="81">
        <v>0</v>
      </c>
      <c r="BI9" s="81">
        <v>6</v>
      </c>
      <c r="BJ9" s="81">
        <v>0</v>
      </c>
      <c r="BK9" s="81">
        <v>0</v>
      </c>
      <c r="BL9" s="81">
        <v>0</v>
      </c>
      <c r="BM9" s="81">
        <v>0</v>
      </c>
      <c r="BN9" s="81">
        <v>0</v>
      </c>
      <c r="BO9" s="81">
        <v>0</v>
      </c>
      <c r="BP9" s="81">
        <v>0</v>
      </c>
      <c r="BQ9" s="81"/>
      <c r="BR9" s="81"/>
      <c r="BS9" s="81"/>
      <c r="BT9" s="81">
        <v>1</v>
      </c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>
        <v>1</v>
      </c>
      <c r="CG9" s="81"/>
      <c r="CH9" s="81"/>
      <c r="CI9" s="81"/>
      <c r="CJ9" s="81"/>
      <c r="CK9" s="81"/>
      <c r="CL9" s="81">
        <v>30</v>
      </c>
      <c r="CM9" s="81"/>
      <c r="CN9" s="81">
        <v>3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252">
        <v>197</v>
      </c>
    </row>
    <row r="10" spans="1:108" x14ac:dyDescent="0.25">
      <c r="A10" s="245" t="s">
        <v>594</v>
      </c>
      <c r="B10" s="81">
        <v>2</v>
      </c>
      <c r="C10" s="81">
        <v>4</v>
      </c>
      <c r="D10" s="81">
        <v>0</v>
      </c>
      <c r="E10" s="81">
        <v>9</v>
      </c>
      <c r="F10" s="81">
        <v>0</v>
      </c>
      <c r="G10" s="81">
        <v>0</v>
      </c>
      <c r="H10" s="81">
        <v>1</v>
      </c>
      <c r="I10" s="81">
        <v>34</v>
      </c>
      <c r="J10" s="81">
        <v>1</v>
      </c>
      <c r="K10" s="81">
        <v>3</v>
      </c>
      <c r="L10" s="81">
        <v>0</v>
      </c>
      <c r="M10" s="81">
        <v>0</v>
      </c>
      <c r="N10" s="81">
        <v>18</v>
      </c>
      <c r="O10" s="81">
        <v>0</v>
      </c>
      <c r="P10" s="81">
        <v>2</v>
      </c>
      <c r="Q10" s="81">
        <v>0</v>
      </c>
      <c r="R10" s="81">
        <v>0</v>
      </c>
      <c r="S10" s="81">
        <v>3</v>
      </c>
      <c r="T10" s="81">
        <v>0</v>
      </c>
      <c r="U10" s="81">
        <v>5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10</v>
      </c>
      <c r="AD10" s="81">
        <v>0</v>
      </c>
      <c r="AE10" s="81">
        <v>9</v>
      </c>
      <c r="AF10" s="81">
        <v>21</v>
      </c>
      <c r="AG10" s="81">
        <v>5</v>
      </c>
      <c r="AH10" s="81">
        <v>0</v>
      </c>
      <c r="AI10" s="81">
        <v>0</v>
      </c>
      <c r="AJ10" s="81">
        <v>25</v>
      </c>
      <c r="AK10" s="81">
        <v>20</v>
      </c>
      <c r="AL10" s="81">
        <v>0</v>
      </c>
      <c r="AM10" s="81">
        <v>0</v>
      </c>
      <c r="AN10" s="81">
        <v>0</v>
      </c>
      <c r="AO10" s="81">
        <v>2</v>
      </c>
      <c r="AP10" s="81">
        <v>19</v>
      </c>
      <c r="AQ10" s="81">
        <v>20</v>
      </c>
      <c r="AR10" s="81">
        <v>0</v>
      </c>
      <c r="AS10" s="81">
        <v>0</v>
      </c>
      <c r="AT10" s="81">
        <v>2</v>
      </c>
      <c r="AU10" s="81">
        <v>8</v>
      </c>
      <c r="AV10" s="81">
        <v>0</v>
      </c>
      <c r="AW10" s="81">
        <v>1</v>
      </c>
      <c r="AX10" s="81">
        <v>0</v>
      </c>
      <c r="AY10" s="81">
        <v>9</v>
      </c>
      <c r="AZ10" s="81">
        <v>4</v>
      </c>
      <c r="BA10" s="81">
        <v>0</v>
      </c>
      <c r="BB10" s="81">
        <v>0</v>
      </c>
      <c r="BC10" s="81">
        <v>0</v>
      </c>
      <c r="BD10" s="81">
        <v>2</v>
      </c>
      <c r="BE10" s="81">
        <v>0</v>
      </c>
      <c r="BF10" s="81">
        <v>0</v>
      </c>
      <c r="BG10" s="81"/>
      <c r="BH10" s="81">
        <v>0</v>
      </c>
      <c r="BI10" s="81">
        <v>13</v>
      </c>
      <c r="BJ10" s="81">
        <v>0</v>
      </c>
      <c r="BK10" s="81">
        <v>0</v>
      </c>
      <c r="BL10" s="81">
        <v>0</v>
      </c>
      <c r="BM10" s="81">
        <v>0</v>
      </c>
      <c r="BN10" s="81">
        <v>0</v>
      </c>
      <c r="BO10" s="81">
        <v>0</v>
      </c>
      <c r="BP10" s="81">
        <v>0</v>
      </c>
      <c r="BQ10" s="81"/>
      <c r="BR10" s="81">
        <v>3</v>
      </c>
      <c r="BS10" s="81"/>
      <c r="BT10" s="81">
        <v>2</v>
      </c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>
        <v>1</v>
      </c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252">
        <v>258</v>
      </c>
    </row>
    <row r="11" spans="1:108" x14ac:dyDescent="0.25">
      <c r="A11" s="245" t="s">
        <v>595</v>
      </c>
      <c r="B11" s="81">
        <v>6</v>
      </c>
      <c r="C11" s="81">
        <v>19</v>
      </c>
      <c r="D11" s="81">
        <v>10</v>
      </c>
      <c r="E11" s="81">
        <v>18</v>
      </c>
      <c r="F11" s="81">
        <v>11</v>
      </c>
      <c r="G11" s="81">
        <v>2</v>
      </c>
      <c r="H11" s="81">
        <v>6</v>
      </c>
      <c r="I11" s="81">
        <v>125</v>
      </c>
      <c r="J11" s="81">
        <v>8</v>
      </c>
      <c r="K11" s="81">
        <v>23</v>
      </c>
      <c r="L11" s="81">
        <v>0</v>
      </c>
      <c r="M11" s="81">
        <v>27</v>
      </c>
      <c r="N11" s="81">
        <v>15</v>
      </c>
      <c r="O11" s="81">
        <v>10</v>
      </c>
      <c r="P11" s="81">
        <v>39</v>
      </c>
      <c r="Q11" s="81">
        <v>4</v>
      </c>
      <c r="R11" s="81">
        <v>14</v>
      </c>
      <c r="S11" s="81">
        <v>21</v>
      </c>
      <c r="T11" s="81">
        <v>0</v>
      </c>
      <c r="U11" s="81">
        <v>86</v>
      </c>
      <c r="V11" s="81">
        <v>1</v>
      </c>
      <c r="W11" s="81">
        <v>2</v>
      </c>
      <c r="X11" s="81">
        <v>9</v>
      </c>
      <c r="Y11" s="81">
        <v>3</v>
      </c>
      <c r="Z11" s="81">
        <v>68</v>
      </c>
      <c r="AA11" s="81">
        <v>33</v>
      </c>
      <c r="AB11" s="81">
        <v>4</v>
      </c>
      <c r="AC11" s="81">
        <v>12</v>
      </c>
      <c r="AD11" s="81">
        <v>11</v>
      </c>
      <c r="AE11" s="81">
        <v>14</v>
      </c>
      <c r="AF11" s="81">
        <v>332</v>
      </c>
      <c r="AG11" s="81">
        <v>12</v>
      </c>
      <c r="AH11" s="81">
        <v>8</v>
      </c>
      <c r="AI11" s="81">
        <v>16</v>
      </c>
      <c r="AJ11" s="81">
        <v>155</v>
      </c>
      <c r="AK11" s="81">
        <v>11</v>
      </c>
      <c r="AL11" s="81">
        <v>16</v>
      </c>
      <c r="AM11" s="81">
        <v>52</v>
      </c>
      <c r="AN11" s="81">
        <v>19</v>
      </c>
      <c r="AO11" s="81">
        <v>4</v>
      </c>
      <c r="AP11" s="81">
        <v>248</v>
      </c>
      <c r="AQ11" s="81">
        <v>40</v>
      </c>
      <c r="AR11" s="81">
        <v>8</v>
      </c>
      <c r="AS11" s="81">
        <v>12</v>
      </c>
      <c r="AT11" s="81">
        <v>3</v>
      </c>
      <c r="AU11" s="81">
        <v>2</v>
      </c>
      <c r="AV11" s="81">
        <v>43</v>
      </c>
      <c r="AW11" s="81">
        <v>15</v>
      </c>
      <c r="AX11" s="81">
        <v>48</v>
      </c>
      <c r="AY11" s="81">
        <v>65</v>
      </c>
      <c r="AZ11" s="81">
        <v>5</v>
      </c>
      <c r="BA11" s="81">
        <v>0</v>
      </c>
      <c r="BB11" s="81">
        <v>1</v>
      </c>
      <c r="BC11" s="81">
        <v>2</v>
      </c>
      <c r="BD11" s="81">
        <v>7</v>
      </c>
      <c r="BE11" s="81">
        <v>2</v>
      </c>
      <c r="BF11" s="81">
        <v>1</v>
      </c>
      <c r="BG11" s="81">
        <v>1</v>
      </c>
      <c r="BH11" s="81">
        <v>2</v>
      </c>
      <c r="BI11" s="81">
        <v>19</v>
      </c>
      <c r="BJ11" s="81">
        <v>0</v>
      </c>
      <c r="BK11" s="81">
        <v>1</v>
      </c>
      <c r="BL11" s="81">
        <v>2</v>
      </c>
      <c r="BM11" s="81">
        <v>1</v>
      </c>
      <c r="BN11" s="81">
        <v>38</v>
      </c>
      <c r="BO11" s="81">
        <v>1</v>
      </c>
      <c r="BP11" s="81">
        <v>1</v>
      </c>
      <c r="BQ11" s="81">
        <v>3</v>
      </c>
      <c r="BR11" s="81">
        <v>74</v>
      </c>
      <c r="BS11" s="81">
        <v>2</v>
      </c>
      <c r="BT11" s="81">
        <v>5</v>
      </c>
      <c r="BU11" s="81">
        <v>2</v>
      </c>
      <c r="BV11" s="81">
        <v>7</v>
      </c>
      <c r="BW11" s="81"/>
      <c r="BX11" s="81"/>
      <c r="BY11" s="81"/>
      <c r="BZ11" s="81"/>
      <c r="CA11" s="81"/>
      <c r="CB11" s="81">
        <v>1</v>
      </c>
      <c r="CC11" s="81">
        <v>30</v>
      </c>
      <c r="CD11" s="81"/>
      <c r="CE11" s="81"/>
      <c r="CF11" s="81">
        <v>30</v>
      </c>
      <c r="CG11" s="81">
        <v>2</v>
      </c>
      <c r="CH11" s="81"/>
      <c r="CI11" s="81">
        <v>1</v>
      </c>
      <c r="CJ11" s="81">
        <v>26</v>
      </c>
      <c r="CK11" s="81">
        <v>28</v>
      </c>
      <c r="CL11" s="81">
        <v>30</v>
      </c>
      <c r="CM11" s="81">
        <v>8</v>
      </c>
      <c r="CN11" s="81">
        <v>1</v>
      </c>
      <c r="CO11" s="81"/>
      <c r="CP11" s="81"/>
      <c r="CQ11" s="81"/>
      <c r="CR11" s="81"/>
      <c r="CS11" s="81"/>
      <c r="CT11" s="81"/>
      <c r="CU11" s="81"/>
      <c r="CV11" s="81">
        <v>2</v>
      </c>
      <c r="CW11" s="81"/>
      <c r="CX11" s="81"/>
      <c r="CY11" s="81"/>
      <c r="CZ11" s="81"/>
      <c r="DA11" s="81"/>
      <c r="DB11" s="81"/>
      <c r="DC11" s="253">
        <v>2046</v>
      </c>
    </row>
    <row r="12" spans="1:108" x14ac:dyDescent="0.25">
      <c r="A12" s="245" t="s">
        <v>596</v>
      </c>
      <c r="B12" s="81">
        <v>0</v>
      </c>
      <c r="C12" s="81">
        <v>0</v>
      </c>
      <c r="D12" s="81">
        <v>6</v>
      </c>
      <c r="E12" s="81">
        <v>19</v>
      </c>
      <c r="F12" s="81">
        <v>13</v>
      </c>
      <c r="G12" s="81">
        <v>0</v>
      </c>
      <c r="H12" s="81">
        <v>7</v>
      </c>
      <c r="I12" s="81">
        <v>17</v>
      </c>
      <c r="J12" s="81">
        <v>4</v>
      </c>
      <c r="K12" s="81">
        <v>5</v>
      </c>
      <c r="L12" s="81">
        <v>0</v>
      </c>
      <c r="M12" s="81">
        <v>13</v>
      </c>
      <c r="N12" s="81">
        <v>2</v>
      </c>
      <c r="O12" s="81">
        <v>6</v>
      </c>
      <c r="P12" s="81">
        <v>27</v>
      </c>
      <c r="Q12" s="81">
        <v>2</v>
      </c>
      <c r="R12" s="81">
        <v>5</v>
      </c>
      <c r="S12" s="81">
        <v>3</v>
      </c>
      <c r="T12" s="81">
        <v>0</v>
      </c>
      <c r="U12" s="81">
        <v>44</v>
      </c>
      <c r="V12" s="81">
        <v>1</v>
      </c>
      <c r="W12" s="81">
        <v>2</v>
      </c>
      <c r="X12" s="81">
        <v>6</v>
      </c>
      <c r="Y12" s="81">
        <v>1</v>
      </c>
      <c r="Z12" s="81">
        <v>5</v>
      </c>
      <c r="AA12" s="81">
        <v>12</v>
      </c>
      <c r="AB12" s="81">
        <v>1</v>
      </c>
      <c r="AC12" s="81">
        <v>2</v>
      </c>
      <c r="AD12" s="81">
        <v>4</v>
      </c>
      <c r="AE12" s="81">
        <v>3</v>
      </c>
      <c r="AF12" s="81">
        <v>63</v>
      </c>
      <c r="AG12" s="81">
        <v>11</v>
      </c>
      <c r="AH12" s="81">
        <v>4</v>
      </c>
      <c r="AI12" s="81">
        <v>7</v>
      </c>
      <c r="AJ12" s="81">
        <v>87</v>
      </c>
      <c r="AK12" s="81">
        <v>6</v>
      </c>
      <c r="AL12" s="81">
        <v>0</v>
      </c>
      <c r="AM12" s="81">
        <v>11</v>
      </c>
      <c r="AN12" s="81">
        <v>12</v>
      </c>
      <c r="AO12" s="81">
        <v>1</v>
      </c>
      <c r="AP12" s="81">
        <v>100</v>
      </c>
      <c r="AQ12" s="81">
        <v>12</v>
      </c>
      <c r="AR12" s="81">
        <v>3</v>
      </c>
      <c r="AS12" s="81">
        <v>2</v>
      </c>
      <c r="AT12" s="81">
        <v>8</v>
      </c>
      <c r="AU12" s="81">
        <v>0</v>
      </c>
      <c r="AV12" s="81">
        <v>8</v>
      </c>
      <c r="AW12" s="81">
        <v>11</v>
      </c>
      <c r="AX12" s="81">
        <v>3</v>
      </c>
      <c r="AY12" s="81">
        <v>21</v>
      </c>
      <c r="AZ12" s="81">
        <v>7</v>
      </c>
      <c r="BA12" s="81">
        <v>0</v>
      </c>
      <c r="BB12" s="81">
        <v>1</v>
      </c>
      <c r="BC12" s="81">
        <v>1</v>
      </c>
      <c r="BD12" s="81">
        <v>5</v>
      </c>
      <c r="BE12" s="81">
        <v>3</v>
      </c>
      <c r="BF12" s="81">
        <v>1</v>
      </c>
      <c r="BG12" s="81">
        <v>1</v>
      </c>
      <c r="BH12" s="81">
        <v>2</v>
      </c>
      <c r="BI12" s="81">
        <v>9</v>
      </c>
      <c r="BJ12" s="81">
        <v>0</v>
      </c>
      <c r="BK12" s="81">
        <v>1</v>
      </c>
      <c r="BL12" s="81">
        <v>1</v>
      </c>
      <c r="BM12" s="81">
        <v>2</v>
      </c>
      <c r="BN12" s="81">
        <v>3</v>
      </c>
      <c r="BO12" s="81">
        <v>1</v>
      </c>
      <c r="BP12" s="81">
        <v>1</v>
      </c>
      <c r="BQ12" s="81">
        <v>3</v>
      </c>
      <c r="BR12" s="81"/>
      <c r="BS12" s="81"/>
      <c r="BT12" s="81"/>
      <c r="BU12" s="81"/>
      <c r="BV12" s="81"/>
      <c r="BW12" s="81">
        <v>2</v>
      </c>
      <c r="BX12" s="81">
        <v>2</v>
      </c>
      <c r="BY12" s="81"/>
      <c r="BZ12" s="81"/>
      <c r="CA12" s="81"/>
      <c r="CB12" s="81"/>
      <c r="CC12" s="81">
        <v>9</v>
      </c>
      <c r="CD12" s="81"/>
      <c r="CE12" s="81"/>
      <c r="CF12" s="81">
        <v>30</v>
      </c>
      <c r="CG12" s="81">
        <v>1</v>
      </c>
      <c r="CH12" s="81"/>
      <c r="CI12" s="81"/>
      <c r="CJ12" s="81">
        <v>2</v>
      </c>
      <c r="CK12" s="81">
        <v>2</v>
      </c>
      <c r="CL12" s="81">
        <v>30</v>
      </c>
      <c r="CM12" s="81">
        <v>1</v>
      </c>
      <c r="CN12" s="81"/>
      <c r="CO12" s="81"/>
      <c r="CP12" s="81"/>
      <c r="CQ12" s="81"/>
      <c r="CR12" s="81"/>
      <c r="CS12" s="81"/>
      <c r="CT12" s="81"/>
      <c r="CU12" s="81"/>
      <c r="CV12" s="81">
        <v>6</v>
      </c>
      <c r="CW12" s="81"/>
      <c r="CX12" s="81"/>
      <c r="CY12" s="81"/>
      <c r="CZ12" s="81"/>
      <c r="DA12" s="81"/>
      <c r="DB12" s="81"/>
      <c r="DC12" s="252">
        <v>707</v>
      </c>
    </row>
    <row r="13" spans="1:108" x14ac:dyDescent="0.25">
      <c r="A13" s="245" t="s">
        <v>597</v>
      </c>
      <c r="B13" s="81">
        <v>10</v>
      </c>
      <c r="C13" s="81">
        <v>2</v>
      </c>
      <c r="D13" s="81">
        <v>3</v>
      </c>
      <c r="E13" s="81">
        <v>0</v>
      </c>
      <c r="F13" s="81">
        <v>31</v>
      </c>
      <c r="G13" s="81">
        <v>0</v>
      </c>
      <c r="H13" s="81">
        <v>1</v>
      </c>
      <c r="I13" s="81">
        <v>13</v>
      </c>
      <c r="J13" s="81">
        <v>2</v>
      </c>
      <c r="K13" s="81">
        <v>4</v>
      </c>
      <c r="L13" s="81">
        <v>0</v>
      </c>
      <c r="M13" s="81">
        <v>0</v>
      </c>
      <c r="N13" s="81">
        <v>22</v>
      </c>
      <c r="O13" s="81">
        <v>0</v>
      </c>
      <c r="P13" s="81">
        <v>24</v>
      </c>
      <c r="Q13" s="81">
        <v>2</v>
      </c>
      <c r="R13" s="81">
        <v>11</v>
      </c>
      <c r="S13" s="81">
        <v>0</v>
      </c>
      <c r="T13" s="81">
        <v>0</v>
      </c>
      <c r="U13" s="81">
        <v>7</v>
      </c>
      <c r="V13" s="81">
        <v>1</v>
      </c>
      <c r="W13" s="81">
        <v>1</v>
      </c>
      <c r="X13" s="81">
        <v>4</v>
      </c>
      <c r="Y13" s="81">
        <v>1</v>
      </c>
      <c r="Z13" s="81">
        <v>24</v>
      </c>
      <c r="AA13" s="81">
        <v>2</v>
      </c>
      <c r="AB13" s="81">
        <v>1</v>
      </c>
      <c r="AC13" s="81">
        <v>5</v>
      </c>
      <c r="AD13" s="81">
        <v>4</v>
      </c>
      <c r="AE13" s="81">
        <v>3</v>
      </c>
      <c r="AF13" s="81">
        <v>31</v>
      </c>
      <c r="AG13" s="81">
        <v>1</v>
      </c>
      <c r="AH13" s="81">
        <v>2</v>
      </c>
      <c r="AI13" s="81">
        <v>16</v>
      </c>
      <c r="AJ13" s="81">
        <v>58</v>
      </c>
      <c r="AK13" s="81">
        <v>1</v>
      </c>
      <c r="AL13" s="81">
        <v>3</v>
      </c>
      <c r="AM13" s="81">
        <v>28</v>
      </c>
      <c r="AN13" s="81">
        <v>47</v>
      </c>
      <c r="AO13" s="81">
        <v>0</v>
      </c>
      <c r="AP13" s="81">
        <v>60</v>
      </c>
      <c r="AQ13" s="81">
        <v>13</v>
      </c>
      <c r="AR13" s="81">
        <v>8</v>
      </c>
      <c r="AS13" s="81">
        <v>1</v>
      </c>
      <c r="AT13" s="81">
        <v>2</v>
      </c>
      <c r="AU13" s="81">
        <v>2</v>
      </c>
      <c r="AV13" s="81">
        <v>9</v>
      </c>
      <c r="AW13" s="81">
        <v>32</v>
      </c>
      <c r="AX13" s="81">
        <v>0</v>
      </c>
      <c r="AY13" s="81">
        <v>8</v>
      </c>
      <c r="AZ13" s="81">
        <v>2</v>
      </c>
      <c r="BA13" s="81">
        <v>0</v>
      </c>
      <c r="BB13" s="81">
        <v>1</v>
      </c>
      <c r="BC13" s="81">
        <v>0</v>
      </c>
      <c r="BD13" s="81">
        <v>3</v>
      </c>
      <c r="BE13" s="81">
        <v>0</v>
      </c>
      <c r="BF13" s="81">
        <v>0</v>
      </c>
      <c r="BG13" s="81">
        <v>1</v>
      </c>
      <c r="BH13" s="81">
        <v>3</v>
      </c>
      <c r="BI13" s="81">
        <v>4</v>
      </c>
      <c r="BJ13" s="81">
        <v>0</v>
      </c>
      <c r="BK13" s="81">
        <v>0</v>
      </c>
      <c r="BL13" s="81">
        <v>1</v>
      </c>
      <c r="BM13" s="81">
        <v>1</v>
      </c>
      <c r="BN13" s="81">
        <v>2</v>
      </c>
      <c r="BO13" s="81">
        <v>1</v>
      </c>
      <c r="BP13" s="81">
        <v>1</v>
      </c>
      <c r="BQ13" s="81">
        <v>3</v>
      </c>
      <c r="BR13" s="81"/>
      <c r="BS13" s="81">
        <v>2</v>
      </c>
      <c r="BT13" s="81">
        <v>3</v>
      </c>
      <c r="BU13" s="81"/>
      <c r="BV13" s="81"/>
      <c r="BW13" s="81">
        <v>6</v>
      </c>
      <c r="BX13" s="81"/>
      <c r="BY13" s="81"/>
      <c r="BZ13" s="81"/>
      <c r="CA13" s="81"/>
      <c r="CB13" s="81"/>
      <c r="CC13" s="81">
        <v>9</v>
      </c>
      <c r="CD13" s="81"/>
      <c r="CE13" s="81">
        <v>2</v>
      </c>
      <c r="CF13" s="81">
        <v>35</v>
      </c>
      <c r="CG13" s="81"/>
      <c r="CH13" s="81"/>
      <c r="CI13" s="81"/>
      <c r="CJ13" s="81">
        <v>10</v>
      </c>
      <c r="CK13" s="81"/>
      <c r="CL13" s="81">
        <v>30</v>
      </c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252">
        <v>620</v>
      </c>
    </row>
    <row r="14" spans="1:108" x14ac:dyDescent="0.25">
      <c r="A14" s="245" t="s">
        <v>598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11</v>
      </c>
      <c r="J14" s="81">
        <v>1</v>
      </c>
      <c r="K14" s="81">
        <v>3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1</v>
      </c>
      <c r="R14" s="81">
        <v>0</v>
      </c>
      <c r="S14" s="81">
        <v>0</v>
      </c>
      <c r="T14" s="81">
        <v>0</v>
      </c>
      <c r="U14" s="81">
        <v>3</v>
      </c>
      <c r="V14" s="81">
        <v>0</v>
      </c>
      <c r="W14" s="81">
        <v>0</v>
      </c>
      <c r="X14" s="81">
        <v>0</v>
      </c>
      <c r="Y14" s="81">
        <v>0</v>
      </c>
      <c r="Z14" s="81">
        <v>5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7</v>
      </c>
      <c r="AG14" s="81">
        <v>2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1</v>
      </c>
      <c r="AO14" s="81">
        <v>0</v>
      </c>
      <c r="AP14" s="81">
        <v>24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>
        <v>3</v>
      </c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253">
        <v>61</v>
      </c>
    </row>
    <row r="15" spans="1:108" x14ac:dyDescent="0.25">
      <c r="A15" s="245" t="s">
        <v>599</v>
      </c>
      <c r="B15" s="81">
        <v>30</v>
      </c>
      <c r="C15" s="81">
        <v>20</v>
      </c>
      <c r="D15" s="81">
        <v>15</v>
      </c>
      <c r="E15" s="81">
        <v>30</v>
      </c>
      <c r="F15" s="81">
        <v>0</v>
      </c>
      <c r="G15" s="81">
        <v>0</v>
      </c>
      <c r="H15" s="81">
        <v>30</v>
      </c>
      <c r="I15" s="81">
        <v>25</v>
      </c>
      <c r="J15" s="81">
        <v>1</v>
      </c>
      <c r="K15" s="81">
        <v>3</v>
      </c>
      <c r="L15" s="81">
        <v>30</v>
      </c>
      <c r="M15" s="81">
        <v>5</v>
      </c>
      <c r="N15" s="81">
        <v>0</v>
      </c>
      <c r="O15" s="81">
        <v>0</v>
      </c>
      <c r="P15" s="81">
        <v>2</v>
      </c>
      <c r="Q15" s="81">
        <v>80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40</v>
      </c>
      <c r="Y15" s="81">
        <v>0</v>
      </c>
      <c r="Z15" s="81">
        <v>9</v>
      </c>
      <c r="AA15" s="81">
        <v>40</v>
      </c>
      <c r="AB15" s="81">
        <v>1</v>
      </c>
      <c r="AC15" s="81">
        <v>0</v>
      </c>
      <c r="AD15" s="81">
        <v>0</v>
      </c>
      <c r="AE15" s="81">
        <v>0</v>
      </c>
      <c r="AF15" s="81">
        <v>7</v>
      </c>
      <c r="AG15" s="81">
        <v>30</v>
      </c>
      <c r="AH15" s="81">
        <v>21</v>
      </c>
      <c r="AI15" s="81">
        <v>0</v>
      </c>
      <c r="AJ15" s="81">
        <v>27</v>
      </c>
      <c r="AK15" s="81">
        <v>0</v>
      </c>
      <c r="AL15" s="81">
        <v>0</v>
      </c>
      <c r="AM15" s="81">
        <v>0</v>
      </c>
      <c r="AN15" s="81">
        <v>60</v>
      </c>
      <c r="AO15" s="81">
        <v>0</v>
      </c>
      <c r="AP15" s="81">
        <v>16</v>
      </c>
      <c r="AQ15" s="81">
        <v>21</v>
      </c>
      <c r="AR15" s="81">
        <v>0</v>
      </c>
      <c r="AS15" s="81">
        <v>0</v>
      </c>
      <c r="AT15" s="81">
        <v>0</v>
      </c>
      <c r="AU15" s="81">
        <v>20</v>
      </c>
      <c r="AV15" s="81">
        <v>0</v>
      </c>
      <c r="AW15" s="81">
        <v>0</v>
      </c>
      <c r="AX15" s="81">
        <v>5</v>
      </c>
      <c r="AY15" s="81">
        <v>20</v>
      </c>
      <c r="AZ15" s="81"/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v>0</v>
      </c>
      <c r="BO15" s="81">
        <v>0</v>
      </c>
      <c r="BP15" s="81">
        <v>0</v>
      </c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>
        <v>2</v>
      </c>
      <c r="CE15" s="81">
        <v>2</v>
      </c>
      <c r="CF15" s="81"/>
      <c r="CG15" s="81"/>
      <c r="CH15" s="81"/>
      <c r="CI15" s="81"/>
      <c r="CJ15" s="81"/>
      <c r="CK15" s="81"/>
      <c r="CL15" s="81"/>
      <c r="CM15" s="81"/>
      <c r="CN15" s="81"/>
      <c r="CO15" s="81">
        <v>10</v>
      </c>
      <c r="CP15" s="81"/>
      <c r="CQ15" s="81"/>
      <c r="CR15" s="81"/>
      <c r="CS15" s="81"/>
      <c r="CT15" s="81">
        <v>35</v>
      </c>
      <c r="CU15" s="81"/>
      <c r="CV15" s="81">
        <v>4</v>
      </c>
      <c r="CW15" s="81"/>
      <c r="CX15" s="81"/>
      <c r="CY15" s="81">
        <v>20</v>
      </c>
      <c r="CZ15" s="81"/>
      <c r="DA15" s="81"/>
      <c r="DB15" s="81"/>
      <c r="DC15" s="253">
        <v>661</v>
      </c>
    </row>
    <row r="16" spans="1:108" x14ac:dyDescent="0.25">
      <c r="A16" s="245" t="s">
        <v>600</v>
      </c>
      <c r="B16" s="81">
        <v>0</v>
      </c>
      <c r="C16" s="81">
        <v>20</v>
      </c>
      <c r="D16" s="81">
        <v>60</v>
      </c>
      <c r="E16" s="81">
        <v>0</v>
      </c>
      <c r="F16" s="81">
        <v>0</v>
      </c>
      <c r="G16" s="81">
        <v>0</v>
      </c>
      <c r="H16" s="81">
        <v>0</v>
      </c>
      <c r="I16" s="81">
        <v>25</v>
      </c>
      <c r="J16" s="81">
        <v>2</v>
      </c>
      <c r="K16" s="81">
        <v>33</v>
      </c>
      <c r="L16" s="81">
        <v>30</v>
      </c>
      <c r="M16" s="81">
        <v>5</v>
      </c>
      <c r="N16" s="81">
        <v>32</v>
      </c>
      <c r="O16" s="81">
        <v>30</v>
      </c>
      <c r="P16" s="81">
        <v>44</v>
      </c>
      <c r="Q16" s="81">
        <v>2</v>
      </c>
      <c r="R16" s="81">
        <v>0</v>
      </c>
      <c r="S16" s="81">
        <v>30</v>
      </c>
      <c r="T16" s="81">
        <v>13</v>
      </c>
      <c r="U16" s="81">
        <v>3</v>
      </c>
      <c r="V16" s="81">
        <v>15</v>
      </c>
      <c r="W16" s="81">
        <v>0</v>
      </c>
      <c r="X16" s="81">
        <v>2</v>
      </c>
      <c r="Y16" s="81">
        <v>1</v>
      </c>
      <c r="Z16" s="81">
        <v>0</v>
      </c>
      <c r="AA16" s="81">
        <v>0</v>
      </c>
      <c r="AB16" s="81">
        <v>1</v>
      </c>
      <c r="AC16" s="81">
        <v>4</v>
      </c>
      <c r="AD16" s="81">
        <v>0</v>
      </c>
      <c r="AE16" s="81">
        <v>30</v>
      </c>
      <c r="AF16" s="81">
        <v>43</v>
      </c>
      <c r="AG16" s="81">
        <v>30</v>
      </c>
      <c r="AH16" s="81">
        <v>2</v>
      </c>
      <c r="AI16" s="81">
        <v>33</v>
      </c>
      <c r="AJ16" s="81">
        <v>2</v>
      </c>
      <c r="AK16" s="81">
        <v>21</v>
      </c>
      <c r="AL16" s="81">
        <v>2</v>
      </c>
      <c r="AM16" s="81">
        <v>0</v>
      </c>
      <c r="AN16" s="81">
        <v>0</v>
      </c>
      <c r="AO16" s="81">
        <v>0</v>
      </c>
      <c r="AP16" s="81">
        <v>13</v>
      </c>
      <c r="AQ16" s="81">
        <v>20</v>
      </c>
      <c r="AR16" s="81">
        <v>0</v>
      </c>
      <c r="AS16" s="81">
        <v>0</v>
      </c>
      <c r="AT16" s="81">
        <v>0</v>
      </c>
      <c r="AU16" s="81">
        <v>20</v>
      </c>
      <c r="AV16" s="81">
        <v>30</v>
      </c>
      <c r="AW16" s="81">
        <v>0</v>
      </c>
      <c r="AX16" s="81">
        <v>5</v>
      </c>
      <c r="AY16" s="81">
        <v>20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1</v>
      </c>
      <c r="BM16" s="81">
        <v>1</v>
      </c>
      <c r="BN16" s="81">
        <v>1</v>
      </c>
      <c r="BO16" s="81">
        <v>1</v>
      </c>
      <c r="BP16" s="81">
        <v>0</v>
      </c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>
        <v>2</v>
      </c>
      <c r="CE16" s="81">
        <v>2</v>
      </c>
      <c r="CF16" s="81"/>
      <c r="CG16" s="81"/>
      <c r="CH16" s="81"/>
      <c r="CI16" s="81"/>
      <c r="CJ16" s="81"/>
      <c r="CK16" s="81"/>
      <c r="CL16" s="81"/>
      <c r="CM16" s="81"/>
      <c r="CN16" s="81"/>
      <c r="CO16" s="81">
        <v>10</v>
      </c>
      <c r="CP16" s="81">
        <v>30</v>
      </c>
      <c r="CQ16" s="81">
        <v>30</v>
      </c>
      <c r="CR16" s="81">
        <v>30</v>
      </c>
      <c r="CS16" s="81">
        <v>30</v>
      </c>
      <c r="CT16" s="81"/>
      <c r="CU16" s="81"/>
      <c r="CV16" s="81">
        <v>6</v>
      </c>
      <c r="CW16" s="81"/>
      <c r="CX16" s="81">
        <v>20</v>
      </c>
      <c r="CY16" s="81"/>
      <c r="CZ16" s="81"/>
      <c r="DA16" s="81"/>
      <c r="DB16" s="81"/>
      <c r="DC16" s="253">
        <v>787</v>
      </c>
    </row>
    <row r="17" spans="1:107" x14ac:dyDescent="0.25">
      <c r="A17" s="245" t="s">
        <v>601</v>
      </c>
      <c r="B17" s="81">
        <v>1</v>
      </c>
      <c r="C17" s="81">
        <v>23</v>
      </c>
      <c r="D17" s="81">
        <v>22</v>
      </c>
      <c r="E17" s="81">
        <v>14</v>
      </c>
      <c r="F17" s="81">
        <v>0</v>
      </c>
      <c r="G17" s="81">
        <v>13</v>
      </c>
      <c r="H17" s="81">
        <v>5</v>
      </c>
      <c r="I17" s="81">
        <v>6</v>
      </c>
      <c r="J17" s="81">
        <v>5</v>
      </c>
      <c r="K17" s="81">
        <v>33</v>
      </c>
      <c r="L17" s="81">
        <v>32</v>
      </c>
      <c r="M17" s="81">
        <v>14</v>
      </c>
      <c r="N17" s="81">
        <v>14</v>
      </c>
      <c r="O17" s="81">
        <v>45</v>
      </c>
      <c r="P17" s="81">
        <v>10</v>
      </c>
      <c r="Q17" s="81">
        <v>6</v>
      </c>
      <c r="R17" s="81">
        <v>6</v>
      </c>
      <c r="S17" s="81">
        <v>1</v>
      </c>
      <c r="T17" s="81">
        <v>13</v>
      </c>
      <c r="U17" s="81">
        <v>17</v>
      </c>
      <c r="V17" s="81">
        <v>4</v>
      </c>
      <c r="W17" s="81">
        <v>0</v>
      </c>
      <c r="X17" s="81">
        <v>4</v>
      </c>
      <c r="Y17" s="81">
        <v>2</v>
      </c>
      <c r="Z17" s="81">
        <v>20</v>
      </c>
      <c r="AA17" s="81">
        <v>5</v>
      </c>
      <c r="AB17" s="81">
        <v>0</v>
      </c>
      <c r="AC17" s="81">
        <v>4</v>
      </c>
      <c r="AD17" s="81">
        <v>17</v>
      </c>
      <c r="AE17" s="81">
        <v>4</v>
      </c>
      <c r="AF17" s="81">
        <v>139</v>
      </c>
      <c r="AG17" s="81">
        <v>33</v>
      </c>
      <c r="AH17" s="81">
        <v>5</v>
      </c>
      <c r="AI17" s="81">
        <v>32</v>
      </c>
      <c r="AJ17" s="81">
        <v>44</v>
      </c>
      <c r="AK17" s="81">
        <v>1</v>
      </c>
      <c r="AL17" s="81">
        <v>1</v>
      </c>
      <c r="AM17" s="81">
        <v>13</v>
      </c>
      <c r="AN17" s="81">
        <v>11</v>
      </c>
      <c r="AO17" s="81">
        <v>0</v>
      </c>
      <c r="AP17" s="81">
        <v>93</v>
      </c>
      <c r="AQ17" s="81">
        <v>37</v>
      </c>
      <c r="AR17" s="81">
        <v>3</v>
      </c>
      <c r="AS17" s="81">
        <v>4</v>
      </c>
      <c r="AT17" s="81">
        <v>16</v>
      </c>
      <c r="AU17" s="81">
        <v>22</v>
      </c>
      <c r="AV17" s="81">
        <v>11</v>
      </c>
      <c r="AW17" s="81">
        <v>5</v>
      </c>
      <c r="AX17" s="81">
        <v>13</v>
      </c>
      <c r="AY17" s="81">
        <v>38</v>
      </c>
      <c r="AZ17" s="81">
        <v>4</v>
      </c>
      <c r="BA17" s="81">
        <v>0</v>
      </c>
      <c r="BB17" s="81">
        <v>3</v>
      </c>
      <c r="BC17" s="81">
        <v>0</v>
      </c>
      <c r="BD17" s="81">
        <v>0</v>
      </c>
      <c r="BE17" s="81">
        <v>0</v>
      </c>
      <c r="BF17" s="81">
        <v>0</v>
      </c>
      <c r="BG17" s="81">
        <v>1</v>
      </c>
      <c r="BH17" s="81">
        <v>6</v>
      </c>
      <c r="BI17" s="81">
        <v>5</v>
      </c>
      <c r="BJ17" s="81">
        <v>1</v>
      </c>
      <c r="BK17" s="81">
        <v>1</v>
      </c>
      <c r="BL17" s="81">
        <v>6</v>
      </c>
      <c r="BM17" s="81">
        <v>0</v>
      </c>
      <c r="BN17" s="81">
        <v>33</v>
      </c>
      <c r="BO17" s="81">
        <v>0</v>
      </c>
      <c r="BP17" s="81">
        <v>0</v>
      </c>
      <c r="BQ17" s="81">
        <v>7</v>
      </c>
      <c r="BR17" s="81"/>
      <c r="BS17" s="81"/>
      <c r="BT17" s="81">
        <v>2</v>
      </c>
      <c r="BU17" s="81">
        <v>5</v>
      </c>
      <c r="BV17" s="81"/>
      <c r="BW17" s="81"/>
      <c r="BX17" s="81"/>
      <c r="BY17" s="81">
        <v>18</v>
      </c>
      <c r="BZ17" s="81">
        <v>2</v>
      </c>
      <c r="CA17" s="81">
        <v>2</v>
      </c>
      <c r="CB17" s="81"/>
      <c r="CC17" s="81">
        <v>20</v>
      </c>
      <c r="CD17" s="81">
        <v>2</v>
      </c>
      <c r="CE17" s="81">
        <v>2</v>
      </c>
      <c r="CF17" s="81">
        <v>31</v>
      </c>
      <c r="CG17" s="81"/>
      <c r="CH17" s="81"/>
      <c r="CI17" s="81"/>
      <c r="CJ17" s="81"/>
      <c r="CK17" s="81"/>
      <c r="CL17" s="81"/>
      <c r="CM17" s="81"/>
      <c r="CN17" s="81"/>
      <c r="CO17" s="81">
        <v>5</v>
      </c>
      <c r="CP17" s="81"/>
      <c r="CQ17" s="81"/>
      <c r="CR17" s="81"/>
      <c r="CS17" s="81"/>
      <c r="CT17" s="81">
        <v>4</v>
      </c>
      <c r="CU17" s="81"/>
      <c r="CV17" s="81">
        <v>6</v>
      </c>
      <c r="CW17" s="81">
        <v>15</v>
      </c>
      <c r="CX17" s="81"/>
      <c r="CY17" s="81"/>
      <c r="CZ17" s="81"/>
      <c r="DA17" s="81"/>
      <c r="DB17" s="81"/>
      <c r="DC17" s="253">
        <v>1042</v>
      </c>
    </row>
    <row r="18" spans="1:107" x14ac:dyDescent="0.25">
      <c r="A18" s="245" t="s">
        <v>602</v>
      </c>
      <c r="B18" s="81">
        <v>0</v>
      </c>
      <c r="C18" s="81">
        <v>1</v>
      </c>
      <c r="D18" s="81">
        <v>6</v>
      </c>
      <c r="E18" s="81">
        <v>10</v>
      </c>
      <c r="F18" s="81">
        <v>19</v>
      </c>
      <c r="G18" s="81">
        <v>1</v>
      </c>
      <c r="H18" s="81">
        <v>2</v>
      </c>
      <c r="I18" s="81">
        <v>19</v>
      </c>
      <c r="J18" s="81">
        <v>3</v>
      </c>
      <c r="K18" s="81">
        <v>4</v>
      </c>
      <c r="L18" s="81">
        <v>0</v>
      </c>
      <c r="M18" s="81">
        <v>2</v>
      </c>
      <c r="N18" s="81">
        <v>10</v>
      </c>
      <c r="O18" s="81">
        <v>1</v>
      </c>
      <c r="P18" s="81">
        <v>22</v>
      </c>
      <c r="Q18" s="81">
        <v>2</v>
      </c>
      <c r="R18" s="81">
        <v>4</v>
      </c>
      <c r="S18" s="81">
        <v>8</v>
      </c>
      <c r="T18" s="81">
        <v>0</v>
      </c>
      <c r="U18" s="81">
        <v>25</v>
      </c>
      <c r="V18" s="81">
        <v>1</v>
      </c>
      <c r="W18" s="81">
        <v>3</v>
      </c>
      <c r="X18" s="81">
        <v>11</v>
      </c>
      <c r="Y18" s="81">
        <v>1</v>
      </c>
      <c r="Z18" s="81">
        <v>8</v>
      </c>
      <c r="AA18" s="81">
        <v>11</v>
      </c>
      <c r="AB18" s="81">
        <v>1</v>
      </c>
      <c r="AC18" s="81">
        <v>4</v>
      </c>
      <c r="AD18" s="81">
        <v>4</v>
      </c>
      <c r="AE18" s="81">
        <v>11</v>
      </c>
      <c r="AF18" s="81">
        <v>61</v>
      </c>
      <c r="AG18" s="81">
        <v>1</v>
      </c>
      <c r="AH18" s="81">
        <v>5</v>
      </c>
      <c r="AI18" s="81">
        <v>25</v>
      </c>
      <c r="AJ18" s="81">
        <v>57</v>
      </c>
      <c r="AK18" s="81">
        <v>10</v>
      </c>
      <c r="AL18" s="81">
        <v>14</v>
      </c>
      <c r="AM18" s="81">
        <v>10</v>
      </c>
      <c r="AN18" s="81">
        <v>5</v>
      </c>
      <c r="AO18" s="81">
        <v>0</v>
      </c>
      <c r="AP18" s="81">
        <v>137</v>
      </c>
      <c r="AQ18" s="81">
        <v>25</v>
      </c>
      <c r="AR18" s="81">
        <v>7</v>
      </c>
      <c r="AS18" s="81">
        <v>0</v>
      </c>
      <c r="AT18" s="81">
        <v>3</v>
      </c>
      <c r="AU18" s="81">
        <v>1</v>
      </c>
      <c r="AV18" s="81">
        <v>11</v>
      </c>
      <c r="AW18" s="81">
        <v>10</v>
      </c>
      <c r="AX18" s="81">
        <v>2</v>
      </c>
      <c r="AY18" s="81">
        <v>36</v>
      </c>
      <c r="AZ18" s="81">
        <v>1</v>
      </c>
      <c r="BA18" s="81">
        <v>8</v>
      </c>
      <c r="BB18" s="81">
        <v>5</v>
      </c>
      <c r="BC18" s="81">
        <v>0</v>
      </c>
      <c r="BD18" s="81">
        <v>7</v>
      </c>
      <c r="BE18" s="81">
        <v>2</v>
      </c>
      <c r="BF18" s="81">
        <v>0</v>
      </c>
      <c r="BG18" s="81">
        <v>1</v>
      </c>
      <c r="BH18" s="81">
        <v>2</v>
      </c>
      <c r="BI18" s="81">
        <v>3</v>
      </c>
      <c r="BJ18" s="81">
        <v>0</v>
      </c>
      <c r="BK18" s="81">
        <v>0</v>
      </c>
      <c r="BL18" s="81">
        <v>2</v>
      </c>
      <c r="BM18" s="81">
        <v>1</v>
      </c>
      <c r="BN18" s="81">
        <v>32</v>
      </c>
      <c r="BO18" s="81">
        <v>1</v>
      </c>
      <c r="BP18" s="81">
        <v>1</v>
      </c>
      <c r="BQ18" s="81">
        <v>3</v>
      </c>
      <c r="BR18" s="81">
        <v>24</v>
      </c>
      <c r="BS18" s="81">
        <v>1</v>
      </c>
      <c r="BT18" s="81">
        <v>1</v>
      </c>
      <c r="BU18" s="81">
        <v>1</v>
      </c>
      <c r="BV18" s="81"/>
      <c r="BW18" s="81">
        <v>1</v>
      </c>
      <c r="BX18" s="81">
        <v>3</v>
      </c>
      <c r="BY18" s="81"/>
      <c r="BZ18" s="81"/>
      <c r="CA18" s="81"/>
      <c r="CB18" s="81">
        <v>1</v>
      </c>
      <c r="CC18" s="81">
        <v>50</v>
      </c>
      <c r="CD18" s="81">
        <v>2</v>
      </c>
      <c r="CE18" s="81">
        <v>2</v>
      </c>
      <c r="CF18" s="81">
        <v>35</v>
      </c>
      <c r="CG18" s="81"/>
      <c r="CH18" s="81"/>
      <c r="CI18" s="81"/>
      <c r="CJ18" s="81">
        <v>3</v>
      </c>
      <c r="CK18" s="81">
        <v>25</v>
      </c>
      <c r="CL18" s="81">
        <v>30</v>
      </c>
      <c r="CM18" s="81">
        <v>9</v>
      </c>
      <c r="CN18" s="81"/>
      <c r="CO18" s="81"/>
      <c r="CP18" s="81"/>
      <c r="CQ18" s="81"/>
      <c r="CR18" s="81"/>
      <c r="CS18" s="81"/>
      <c r="CT18" s="81"/>
      <c r="CU18" s="81"/>
      <c r="CV18" s="81">
        <v>12</v>
      </c>
      <c r="CW18" s="81"/>
      <c r="CX18" s="81"/>
      <c r="CY18" s="81"/>
      <c r="CZ18" s="81"/>
      <c r="DA18" s="81"/>
      <c r="DB18" s="81"/>
      <c r="DC18" s="253">
        <v>883</v>
      </c>
    </row>
    <row r="19" spans="1:107" x14ac:dyDescent="0.25">
      <c r="A19" s="245" t="s">
        <v>603</v>
      </c>
      <c r="B19" s="81">
        <v>31</v>
      </c>
      <c r="C19" s="81">
        <v>26</v>
      </c>
      <c r="D19" s="81">
        <v>84</v>
      </c>
      <c r="E19" s="81">
        <v>112</v>
      </c>
      <c r="F19" s="81">
        <v>0</v>
      </c>
      <c r="G19" s="81">
        <v>12</v>
      </c>
      <c r="H19" s="81">
        <v>37</v>
      </c>
      <c r="I19" s="81">
        <v>0</v>
      </c>
      <c r="J19" s="81">
        <v>33</v>
      </c>
      <c r="K19" s="81">
        <v>33</v>
      </c>
      <c r="L19" s="81">
        <v>62</v>
      </c>
      <c r="M19" s="81">
        <v>20</v>
      </c>
      <c r="N19" s="81">
        <v>68</v>
      </c>
      <c r="O19" s="81">
        <v>61</v>
      </c>
      <c r="P19" s="81">
        <v>3</v>
      </c>
      <c r="Q19" s="81">
        <v>4</v>
      </c>
      <c r="R19" s="81">
        <v>22</v>
      </c>
      <c r="S19" s="81">
        <v>36</v>
      </c>
      <c r="T19" s="81">
        <v>0</v>
      </c>
      <c r="U19" s="81">
        <v>15</v>
      </c>
      <c r="V19" s="81">
        <v>3</v>
      </c>
      <c r="W19" s="81">
        <v>0</v>
      </c>
      <c r="X19" s="81">
        <v>2</v>
      </c>
      <c r="Y19" s="81">
        <v>4</v>
      </c>
      <c r="Z19" s="81">
        <v>9</v>
      </c>
      <c r="AA19" s="81">
        <v>14</v>
      </c>
      <c r="AB19" s="81">
        <v>0</v>
      </c>
      <c r="AC19" s="81">
        <v>6</v>
      </c>
      <c r="AD19" s="81">
        <v>17</v>
      </c>
      <c r="AE19" s="81">
        <v>32</v>
      </c>
      <c r="AF19" s="81">
        <v>143</v>
      </c>
      <c r="AG19" s="81">
        <v>32</v>
      </c>
      <c r="AH19" s="81">
        <v>2</v>
      </c>
      <c r="AI19" s="81">
        <v>32</v>
      </c>
      <c r="AJ19" s="81">
        <v>143</v>
      </c>
      <c r="AK19" s="81">
        <v>6</v>
      </c>
      <c r="AL19" s="81">
        <v>1</v>
      </c>
      <c r="AM19" s="81">
        <v>8</v>
      </c>
      <c r="AN19" s="81">
        <v>93</v>
      </c>
      <c r="AO19" s="81">
        <v>0</v>
      </c>
      <c r="AP19" s="81">
        <v>68</v>
      </c>
      <c r="AQ19" s="81">
        <v>22</v>
      </c>
      <c r="AR19" s="81">
        <v>10</v>
      </c>
      <c r="AS19" s="81">
        <v>13</v>
      </c>
      <c r="AT19" s="81">
        <v>19</v>
      </c>
      <c r="AU19" s="81">
        <v>62</v>
      </c>
      <c r="AV19" s="81">
        <v>45</v>
      </c>
      <c r="AW19" s="81">
        <v>11</v>
      </c>
      <c r="AX19" s="81">
        <v>16</v>
      </c>
      <c r="AY19" s="81">
        <v>48</v>
      </c>
      <c r="AZ19" s="81">
        <v>8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22</v>
      </c>
      <c r="BJ19" s="81">
        <v>2</v>
      </c>
      <c r="BK19" s="81">
        <v>3</v>
      </c>
      <c r="BL19" s="81">
        <v>9</v>
      </c>
      <c r="BM19" s="81">
        <v>0</v>
      </c>
      <c r="BN19" s="81">
        <v>9</v>
      </c>
      <c r="BO19" s="81">
        <v>0</v>
      </c>
      <c r="BP19" s="81">
        <v>5</v>
      </c>
      <c r="BQ19" s="81"/>
      <c r="BR19" s="81"/>
      <c r="BS19" s="81"/>
      <c r="BT19" s="81">
        <v>6</v>
      </c>
      <c r="BU19" s="81">
        <v>6</v>
      </c>
      <c r="BV19" s="81"/>
      <c r="BW19" s="81"/>
      <c r="BX19" s="81"/>
      <c r="BY19" s="81"/>
      <c r="BZ19" s="81">
        <v>5</v>
      </c>
      <c r="CA19" s="81"/>
      <c r="CB19" s="81"/>
      <c r="CC19" s="81">
        <v>20</v>
      </c>
      <c r="CD19" s="81">
        <v>2</v>
      </c>
      <c r="CE19" s="81">
        <v>2</v>
      </c>
      <c r="CF19" s="81">
        <v>31</v>
      </c>
      <c r="CG19" s="81"/>
      <c r="CH19" s="81"/>
      <c r="CI19" s="81"/>
      <c r="CJ19" s="81"/>
      <c r="CK19" s="81"/>
      <c r="CL19" s="81"/>
      <c r="CM19" s="81"/>
      <c r="CN19" s="81"/>
      <c r="CO19" s="81">
        <v>5</v>
      </c>
      <c r="CP19" s="81"/>
      <c r="CQ19" s="81"/>
      <c r="CR19" s="81"/>
      <c r="CS19" s="81"/>
      <c r="CT19" s="81">
        <v>31</v>
      </c>
      <c r="CU19" s="81"/>
      <c r="CV19" s="81">
        <v>4</v>
      </c>
      <c r="CW19" s="81">
        <v>15</v>
      </c>
      <c r="CX19" s="81"/>
      <c r="CY19" s="81"/>
      <c r="CZ19" s="81"/>
      <c r="DA19" s="81"/>
      <c r="DB19" s="81"/>
      <c r="DC19" s="253">
        <v>1705</v>
      </c>
    </row>
    <row r="20" spans="1:107" x14ac:dyDescent="0.25">
      <c r="A20" s="245" t="s">
        <v>604</v>
      </c>
      <c r="B20" s="81">
        <v>2</v>
      </c>
      <c r="C20" s="81">
        <v>27</v>
      </c>
      <c r="D20" s="81">
        <v>20</v>
      </c>
      <c r="E20" s="81">
        <v>5</v>
      </c>
      <c r="F20" s="81">
        <v>1</v>
      </c>
      <c r="G20" s="81">
        <v>10</v>
      </c>
      <c r="H20" s="81">
        <v>5</v>
      </c>
      <c r="I20" s="81">
        <v>25</v>
      </c>
      <c r="J20" s="81">
        <v>17</v>
      </c>
      <c r="K20" s="81">
        <v>4</v>
      </c>
      <c r="L20" s="81">
        <v>30</v>
      </c>
      <c r="M20" s="81">
        <v>6</v>
      </c>
      <c r="N20" s="81">
        <v>10</v>
      </c>
      <c r="O20" s="81">
        <v>30</v>
      </c>
      <c r="P20" s="81">
        <v>7</v>
      </c>
      <c r="Q20" s="81">
        <v>6</v>
      </c>
      <c r="R20" s="81">
        <v>2</v>
      </c>
      <c r="S20" s="81">
        <v>2</v>
      </c>
      <c r="T20" s="81">
        <v>0</v>
      </c>
      <c r="U20" s="81">
        <v>13</v>
      </c>
      <c r="V20" s="81">
        <v>3</v>
      </c>
      <c r="W20" s="81">
        <v>0</v>
      </c>
      <c r="X20" s="81">
        <v>0</v>
      </c>
      <c r="Y20" s="81">
        <v>0</v>
      </c>
      <c r="Z20" s="81">
        <v>5</v>
      </c>
      <c r="AA20" s="81">
        <v>11</v>
      </c>
      <c r="AB20" s="81">
        <v>6</v>
      </c>
      <c r="AC20" s="81">
        <v>3</v>
      </c>
      <c r="AD20" s="81">
        <v>4</v>
      </c>
      <c r="AE20" s="81">
        <v>7</v>
      </c>
      <c r="AF20" s="81">
        <v>25</v>
      </c>
      <c r="AG20" s="81">
        <v>30</v>
      </c>
      <c r="AH20" s="81">
        <v>10</v>
      </c>
      <c r="AI20" s="81">
        <v>2</v>
      </c>
      <c r="AJ20" s="81">
        <v>28</v>
      </c>
      <c r="AK20" s="81">
        <v>6</v>
      </c>
      <c r="AL20" s="81">
        <v>2</v>
      </c>
      <c r="AM20" s="81">
        <v>7</v>
      </c>
      <c r="AN20" s="81">
        <v>9</v>
      </c>
      <c r="AO20" s="81">
        <v>0</v>
      </c>
      <c r="AP20" s="81">
        <v>75</v>
      </c>
      <c r="AQ20" s="81">
        <v>21</v>
      </c>
      <c r="AR20" s="81">
        <v>0</v>
      </c>
      <c r="AS20" s="81">
        <v>1</v>
      </c>
      <c r="AT20" s="81">
        <v>1</v>
      </c>
      <c r="AU20" s="81">
        <v>20</v>
      </c>
      <c r="AV20" s="81">
        <v>5</v>
      </c>
      <c r="AW20" s="81">
        <v>6</v>
      </c>
      <c r="AX20" s="81">
        <v>7</v>
      </c>
      <c r="AY20" s="81">
        <v>23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  <c r="BI20" s="81">
        <v>2</v>
      </c>
      <c r="BJ20" s="81">
        <v>0</v>
      </c>
      <c r="BK20" s="81">
        <v>0</v>
      </c>
      <c r="BL20" s="81">
        <v>3</v>
      </c>
      <c r="BM20" s="81">
        <v>0</v>
      </c>
      <c r="BN20" s="81">
        <v>13</v>
      </c>
      <c r="BO20" s="81">
        <v>0</v>
      </c>
      <c r="BP20" s="81">
        <v>0</v>
      </c>
      <c r="BQ20" s="81"/>
      <c r="BR20" s="81"/>
      <c r="BS20" s="81"/>
      <c r="BT20" s="81"/>
      <c r="BU20" s="81">
        <v>5</v>
      </c>
      <c r="BV20" s="81"/>
      <c r="BW20" s="81"/>
      <c r="BX20" s="81"/>
      <c r="BY20" s="81">
        <v>18</v>
      </c>
      <c r="BZ20" s="81"/>
      <c r="CA20" s="81"/>
      <c r="CB20" s="81"/>
      <c r="CC20" s="81"/>
      <c r="CD20" s="81"/>
      <c r="CE20" s="81"/>
      <c r="CF20" s="81"/>
      <c r="CG20" s="81"/>
      <c r="CH20" s="81"/>
      <c r="CI20" s="81">
        <v>5</v>
      </c>
      <c r="CJ20" s="81"/>
      <c r="CK20" s="81"/>
      <c r="CL20" s="81"/>
      <c r="CM20" s="81">
        <v>2</v>
      </c>
      <c r="CN20" s="81"/>
      <c r="CO20" s="81">
        <v>10</v>
      </c>
      <c r="CP20" s="81"/>
      <c r="CQ20" s="81"/>
      <c r="CR20" s="81"/>
      <c r="CS20" s="81"/>
      <c r="CT20" s="81">
        <v>3</v>
      </c>
      <c r="CU20" s="81"/>
      <c r="CV20" s="81">
        <v>4</v>
      </c>
      <c r="CW20" s="81"/>
      <c r="CX20" s="81"/>
      <c r="CY20" s="81">
        <v>5</v>
      </c>
      <c r="CZ20" s="81">
        <v>5</v>
      </c>
      <c r="DA20" s="81"/>
      <c r="DB20" s="81"/>
      <c r="DC20" s="252">
        <v>614</v>
      </c>
    </row>
    <row r="21" spans="1:107" x14ac:dyDescent="0.25">
      <c r="A21" s="245" t="s">
        <v>605</v>
      </c>
      <c r="B21" s="81">
        <v>33</v>
      </c>
      <c r="C21" s="81">
        <v>28</v>
      </c>
      <c r="D21" s="81">
        <v>35</v>
      </c>
      <c r="E21" s="81">
        <v>10</v>
      </c>
      <c r="F21" s="81">
        <v>2</v>
      </c>
      <c r="G21" s="81">
        <v>10</v>
      </c>
      <c r="H21" s="81">
        <v>38</v>
      </c>
      <c r="I21" s="81">
        <v>0</v>
      </c>
      <c r="J21" s="81">
        <v>18</v>
      </c>
      <c r="K21" s="81">
        <v>35</v>
      </c>
      <c r="L21" s="81">
        <v>30</v>
      </c>
      <c r="M21" s="81">
        <v>6</v>
      </c>
      <c r="N21" s="81">
        <v>52</v>
      </c>
      <c r="O21" s="81">
        <v>0</v>
      </c>
      <c r="P21" s="81">
        <v>6</v>
      </c>
      <c r="Q21" s="81">
        <v>9</v>
      </c>
      <c r="R21" s="81">
        <v>5</v>
      </c>
      <c r="S21" s="81">
        <v>35</v>
      </c>
      <c r="T21" s="81">
        <v>0</v>
      </c>
      <c r="U21" s="81">
        <v>12</v>
      </c>
      <c r="V21" s="81">
        <v>2</v>
      </c>
      <c r="W21" s="81">
        <v>0</v>
      </c>
      <c r="X21" s="81">
        <v>0</v>
      </c>
      <c r="Y21" s="81">
        <v>0</v>
      </c>
      <c r="Z21" s="81">
        <v>0</v>
      </c>
      <c r="AA21" s="81">
        <v>8</v>
      </c>
      <c r="AB21" s="81">
        <v>12</v>
      </c>
      <c r="AC21" s="81">
        <v>4</v>
      </c>
      <c r="AD21" s="81">
        <v>0</v>
      </c>
      <c r="AE21" s="81">
        <v>38</v>
      </c>
      <c r="AF21" s="81">
        <v>59</v>
      </c>
      <c r="AG21" s="81">
        <v>30</v>
      </c>
      <c r="AH21" s="81">
        <v>3</v>
      </c>
      <c r="AI21" s="81">
        <v>34</v>
      </c>
      <c r="AJ21" s="81">
        <v>10</v>
      </c>
      <c r="AK21" s="81">
        <v>8</v>
      </c>
      <c r="AL21" s="81">
        <v>0</v>
      </c>
      <c r="AM21" s="81">
        <v>14</v>
      </c>
      <c r="AN21" s="81">
        <v>62</v>
      </c>
      <c r="AO21" s="81">
        <v>0</v>
      </c>
      <c r="AP21" s="81">
        <v>42</v>
      </c>
      <c r="AQ21" s="81">
        <v>20</v>
      </c>
      <c r="AR21" s="81">
        <v>0</v>
      </c>
      <c r="AS21" s="81">
        <v>3</v>
      </c>
      <c r="AT21" s="81">
        <v>3</v>
      </c>
      <c r="AU21" s="81">
        <v>20</v>
      </c>
      <c r="AV21" s="81">
        <v>0</v>
      </c>
      <c r="AW21" s="81">
        <v>6</v>
      </c>
      <c r="AX21" s="81">
        <v>10</v>
      </c>
      <c r="AY21" s="81">
        <v>20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  <c r="BI21" s="81">
        <v>4</v>
      </c>
      <c r="BJ21" s="81">
        <v>0</v>
      </c>
      <c r="BK21" s="81">
        <v>0</v>
      </c>
      <c r="BL21" s="81">
        <v>3</v>
      </c>
      <c r="BM21" s="81">
        <v>0</v>
      </c>
      <c r="BN21" s="81">
        <v>17</v>
      </c>
      <c r="BO21" s="81">
        <v>0</v>
      </c>
      <c r="BP21" s="81">
        <v>0</v>
      </c>
      <c r="BQ21" s="81"/>
      <c r="BR21" s="81"/>
      <c r="BS21" s="81"/>
      <c r="BT21" s="81"/>
      <c r="BU21" s="81">
        <v>7</v>
      </c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>
        <v>2</v>
      </c>
      <c r="CN21" s="81"/>
      <c r="CO21" s="81">
        <v>10</v>
      </c>
      <c r="CP21" s="81"/>
      <c r="CQ21" s="81"/>
      <c r="CR21" s="81"/>
      <c r="CS21" s="81"/>
      <c r="CT21" s="81"/>
      <c r="CU21" s="81"/>
      <c r="CV21" s="81">
        <v>4</v>
      </c>
      <c r="CW21" s="81"/>
      <c r="CX21" s="81">
        <v>5</v>
      </c>
      <c r="CY21" s="81"/>
      <c r="CZ21" s="81"/>
      <c r="DA21" s="81"/>
      <c r="DB21" s="81"/>
      <c r="DC21" s="252">
        <v>824</v>
      </c>
    </row>
    <row r="22" spans="1:107" x14ac:dyDescent="0.25">
      <c r="A22" s="245" t="s">
        <v>606</v>
      </c>
      <c r="B22" s="81">
        <v>0</v>
      </c>
      <c r="C22" s="81">
        <v>20</v>
      </c>
      <c r="D22" s="81">
        <v>18</v>
      </c>
      <c r="E22" s="81">
        <v>5</v>
      </c>
      <c r="F22" s="81">
        <v>1</v>
      </c>
      <c r="G22" s="81">
        <v>0</v>
      </c>
      <c r="H22" s="81">
        <v>3</v>
      </c>
      <c r="I22" s="81">
        <v>0</v>
      </c>
      <c r="J22" s="81">
        <v>18</v>
      </c>
      <c r="K22" s="81">
        <v>3</v>
      </c>
      <c r="L22" s="81">
        <v>30</v>
      </c>
      <c r="M22" s="81">
        <v>5</v>
      </c>
      <c r="N22" s="81">
        <v>0</v>
      </c>
      <c r="O22" s="81">
        <v>0</v>
      </c>
      <c r="P22" s="81">
        <v>7</v>
      </c>
      <c r="Q22" s="81">
        <v>6</v>
      </c>
      <c r="R22" s="81">
        <v>5</v>
      </c>
      <c r="S22" s="81">
        <v>0</v>
      </c>
      <c r="T22" s="81">
        <v>0</v>
      </c>
      <c r="U22" s="81">
        <v>7</v>
      </c>
      <c r="V22" s="81">
        <v>3</v>
      </c>
      <c r="W22" s="81">
        <v>0</v>
      </c>
      <c r="X22" s="81">
        <v>0</v>
      </c>
      <c r="Y22" s="81">
        <v>0</v>
      </c>
      <c r="Z22" s="81">
        <v>5</v>
      </c>
      <c r="AA22" s="81">
        <v>7</v>
      </c>
      <c r="AB22" s="81">
        <v>6</v>
      </c>
      <c r="AC22" s="81">
        <v>3</v>
      </c>
      <c r="AD22" s="81">
        <v>4</v>
      </c>
      <c r="AE22" s="81">
        <v>5</v>
      </c>
      <c r="AF22" s="81">
        <v>11</v>
      </c>
      <c r="AG22" s="81">
        <v>30</v>
      </c>
      <c r="AH22" s="81">
        <v>7</v>
      </c>
      <c r="AI22" s="81">
        <v>0</v>
      </c>
      <c r="AJ22" s="81">
        <v>23</v>
      </c>
      <c r="AK22" s="81">
        <v>5</v>
      </c>
      <c r="AL22" s="81">
        <v>0</v>
      </c>
      <c r="AM22" s="81">
        <v>3</v>
      </c>
      <c r="AN22" s="81">
        <v>32</v>
      </c>
      <c r="AO22" s="81">
        <v>0</v>
      </c>
      <c r="AP22" s="81">
        <v>41</v>
      </c>
      <c r="AQ22" s="81">
        <v>33</v>
      </c>
      <c r="AR22" s="81">
        <v>0</v>
      </c>
      <c r="AS22" s="81">
        <v>1</v>
      </c>
      <c r="AT22" s="81">
        <v>1</v>
      </c>
      <c r="AU22" s="81">
        <v>20</v>
      </c>
      <c r="AV22" s="81">
        <v>5</v>
      </c>
      <c r="AW22" s="81">
        <v>2</v>
      </c>
      <c r="AX22" s="81">
        <v>5</v>
      </c>
      <c r="AY22" s="81">
        <v>24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  <c r="BI22" s="81">
        <v>1</v>
      </c>
      <c r="BJ22" s="81">
        <v>0</v>
      </c>
      <c r="BK22" s="81">
        <v>0</v>
      </c>
      <c r="BL22" s="81">
        <v>0</v>
      </c>
      <c r="BM22" s="81">
        <v>0</v>
      </c>
      <c r="BN22" s="81">
        <v>0</v>
      </c>
      <c r="BO22" s="81">
        <v>0</v>
      </c>
      <c r="BP22" s="81">
        <v>0</v>
      </c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>
        <v>2</v>
      </c>
      <c r="CN22" s="81"/>
      <c r="CO22" s="81">
        <v>10</v>
      </c>
      <c r="CP22" s="81"/>
      <c r="CQ22" s="81"/>
      <c r="CR22" s="81"/>
      <c r="CS22" s="81"/>
      <c r="CT22" s="81"/>
      <c r="CU22" s="81"/>
      <c r="CV22" s="81">
        <v>4</v>
      </c>
      <c r="CW22" s="81"/>
      <c r="CX22" s="81">
        <v>5</v>
      </c>
      <c r="CY22" s="81">
        <v>5</v>
      </c>
      <c r="CZ22" s="81">
        <v>5</v>
      </c>
      <c r="DA22" s="81"/>
      <c r="DB22" s="81"/>
      <c r="DC22" s="252">
        <v>436</v>
      </c>
    </row>
    <row r="23" spans="1:107" x14ac:dyDescent="0.25">
      <c r="A23" s="245" t="s">
        <v>607</v>
      </c>
      <c r="B23" s="81">
        <v>0</v>
      </c>
      <c r="C23" s="81">
        <v>1</v>
      </c>
      <c r="D23" s="81">
        <v>5</v>
      </c>
      <c r="E23" s="81">
        <v>7</v>
      </c>
      <c r="F23" s="81">
        <v>31</v>
      </c>
      <c r="G23" s="81">
        <v>0</v>
      </c>
      <c r="H23" s="81">
        <v>3</v>
      </c>
      <c r="I23" s="81">
        <v>27</v>
      </c>
      <c r="J23" s="81">
        <v>7</v>
      </c>
      <c r="K23" s="81">
        <v>3</v>
      </c>
      <c r="L23" s="81">
        <v>0</v>
      </c>
      <c r="M23" s="81">
        <v>12</v>
      </c>
      <c r="N23" s="81">
        <v>8</v>
      </c>
      <c r="O23" s="81">
        <v>2</v>
      </c>
      <c r="P23" s="81">
        <v>21</v>
      </c>
      <c r="Q23" s="81">
        <v>0</v>
      </c>
      <c r="R23" s="81">
        <v>1</v>
      </c>
      <c r="S23" s="81">
        <v>5</v>
      </c>
      <c r="T23" s="81">
        <v>0</v>
      </c>
      <c r="U23" s="81">
        <v>46</v>
      </c>
      <c r="V23" s="81">
        <v>1</v>
      </c>
      <c r="W23" s="81">
        <v>1</v>
      </c>
      <c r="X23" s="81">
        <v>9</v>
      </c>
      <c r="Y23" s="81">
        <v>1</v>
      </c>
      <c r="Z23" s="81">
        <v>30</v>
      </c>
      <c r="AA23" s="81">
        <v>18</v>
      </c>
      <c r="AB23" s="81">
        <v>1</v>
      </c>
      <c r="AC23" s="81">
        <v>2</v>
      </c>
      <c r="AD23" s="81">
        <v>9</v>
      </c>
      <c r="AE23" s="81">
        <v>9</v>
      </c>
      <c r="AF23" s="81">
        <v>72</v>
      </c>
      <c r="AG23" s="81">
        <v>14</v>
      </c>
      <c r="AH23" s="81">
        <v>3</v>
      </c>
      <c r="AI23" s="81">
        <v>12</v>
      </c>
      <c r="AJ23" s="81">
        <v>42</v>
      </c>
      <c r="AK23" s="81">
        <v>13</v>
      </c>
      <c r="AL23" s="81">
        <v>6</v>
      </c>
      <c r="AM23" s="81">
        <v>10</v>
      </c>
      <c r="AN23" s="81">
        <v>9</v>
      </c>
      <c r="AO23" s="81">
        <v>0</v>
      </c>
      <c r="AP23" s="81">
        <v>102</v>
      </c>
      <c r="AQ23" s="81">
        <v>19</v>
      </c>
      <c r="AR23" s="81">
        <v>2</v>
      </c>
      <c r="AS23" s="81">
        <v>0</v>
      </c>
      <c r="AT23" s="81">
        <v>2</v>
      </c>
      <c r="AU23" s="81">
        <v>1</v>
      </c>
      <c r="AV23" s="81">
        <v>25</v>
      </c>
      <c r="AW23" s="81">
        <v>14</v>
      </c>
      <c r="AX23" s="81">
        <v>14</v>
      </c>
      <c r="AY23" s="81">
        <v>24</v>
      </c>
      <c r="AZ23" s="81">
        <v>1</v>
      </c>
      <c r="BA23" s="81">
        <v>0</v>
      </c>
      <c r="BB23" s="81">
        <v>0</v>
      </c>
      <c r="BC23" s="81">
        <v>0</v>
      </c>
      <c r="BD23" s="81">
        <v>3</v>
      </c>
      <c r="BE23" s="81">
        <v>4</v>
      </c>
      <c r="BF23" s="81">
        <v>1</v>
      </c>
      <c r="BG23" s="81">
        <v>1</v>
      </c>
      <c r="BH23" s="81">
        <v>3</v>
      </c>
      <c r="BI23" s="81">
        <v>2</v>
      </c>
      <c r="BJ23" s="81">
        <v>0</v>
      </c>
      <c r="BK23" s="81">
        <v>0</v>
      </c>
      <c r="BL23" s="81">
        <v>1</v>
      </c>
      <c r="BM23" s="81">
        <v>1</v>
      </c>
      <c r="BN23" s="81">
        <v>31</v>
      </c>
      <c r="BO23" s="81">
        <v>1</v>
      </c>
      <c r="BP23" s="81">
        <v>0</v>
      </c>
      <c r="BQ23" s="81">
        <v>8</v>
      </c>
      <c r="BR23" s="81"/>
      <c r="BS23" s="81"/>
      <c r="BT23" s="81"/>
      <c r="BU23" s="81"/>
      <c r="BV23" s="81"/>
      <c r="BW23" s="81"/>
      <c r="BX23" s="81">
        <v>1</v>
      </c>
      <c r="BY23" s="81"/>
      <c r="BZ23" s="81"/>
      <c r="CA23" s="81"/>
      <c r="CB23" s="81">
        <v>1</v>
      </c>
      <c r="CC23" s="81">
        <v>20</v>
      </c>
      <c r="CD23" s="81">
        <v>2</v>
      </c>
      <c r="CE23" s="81">
        <v>2</v>
      </c>
      <c r="CF23" s="81">
        <v>34</v>
      </c>
      <c r="CG23" s="81"/>
      <c r="CH23" s="81"/>
      <c r="CI23" s="81">
        <v>5</v>
      </c>
      <c r="CJ23" s="81">
        <v>6</v>
      </c>
      <c r="CK23" s="81"/>
      <c r="CL23" s="81">
        <v>30</v>
      </c>
      <c r="CM23" s="81">
        <v>4</v>
      </c>
      <c r="CN23" s="81">
        <v>1</v>
      </c>
      <c r="CO23" s="81"/>
      <c r="CP23" s="81"/>
      <c r="CQ23" s="81"/>
      <c r="CR23" s="81"/>
      <c r="CS23" s="81"/>
      <c r="CT23" s="81"/>
      <c r="CU23" s="81"/>
      <c r="CV23" s="81">
        <v>6</v>
      </c>
      <c r="CW23" s="81"/>
      <c r="CX23" s="81"/>
      <c r="CY23" s="81"/>
      <c r="CZ23" s="81"/>
      <c r="DA23" s="81"/>
      <c r="DB23" s="81"/>
      <c r="DC23" s="252">
        <v>813</v>
      </c>
    </row>
    <row r="24" spans="1:107" x14ac:dyDescent="0.25">
      <c r="A24" s="245" t="s">
        <v>608</v>
      </c>
      <c r="B24" s="81">
        <v>31</v>
      </c>
      <c r="C24" s="81">
        <v>23</v>
      </c>
      <c r="D24" s="81">
        <v>42</v>
      </c>
      <c r="E24" s="81">
        <v>25</v>
      </c>
      <c r="F24" s="81">
        <v>1</v>
      </c>
      <c r="G24" s="81">
        <v>10</v>
      </c>
      <c r="H24" s="81">
        <v>36</v>
      </c>
      <c r="I24" s="81">
        <v>20</v>
      </c>
      <c r="J24" s="81">
        <v>5</v>
      </c>
      <c r="K24" s="81">
        <v>38</v>
      </c>
      <c r="L24" s="81">
        <v>20</v>
      </c>
      <c r="M24" s="81">
        <v>6</v>
      </c>
      <c r="N24" s="81">
        <v>51</v>
      </c>
      <c r="O24" s="81">
        <v>35</v>
      </c>
      <c r="P24" s="81">
        <v>9</v>
      </c>
      <c r="Q24" s="81">
        <v>0</v>
      </c>
      <c r="R24" s="81">
        <v>0</v>
      </c>
      <c r="S24" s="81">
        <v>35</v>
      </c>
      <c r="T24" s="81">
        <v>0</v>
      </c>
      <c r="U24" s="81">
        <v>4</v>
      </c>
      <c r="V24" s="81">
        <v>14</v>
      </c>
      <c r="W24" s="81">
        <v>0</v>
      </c>
      <c r="X24" s="81">
        <v>0</v>
      </c>
      <c r="Y24" s="81">
        <v>0</v>
      </c>
      <c r="Z24" s="81">
        <v>12</v>
      </c>
      <c r="AA24" s="81">
        <v>3</v>
      </c>
      <c r="AB24" s="81">
        <v>1</v>
      </c>
      <c r="AC24" s="81">
        <v>1</v>
      </c>
      <c r="AD24" s="81">
        <v>0</v>
      </c>
      <c r="AE24" s="81">
        <v>36</v>
      </c>
      <c r="AF24" s="81">
        <v>78</v>
      </c>
      <c r="AG24" s="81">
        <v>30</v>
      </c>
      <c r="AH24" s="81">
        <v>0</v>
      </c>
      <c r="AI24" s="81">
        <v>33</v>
      </c>
      <c r="AJ24" s="81">
        <v>33</v>
      </c>
      <c r="AK24" s="81">
        <v>0</v>
      </c>
      <c r="AL24" s="81">
        <v>4</v>
      </c>
      <c r="AM24" s="81">
        <v>14</v>
      </c>
      <c r="AN24" s="81">
        <v>60</v>
      </c>
      <c r="AO24" s="81">
        <v>0</v>
      </c>
      <c r="AP24" s="81">
        <v>58</v>
      </c>
      <c r="AQ24" s="81">
        <v>21</v>
      </c>
      <c r="AR24" s="81">
        <v>0</v>
      </c>
      <c r="AS24" s="81">
        <v>1</v>
      </c>
      <c r="AT24" s="81">
        <v>1</v>
      </c>
      <c r="AU24" s="81">
        <v>20</v>
      </c>
      <c r="AV24" s="81">
        <v>51</v>
      </c>
      <c r="AW24" s="81">
        <v>9</v>
      </c>
      <c r="AX24" s="81">
        <v>6</v>
      </c>
      <c r="AY24" s="81">
        <v>28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2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0</v>
      </c>
      <c r="BO24" s="81">
        <v>0</v>
      </c>
      <c r="BP24" s="81">
        <v>0</v>
      </c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>
        <v>30</v>
      </c>
      <c r="CD24" s="81"/>
      <c r="CE24" s="81">
        <v>2</v>
      </c>
      <c r="CF24" s="81"/>
      <c r="CG24" s="81"/>
      <c r="CH24" s="81"/>
      <c r="CI24" s="81"/>
      <c r="CJ24" s="81"/>
      <c r="CK24" s="81"/>
      <c r="CL24" s="81"/>
      <c r="CM24" s="81">
        <v>4</v>
      </c>
      <c r="CN24" s="81"/>
      <c r="CO24" s="81">
        <v>10</v>
      </c>
      <c r="CP24" s="81"/>
      <c r="CQ24" s="81"/>
      <c r="CR24" s="81"/>
      <c r="CS24" s="81"/>
      <c r="CT24" s="81"/>
      <c r="CU24" s="81">
        <v>30</v>
      </c>
      <c r="CV24" s="81">
        <v>4</v>
      </c>
      <c r="CW24" s="81"/>
      <c r="CX24" s="81"/>
      <c r="CY24" s="81"/>
      <c r="CZ24" s="81"/>
      <c r="DA24" s="81"/>
      <c r="DB24" s="81"/>
      <c r="DC24" s="252">
        <v>987</v>
      </c>
    </row>
    <row r="25" spans="1:107" x14ac:dyDescent="0.25">
      <c r="A25" s="245" t="s">
        <v>609</v>
      </c>
      <c r="B25" s="81">
        <v>1</v>
      </c>
      <c r="C25" s="81">
        <v>20</v>
      </c>
      <c r="D25" s="81">
        <v>4</v>
      </c>
      <c r="E25" s="81">
        <v>18</v>
      </c>
      <c r="F25" s="81">
        <v>31</v>
      </c>
      <c r="G25" s="81">
        <v>0</v>
      </c>
      <c r="H25" s="81">
        <v>4</v>
      </c>
      <c r="I25" s="81">
        <v>64</v>
      </c>
      <c r="J25" s="81">
        <v>5</v>
      </c>
      <c r="K25" s="81">
        <v>4</v>
      </c>
      <c r="L25" s="81">
        <v>0</v>
      </c>
      <c r="M25" s="81">
        <v>22</v>
      </c>
      <c r="N25" s="81">
        <v>9</v>
      </c>
      <c r="O25" s="81">
        <v>4</v>
      </c>
      <c r="P25" s="81">
        <v>19</v>
      </c>
      <c r="Q25" s="81">
        <v>2</v>
      </c>
      <c r="R25" s="81">
        <v>32</v>
      </c>
      <c r="S25" s="81">
        <v>3</v>
      </c>
      <c r="T25" s="81">
        <v>0</v>
      </c>
      <c r="U25" s="81">
        <v>57</v>
      </c>
      <c r="V25" s="81">
        <v>1</v>
      </c>
      <c r="W25" s="81">
        <v>1</v>
      </c>
      <c r="X25" s="81">
        <v>12</v>
      </c>
      <c r="Y25" s="81">
        <v>1</v>
      </c>
      <c r="Z25" s="81">
        <v>41</v>
      </c>
      <c r="AA25" s="81">
        <v>26</v>
      </c>
      <c r="AB25" s="81">
        <v>1</v>
      </c>
      <c r="AC25" s="81">
        <v>5</v>
      </c>
      <c r="AD25" s="81">
        <v>5</v>
      </c>
      <c r="AE25" s="81">
        <v>7</v>
      </c>
      <c r="AF25" s="81">
        <v>170</v>
      </c>
      <c r="AG25" s="81">
        <v>14</v>
      </c>
      <c r="AH25" s="81">
        <v>8</v>
      </c>
      <c r="AI25" s="81">
        <v>0</v>
      </c>
      <c r="AJ25" s="81">
        <v>152</v>
      </c>
      <c r="AK25" s="81">
        <v>15</v>
      </c>
      <c r="AL25" s="81">
        <v>3</v>
      </c>
      <c r="AM25" s="81">
        <v>14</v>
      </c>
      <c r="AN25" s="81">
        <v>11</v>
      </c>
      <c r="AO25" s="81">
        <v>0</v>
      </c>
      <c r="AP25" s="81">
        <v>186</v>
      </c>
      <c r="AQ25" s="81">
        <v>15</v>
      </c>
      <c r="AR25" s="81">
        <v>6</v>
      </c>
      <c r="AS25" s="81">
        <v>5</v>
      </c>
      <c r="AT25" s="81">
        <v>6</v>
      </c>
      <c r="AU25" s="81">
        <v>4</v>
      </c>
      <c r="AV25" s="81">
        <v>73</v>
      </c>
      <c r="AW25" s="81">
        <v>24</v>
      </c>
      <c r="AX25" s="81">
        <v>23</v>
      </c>
      <c r="AY25" s="81">
        <v>36</v>
      </c>
      <c r="AZ25" s="81">
        <v>2</v>
      </c>
      <c r="BA25" s="81">
        <v>0</v>
      </c>
      <c r="BB25" s="81">
        <v>0</v>
      </c>
      <c r="BC25" s="81">
        <v>2</v>
      </c>
      <c r="BD25" s="81">
        <v>7</v>
      </c>
      <c r="BE25" s="81">
        <v>2</v>
      </c>
      <c r="BF25" s="81">
        <v>2</v>
      </c>
      <c r="BG25" s="81">
        <v>1</v>
      </c>
      <c r="BH25" s="81">
        <v>2</v>
      </c>
      <c r="BI25" s="81">
        <v>3</v>
      </c>
      <c r="BJ25" s="81">
        <v>0</v>
      </c>
      <c r="BK25" s="81">
        <v>0</v>
      </c>
      <c r="BL25" s="81">
        <v>1</v>
      </c>
      <c r="BM25" s="81">
        <v>1</v>
      </c>
      <c r="BN25" s="81">
        <v>32</v>
      </c>
      <c r="BO25" s="81">
        <v>1</v>
      </c>
      <c r="BP25" s="81">
        <v>1</v>
      </c>
      <c r="BQ25" s="81">
        <v>7</v>
      </c>
      <c r="BR25" s="81">
        <v>29</v>
      </c>
      <c r="BS25" s="81"/>
      <c r="BT25" s="81"/>
      <c r="BU25" s="81"/>
      <c r="BV25" s="81"/>
      <c r="BW25" s="81"/>
      <c r="BX25" s="81">
        <v>1</v>
      </c>
      <c r="BY25" s="81"/>
      <c r="BZ25" s="81"/>
      <c r="CA25" s="81"/>
      <c r="CB25" s="81">
        <v>1</v>
      </c>
      <c r="CC25" s="81">
        <v>30</v>
      </c>
      <c r="CD25" s="81"/>
      <c r="CE25" s="81"/>
      <c r="CF25" s="81">
        <v>38</v>
      </c>
      <c r="CG25" s="81">
        <v>1</v>
      </c>
      <c r="CH25" s="81"/>
      <c r="CI25" s="81">
        <v>6</v>
      </c>
      <c r="CJ25" s="81">
        <v>15</v>
      </c>
      <c r="CK25" s="81">
        <v>25</v>
      </c>
      <c r="CL25" s="81">
        <v>30</v>
      </c>
      <c r="CM25" s="81">
        <v>27</v>
      </c>
      <c r="CN25" s="81"/>
      <c r="CO25" s="81"/>
      <c r="CP25" s="81"/>
      <c r="CQ25" s="81"/>
      <c r="CR25" s="81"/>
      <c r="CS25" s="81"/>
      <c r="CT25" s="81"/>
      <c r="CU25" s="81"/>
      <c r="CV25" s="81">
        <v>6</v>
      </c>
      <c r="CW25" s="81"/>
      <c r="CX25" s="81"/>
      <c r="CY25" s="81"/>
      <c r="CZ25" s="81"/>
      <c r="DA25" s="81"/>
      <c r="DB25" s="81"/>
      <c r="DC25" s="252">
        <v>1437</v>
      </c>
    </row>
    <row r="26" spans="1:107" x14ac:dyDescent="0.25">
      <c r="A26" s="245" t="s">
        <v>610</v>
      </c>
      <c r="B26" s="81">
        <v>0</v>
      </c>
      <c r="C26" s="81">
        <v>30</v>
      </c>
      <c r="D26" s="81">
        <v>5</v>
      </c>
      <c r="E26" s="81">
        <v>1</v>
      </c>
      <c r="F26" s="81">
        <v>12</v>
      </c>
      <c r="G26" s="81">
        <v>10</v>
      </c>
      <c r="H26" s="81">
        <v>0</v>
      </c>
      <c r="I26" s="81">
        <v>3</v>
      </c>
      <c r="J26" s="81">
        <v>3</v>
      </c>
      <c r="K26" s="81">
        <v>3</v>
      </c>
      <c r="L26" s="81">
        <v>30</v>
      </c>
      <c r="M26" s="81">
        <v>1</v>
      </c>
      <c r="N26" s="81">
        <v>0</v>
      </c>
      <c r="O26" s="81">
        <v>1</v>
      </c>
      <c r="P26" s="81">
        <v>11</v>
      </c>
      <c r="Q26" s="81">
        <v>3</v>
      </c>
      <c r="R26" s="81">
        <v>4</v>
      </c>
      <c r="S26" s="81">
        <v>2</v>
      </c>
      <c r="T26" s="81">
        <v>0</v>
      </c>
      <c r="U26" s="81">
        <v>7</v>
      </c>
      <c r="V26" s="81">
        <v>0</v>
      </c>
      <c r="W26" s="81">
        <v>2</v>
      </c>
      <c r="X26" s="81">
        <v>3</v>
      </c>
      <c r="Y26" s="81">
        <v>2</v>
      </c>
      <c r="Z26" s="81">
        <v>5</v>
      </c>
      <c r="AA26" s="81">
        <v>4</v>
      </c>
      <c r="AB26" s="81">
        <v>2</v>
      </c>
      <c r="AC26" s="81">
        <v>10</v>
      </c>
      <c r="AD26" s="81">
        <v>15</v>
      </c>
      <c r="AE26" s="81">
        <v>0</v>
      </c>
      <c r="AF26" s="81">
        <v>14</v>
      </c>
      <c r="AG26" s="81">
        <v>31</v>
      </c>
      <c r="AH26" s="81">
        <v>0</v>
      </c>
      <c r="AI26" s="81">
        <v>6</v>
      </c>
      <c r="AJ26" s="81">
        <v>37</v>
      </c>
      <c r="AK26" s="81">
        <v>2</v>
      </c>
      <c r="AL26" s="81">
        <v>0</v>
      </c>
      <c r="AM26" s="81">
        <v>3</v>
      </c>
      <c r="AN26" s="81">
        <v>0</v>
      </c>
      <c r="AO26" s="81">
        <v>0</v>
      </c>
      <c r="AP26" s="81">
        <v>9</v>
      </c>
      <c r="AQ26" s="81">
        <v>12</v>
      </c>
      <c r="AR26" s="81">
        <v>0</v>
      </c>
      <c r="AS26" s="81">
        <v>0</v>
      </c>
      <c r="AT26" s="81">
        <v>0</v>
      </c>
      <c r="AU26" s="81">
        <v>10</v>
      </c>
      <c r="AV26" s="81">
        <v>3</v>
      </c>
      <c r="AW26" s="81">
        <v>15</v>
      </c>
      <c r="AX26" s="81">
        <v>1</v>
      </c>
      <c r="AY26" s="81">
        <v>12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  <c r="BI26" s="81">
        <v>0</v>
      </c>
      <c r="BJ26" s="81">
        <v>0</v>
      </c>
      <c r="BK26" s="81">
        <v>0</v>
      </c>
      <c r="BL26" s="81">
        <v>2</v>
      </c>
      <c r="BM26" s="81">
        <v>2</v>
      </c>
      <c r="BN26" s="81">
        <v>2</v>
      </c>
      <c r="BO26" s="81">
        <v>2</v>
      </c>
      <c r="BP26" s="81">
        <v>2</v>
      </c>
      <c r="BQ26" s="81">
        <v>1</v>
      </c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>
        <v>1</v>
      </c>
      <c r="CG26" s="81"/>
      <c r="CH26" s="81"/>
      <c r="CI26" s="81"/>
      <c r="CJ26" s="81"/>
      <c r="CK26" s="81"/>
      <c r="CL26" s="81">
        <v>30</v>
      </c>
      <c r="CM26" s="81">
        <v>6</v>
      </c>
      <c r="CN26" s="81"/>
      <c r="CO26" s="81">
        <v>5</v>
      </c>
      <c r="CP26" s="81"/>
      <c r="CQ26" s="81"/>
      <c r="CR26" s="81"/>
      <c r="CS26" s="81"/>
      <c r="CT26" s="81">
        <v>3</v>
      </c>
      <c r="CU26" s="81"/>
      <c r="CV26" s="81">
        <v>2</v>
      </c>
      <c r="CW26" s="81">
        <v>15</v>
      </c>
      <c r="CX26" s="81"/>
      <c r="CY26" s="81"/>
      <c r="CZ26" s="81"/>
      <c r="DA26" s="81"/>
      <c r="DB26" s="81"/>
      <c r="DC26" s="252">
        <v>397</v>
      </c>
    </row>
    <row r="27" spans="1:107" x14ac:dyDescent="0.25">
      <c r="A27" s="254" t="s">
        <v>588</v>
      </c>
      <c r="B27" s="254">
        <f t="shared" ref="B27:BM27" si="0">SUM(B5:B26)</f>
        <v>157</v>
      </c>
      <c r="C27" s="254">
        <f t="shared" si="0"/>
        <v>277</v>
      </c>
      <c r="D27" s="254">
        <f t="shared" si="0"/>
        <v>335</v>
      </c>
      <c r="E27" s="254">
        <f t="shared" si="0"/>
        <v>301</v>
      </c>
      <c r="F27" s="254">
        <f t="shared" si="0"/>
        <v>153</v>
      </c>
      <c r="G27" s="254">
        <f t="shared" si="0"/>
        <v>68</v>
      </c>
      <c r="H27" s="254">
        <f t="shared" si="0"/>
        <v>187</v>
      </c>
      <c r="I27" s="254">
        <f t="shared" si="0"/>
        <v>489</v>
      </c>
      <c r="J27" s="254">
        <f t="shared" si="0"/>
        <v>138</v>
      </c>
      <c r="K27" s="254">
        <f t="shared" si="0"/>
        <v>259</v>
      </c>
      <c r="L27" s="254">
        <f t="shared" si="0"/>
        <v>294</v>
      </c>
      <c r="M27" s="254">
        <f t="shared" si="0"/>
        <v>146</v>
      </c>
      <c r="N27" s="254">
        <f t="shared" si="0"/>
        <v>341</v>
      </c>
      <c r="O27" s="254">
        <f t="shared" si="0"/>
        <v>234</v>
      </c>
      <c r="P27" s="254">
        <f t="shared" si="0"/>
        <v>299</v>
      </c>
      <c r="Q27" s="254">
        <f t="shared" si="0"/>
        <v>129</v>
      </c>
      <c r="R27" s="254">
        <f t="shared" si="0"/>
        <v>129</v>
      </c>
      <c r="S27" s="254">
        <f t="shared" si="0"/>
        <v>187</v>
      </c>
      <c r="T27" s="254">
        <f t="shared" si="0"/>
        <v>26</v>
      </c>
      <c r="U27" s="254">
        <f t="shared" si="0"/>
        <v>364</v>
      </c>
      <c r="V27" s="254">
        <f t="shared" si="0"/>
        <v>51</v>
      </c>
      <c r="W27" s="254">
        <f t="shared" si="0"/>
        <v>12</v>
      </c>
      <c r="X27" s="254">
        <f t="shared" si="0"/>
        <v>102</v>
      </c>
      <c r="Y27" s="254">
        <f t="shared" si="0"/>
        <v>17</v>
      </c>
      <c r="Z27" s="254">
        <f t="shared" si="0"/>
        <v>254</v>
      </c>
      <c r="AA27" s="254">
        <f t="shared" si="0"/>
        <v>196</v>
      </c>
      <c r="AB27" s="254">
        <f t="shared" si="0"/>
        <v>38</v>
      </c>
      <c r="AC27" s="254">
        <f t="shared" si="0"/>
        <v>120</v>
      </c>
      <c r="AD27" s="254">
        <f t="shared" si="0"/>
        <v>104</v>
      </c>
      <c r="AE27" s="254">
        <f t="shared" si="0"/>
        <v>212</v>
      </c>
      <c r="AF27" s="254">
        <f t="shared" si="0"/>
        <v>1405</v>
      </c>
      <c r="AG27" s="254">
        <f t="shared" si="0"/>
        <v>351</v>
      </c>
      <c r="AH27" s="254">
        <f t="shared" si="0"/>
        <v>86</v>
      </c>
      <c r="AI27" s="254">
        <f t="shared" si="0"/>
        <v>261</v>
      </c>
      <c r="AJ27" s="254">
        <f t="shared" si="0"/>
        <v>1046</v>
      </c>
      <c r="AK27" s="254">
        <f t="shared" si="0"/>
        <v>144</v>
      </c>
      <c r="AL27" s="254">
        <f t="shared" si="0"/>
        <v>52</v>
      </c>
      <c r="AM27" s="254">
        <f t="shared" si="0"/>
        <v>189</v>
      </c>
      <c r="AN27" s="254">
        <f t="shared" si="0"/>
        <v>446</v>
      </c>
      <c r="AO27" s="254">
        <f t="shared" si="0"/>
        <v>16</v>
      </c>
      <c r="AP27" s="254">
        <f t="shared" si="0"/>
        <v>1430</v>
      </c>
      <c r="AQ27" s="254">
        <f t="shared" si="0"/>
        <v>397</v>
      </c>
      <c r="AR27" s="254">
        <f t="shared" si="0"/>
        <v>47</v>
      </c>
      <c r="AS27" s="254">
        <f t="shared" si="0"/>
        <v>49</v>
      </c>
      <c r="AT27" s="254">
        <f t="shared" si="0"/>
        <v>78</v>
      </c>
      <c r="AU27" s="254">
        <f t="shared" si="0"/>
        <v>267</v>
      </c>
      <c r="AV27" s="254">
        <f t="shared" si="0"/>
        <v>331</v>
      </c>
      <c r="AW27" s="254">
        <f t="shared" si="0"/>
        <v>174</v>
      </c>
      <c r="AX27" s="254">
        <f t="shared" si="0"/>
        <v>158</v>
      </c>
      <c r="AY27" s="254">
        <f t="shared" si="0"/>
        <v>485</v>
      </c>
      <c r="AZ27" s="254">
        <f t="shared" si="0"/>
        <v>50</v>
      </c>
      <c r="BA27" s="254">
        <f t="shared" si="0"/>
        <v>8</v>
      </c>
      <c r="BB27" s="254">
        <f t="shared" si="0"/>
        <v>11</v>
      </c>
      <c r="BC27" s="254">
        <f t="shared" si="0"/>
        <v>5</v>
      </c>
      <c r="BD27" s="254">
        <f t="shared" si="0"/>
        <v>46</v>
      </c>
      <c r="BE27" s="254">
        <f t="shared" si="0"/>
        <v>20</v>
      </c>
      <c r="BF27" s="254">
        <f t="shared" si="0"/>
        <v>13</v>
      </c>
      <c r="BG27" s="254">
        <f t="shared" si="0"/>
        <v>10</v>
      </c>
      <c r="BH27" s="254">
        <f t="shared" si="0"/>
        <v>24</v>
      </c>
      <c r="BI27" s="254">
        <f t="shared" si="0"/>
        <v>119</v>
      </c>
      <c r="BJ27" s="254">
        <f t="shared" si="0"/>
        <v>3</v>
      </c>
      <c r="BK27" s="254">
        <f t="shared" si="0"/>
        <v>6</v>
      </c>
      <c r="BL27" s="254">
        <f t="shared" si="0"/>
        <v>32</v>
      </c>
      <c r="BM27" s="254">
        <f t="shared" si="0"/>
        <v>10</v>
      </c>
      <c r="BN27" s="254">
        <f t="shared" ref="BN27:DC27" si="1">SUM(BN5:BN26)</f>
        <v>213</v>
      </c>
      <c r="BO27" s="254">
        <f t="shared" si="1"/>
        <v>9</v>
      </c>
      <c r="BP27" s="254">
        <f t="shared" si="1"/>
        <v>12</v>
      </c>
      <c r="BQ27" s="254">
        <f t="shared" si="1"/>
        <v>35</v>
      </c>
      <c r="BR27" s="254">
        <f t="shared" si="1"/>
        <v>136</v>
      </c>
      <c r="BS27" s="254">
        <f t="shared" si="1"/>
        <v>5</v>
      </c>
      <c r="BT27" s="254">
        <f t="shared" si="1"/>
        <v>27</v>
      </c>
      <c r="BU27" s="254">
        <f t="shared" si="1"/>
        <v>29</v>
      </c>
      <c r="BV27" s="254">
        <f t="shared" si="1"/>
        <v>11</v>
      </c>
      <c r="BW27" s="254">
        <f t="shared" si="1"/>
        <v>9</v>
      </c>
      <c r="BX27" s="254">
        <f t="shared" si="1"/>
        <v>7</v>
      </c>
      <c r="BY27" s="254">
        <f t="shared" si="1"/>
        <v>36</v>
      </c>
      <c r="BZ27" s="254">
        <f t="shared" si="1"/>
        <v>7</v>
      </c>
      <c r="CA27" s="254">
        <f t="shared" si="1"/>
        <v>2</v>
      </c>
      <c r="CB27" s="254">
        <f t="shared" si="1"/>
        <v>4</v>
      </c>
      <c r="CC27" s="254">
        <f t="shared" si="1"/>
        <v>218</v>
      </c>
      <c r="CD27" s="254">
        <f t="shared" si="1"/>
        <v>12</v>
      </c>
      <c r="CE27" s="254">
        <f t="shared" si="1"/>
        <v>16</v>
      </c>
      <c r="CF27" s="254">
        <f t="shared" si="1"/>
        <v>272</v>
      </c>
      <c r="CG27" s="254">
        <f t="shared" si="1"/>
        <v>4</v>
      </c>
      <c r="CH27" s="254">
        <f t="shared" si="1"/>
        <v>0</v>
      </c>
      <c r="CI27" s="254">
        <f t="shared" si="1"/>
        <v>17</v>
      </c>
      <c r="CJ27" s="254">
        <f t="shared" si="1"/>
        <v>62</v>
      </c>
      <c r="CK27" s="254">
        <f t="shared" si="1"/>
        <v>80</v>
      </c>
      <c r="CL27" s="254">
        <f t="shared" si="1"/>
        <v>270</v>
      </c>
      <c r="CM27" s="254">
        <f t="shared" si="1"/>
        <v>65</v>
      </c>
      <c r="CN27" s="254">
        <f t="shared" si="1"/>
        <v>8</v>
      </c>
      <c r="CO27" s="254">
        <f t="shared" si="1"/>
        <v>75</v>
      </c>
      <c r="CP27" s="254">
        <f t="shared" si="1"/>
        <v>30</v>
      </c>
      <c r="CQ27" s="254">
        <f t="shared" si="1"/>
        <v>30</v>
      </c>
      <c r="CR27" s="254">
        <f t="shared" si="1"/>
        <v>30</v>
      </c>
      <c r="CS27" s="254">
        <f t="shared" si="1"/>
        <v>30</v>
      </c>
      <c r="CT27" s="254">
        <f t="shared" si="1"/>
        <v>76</v>
      </c>
      <c r="CU27" s="254">
        <f t="shared" si="1"/>
        <v>30</v>
      </c>
      <c r="CV27" s="254">
        <f t="shared" si="1"/>
        <v>70</v>
      </c>
      <c r="CW27" s="254">
        <f t="shared" si="1"/>
        <v>45</v>
      </c>
      <c r="CX27" s="254">
        <f t="shared" si="1"/>
        <v>30</v>
      </c>
      <c r="CY27" s="254">
        <f t="shared" si="1"/>
        <v>30</v>
      </c>
      <c r="CZ27" s="254">
        <f t="shared" si="1"/>
        <v>10</v>
      </c>
      <c r="DA27" s="254">
        <f t="shared" si="1"/>
        <v>0</v>
      </c>
      <c r="DB27" s="254">
        <f t="shared" si="1"/>
        <v>0</v>
      </c>
      <c r="DC27" s="254">
        <f t="shared" si="1"/>
        <v>15440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B784-AD2D-4C05-B0C6-AB39F370FAAF}">
  <dimension ref="A1:H16"/>
  <sheetViews>
    <sheetView workbookViewId="0"/>
  </sheetViews>
  <sheetFormatPr defaultRowHeight="15" x14ac:dyDescent="0.25"/>
  <cols>
    <col min="1" max="1" width="22.28515625" bestFit="1" customWidth="1"/>
    <col min="2" max="2" width="52.28515625" bestFit="1" customWidth="1"/>
    <col min="3" max="3" width="29.7109375" bestFit="1" customWidth="1"/>
    <col min="4" max="4" width="43.5703125" bestFit="1" customWidth="1"/>
    <col min="5" max="5" width="33.5703125" bestFit="1" customWidth="1"/>
    <col min="6" max="6" width="28.85546875" bestFit="1" customWidth="1"/>
    <col min="7" max="7" width="27" bestFit="1" customWidth="1"/>
    <col min="8" max="8" width="32.85546875" bestFit="1" customWidth="1"/>
  </cols>
  <sheetData>
    <row r="1" spans="1:8" x14ac:dyDescent="0.25">
      <c r="A1" s="7" t="s">
        <v>611</v>
      </c>
    </row>
    <row r="3" spans="1:8" x14ac:dyDescent="0.25">
      <c r="A3" t="s">
        <v>514</v>
      </c>
      <c r="B3" t="s">
        <v>612</v>
      </c>
      <c r="C3" t="s">
        <v>613</v>
      </c>
      <c r="D3" t="s">
        <v>614</v>
      </c>
      <c r="E3" t="s">
        <v>615</v>
      </c>
      <c r="F3" t="s">
        <v>616</v>
      </c>
      <c r="G3" t="s">
        <v>617</v>
      </c>
      <c r="H3" t="s">
        <v>618</v>
      </c>
    </row>
    <row r="4" spans="1:8" x14ac:dyDescent="0.25">
      <c r="A4" t="s">
        <v>619</v>
      </c>
      <c r="B4" t="s">
        <v>509</v>
      </c>
      <c r="C4">
        <v>0</v>
      </c>
      <c r="D4">
        <v>19</v>
      </c>
      <c r="E4">
        <v>40</v>
      </c>
      <c r="F4">
        <v>6</v>
      </c>
      <c r="G4">
        <v>9</v>
      </c>
      <c r="H4">
        <v>1</v>
      </c>
    </row>
    <row r="5" spans="1:8" x14ac:dyDescent="0.25">
      <c r="A5" t="s">
        <v>535</v>
      </c>
      <c r="B5" t="s">
        <v>509</v>
      </c>
      <c r="C5">
        <v>0</v>
      </c>
      <c r="D5">
        <v>6</v>
      </c>
      <c r="E5">
        <v>24</v>
      </c>
      <c r="F5">
        <v>3</v>
      </c>
      <c r="G5">
        <v>4</v>
      </c>
      <c r="H5">
        <v>4</v>
      </c>
    </row>
    <row r="6" spans="1:8" x14ac:dyDescent="0.25">
      <c r="A6" t="s">
        <v>526</v>
      </c>
      <c r="B6" t="s">
        <v>509</v>
      </c>
      <c r="C6">
        <v>3</v>
      </c>
      <c r="D6">
        <v>12</v>
      </c>
      <c r="E6">
        <v>50</v>
      </c>
      <c r="F6">
        <v>11</v>
      </c>
      <c r="G6">
        <v>17</v>
      </c>
      <c r="H6">
        <v>32</v>
      </c>
    </row>
    <row r="7" spans="1:8" x14ac:dyDescent="0.25">
      <c r="A7" t="s">
        <v>525</v>
      </c>
      <c r="B7" t="s">
        <v>509</v>
      </c>
      <c r="C7">
        <v>10</v>
      </c>
      <c r="D7">
        <v>10</v>
      </c>
      <c r="E7">
        <v>71</v>
      </c>
      <c r="F7">
        <v>0</v>
      </c>
      <c r="G7">
        <v>0</v>
      </c>
      <c r="H7">
        <v>0</v>
      </c>
    </row>
    <row r="8" spans="1:8" x14ac:dyDescent="0.25">
      <c r="A8" t="s">
        <v>527</v>
      </c>
      <c r="B8" t="s">
        <v>509</v>
      </c>
      <c r="E8">
        <v>10</v>
      </c>
    </row>
    <row r="9" spans="1:8" x14ac:dyDescent="0.25">
      <c r="A9" t="s">
        <v>397</v>
      </c>
      <c r="B9" t="s">
        <v>509</v>
      </c>
      <c r="E9">
        <v>28</v>
      </c>
      <c r="F9">
        <v>5</v>
      </c>
      <c r="G9">
        <v>17</v>
      </c>
      <c r="H9">
        <v>33</v>
      </c>
    </row>
    <row r="10" spans="1:8" x14ac:dyDescent="0.25">
      <c r="A10" t="s">
        <v>528</v>
      </c>
      <c r="B10" t="s">
        <v>509</v>
      </c>
      <c r="E10">
        <v>1</v>
      </c>
    </row>
    <row r="11" spans="1:8" x14ac:dyDescent="0.25">
      <c r="A11" t="s">
        <v>529</v>
      </c>
      <c r="B11" t="s">
        <v>509</v>
      </c>
      <c r="E11">
        <v>4</v>
      </c>
      <c r="H11">
        <v>3</v>
      </c>
    </row>
    <row r="12" spans="1:8" x14ac:dyDescent="0.25">
      <c r="A12" t="s">
        <v>530</v>
      </c>
      <c r="B12" t="s">
        <v>509</v>
      </c>
      <c r="D12">
        <v>2</v>
      </c>
      <c r="E12">
        <v>11</v>
      </c>
      <c r="F12">
        <v>1</v>
      </c>
    </row>
    <row r="13" spans="1:8" x14ac:dyDescent="0.25">
      <c r="A13" t="s">
        <v>531</v>
      </c>
      <c r="B13" t="s">
        <v>509</v>
      </c>
      <c r="D13">
        <v>3</v>
      </c>
      <c r="E13">
        <v>21</v>
      </c>
      <c r="F13">
        <v>30</v>
      </c>
      <c r="H13">
        <v>24</v>
      </c>
    </row>
    <row r="14" spans="1:8" x14ac:dyDescent="0.25">
      <c r="A14" t="s">
        <v>532</v>
      </c>
      <c r="B14" t="s">
        <v>509</v>
      </c>
      <c r="E14">
        <v>19</v>
      </c>
      <c r="H14">
        <v>2</v>
      </c>
    </row>
    <row r="15" spans="1:8" x14ac:dyDescent="0.25">
      <c r="A15" t="s">
        <v>533</v>
      </c>
      <c r="B15" t="s">
        <v>509</v>
      </c>
      <c r="E15">
        <v>1</v>
      </c>
      <c r="F15">
        <v>4</v>
      </c>
      <c r="H15">
        <v>12</v>
      </c>
    </row>
    <row r="16" spans="1:8" x14ac:dyDescent="0.25">
      <c r="A16" t="s">
        <v>534</v>
      </c>
      <c r="B16" t="s">
        <v>509</v>
      </c>
      <c r="D16">
        <v>1</v>
      </c>
      <c r="E16">
        <v>6</v>
      </c>
      <c r="F16">
        <v>3</v>
      </c>
      <c r="H16">
        <v>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F851-5F6B-4F39-AED9-69025391C2E7}">
  <sheetPr>
    <tabColor theme="7" tint="0.39997558519241921"/>
  </sheetPr>
  <dimension ref="A1:H22"/>
  <sheetViews>
    <sheetView workbookViewId="0">
      <selection activeCell="B15" sqref="B15"/>
    </sheetView>
  </sheetViews>
  <sheetFormatPr defaultColWidth="9.140625" defaultRowHeight="15" x14ac:dyDescent="0.25"/>
  <cols>
    <col min="1" max="1" width="76.7109375" customWidth="1"/>
    <col min="2" max="2" width="24.5703125" customWidth="1"/>
    <col min="3" max="3" width="32.7109375" customWidth="1"/>
    <col min="4" max="4" width="22.28515625" customWidth="1"/>
    <col min="5" max="5" width="21.5703125" customWidth="1"/>
    <col min="6" max="6" width="30.140625" customWidth="1"/>
    <col min="7" max="7" width="26.7109375" customWidth="1"/>
    <col min="8" max="8" width="9.140625" customWidth="1"/>
    <col min="9" max="9" width="38.42578125" customWidth="1"/>
    <col min="10" max="10" width="51.7109375" customWidth="1"/>
    <col min="11" max="11" width="42.140625" customWidth="1"/>
    <col min="12" max="12" width="37.28515625" customWidth="1"/>
    <col min="13" max="13" width="36.140625" customWidth="1"/>
    <col min="14" max="14" width="51.7109375" customWidth="1"/>
    <col min="15" max="15" width="42.140625" customWidth="1"/>
    <col min="16" max="16" width="37.28515625" customWidth="1"/>
    <col min="17" max="17" width="42.140625" customWidth="1"/>
    <col min="18" max="18" width="40.28515625" customWidth="1"/>
    <col min="19" max="19" width="53.42578125" customWidth="1"/>
    <col min="20" max="20" width="42.5703125" customWidth="1"/>
    <col min="21" max="21" width="40.28515625" customWidth="1"/>
    <col min="22" max="22" width="53.42578125" customWidth="1"/>
    <col min="23" max="23" width="37.28515625" customWidth="1"/>
    <col min="24" max="24" width="35.140625" customWidth="1"/>
    <col min="25" max="25" width="48.28515625" customWidth="1"/>
    <col min="26" max="26" width="35.85546875" customWidth="1"/>
    <col min="27" max="27" width="33.7109375" customWidth="1"/>
    <col min="28" max="28" width="46.85546875" customWidth="1"/>
    <col min="29" max="29" width="42.5703125" customWidth="1"/>
    <col min="30" max="30" width="40.28515625" customWidth="1"/>
    <col min="31" max="31" width="53.42578125" customWidth="1"/>
    <col min="32" max="32" width="42.5703125" customWidth="1"/>
    <col min="33" max="33" width="40.28515625" customWidth="1"/>
    <col min="34" max="34" width="53.42578125" customWidth="1"/>
    <col min="35" max="35" width="42.5703125" customWidth="1"/>
    <col min="36" max="36" width="40.28515625" customWidth="1"/>
    <col min="37" max="37" width="53.42578125" customWidth="1"/>
    <col min="38" max="38" width="40.7109375" customWidth="1"/>
    <col min="39" max="39" width="38.42578125" customWidth="1"/>
    <col min="40" max="40" width="51.7109375" customWidth="1"/>
    <col min="41" max="41" width="40.28515625" customWidth="1"/>
    <col min="42" max="42" width="42.5703125" customWidth="1"/>
    <col min="43" max="43" width="40.28515625" customWidth="1"/>
    <col min="44" max="44" width="42.5703125" customWidth="1"/>
    <col min="45" max="45" width="40.28515625" customWidth="1"/>
    <col min="46" max="46" width="42.5703125" customWidth="1"/>
    <col min="47" max="47" width="40.28515625" customWidth="1"/>
    <col min="48" max="48" width="40.7109375" customWidth="1"/>
    <col min="49" max="49" width="38.42578125" bestFit="1" customWidth="1"/>
    <col min="50" max="50" width="11.7109375" customWidth="1"/>
    <col min="51" max="51" width="77.7109375" customWidth="1"/>
    <col min="52" max="52" width="54.140625" customWidth="1"/>
    <col min="53" max="55" width="11.7109375" customWidth="1"/>
    <col min="56" max="56" width="6.7109375" customWidth="1"/>
    <col min="57" max="57" width="9" customWidth="1"/>
    <col min="58" max="59" width="11.7109375" customWidth="1"/>
    <col min="60" max="60" width="6.7109375" customWidth="1"/>
    <col min="61" max="62" width="11.7109375" customWidth="1"/>
    <col min="63" max="63" width="56.85546875" customWidth="1"/>
    <col min="64" max="64" width="66.28515625" customWidth="1"/>
    <col min="65" max="66" width="11.7109375" bestFit="1" customWidth="1"/>
    <col min="67" max="67" width="11.7109375" customWidth="1"/>
    <col min="68" max="68" width="6.7109375" customWidth="1"/>
    <col min="69" max="69" width="9" customWidth="1"/>
    <col min="70" max="70" width="11.7109375" customWidth="1"/>
    <col min="71" max="71" width="11.7109375" bestFit="1" customWidth="1"/>
    <col min="72" max="72" width="6.7109375" customWidth="1"/>
    <col min="73" max="74" width="11.7109375" customWidth="1"/>
    <col min="75" max="75" width="69.140625" customWidth="1"/>
    <col min="76" max="76" width="62.28515625" customWidth="1"/>
    <col min="77" max="78" width="11.7109375" customWidth="1"/>
    <col min="79" max="79" width="11.7109375" bestFit="1" customWidth="1"/>
    <col min="80" max="80" width="6.7109375" customWidth="1"/>
    <col min="81" max="81" width="9" customWidth="1"/>
    <col min="82" max="83" width="11.7109375" customWidth="1"/>
    <col min="84" max="84" width="6.7109375" customWidth="1"/>
    <col min="85" max="86" width="11.7109375" customWidth="1"/>
    <col min="87" max="87" width="65" bestFit="1" customWidth="1"/>
    <col min="88" max="88" width="53.28515625" customWidth="1"/>
    <col min="89" max="91" width="11.7109375" customWidth="1"/>
    <col min="92" max="92" width="6.7109375" customWidth="1"/>
    <col min="93" max="93" width="9" customWidth="1"/>
    <col min="94" max="94" width="11.7109375" customWidth="1"/>
    <col min="95" max="95" width="11.7109375" bestFit="1" customWidth="1"/>
    <col min="96" max="96" width="6.7109375" customWidth="1"/>
    <col min="97" max="97" width="11.7109375" customWidth="1"/>
    <col min="98" max="98" width="11.7109375" bestFit="1" customWidth="1"/>
    <col min="99" max="99" width="56" bestFit="1" customWidth="1"/>
    <col min="100" max="100" width="34.5703125" customWidth="1"/>
    <col min="101" max="104" width="11.7109375" customWidth="1"/>
    <col min="105" max="105" width="11.7109375" bestFit="1" customWidth="1"/>
    <col min="106" max="106" width="37.28515625" customWidth="1"/>
    <col min="107" max="107" width="38.85546875" customWidth="1"/>
    <col min="108" max="108" width="11.7109375" bestFit="1" customWidth="1"/>
    <col min="109" max="110" width="11.7109375" customWidth="1"/>
    <col min="111" max="111" width="6.7109375" customWidth="1"/>
    <col min="112" max="112" width="9" customWidth="1"/>
    <col min="113" max="114" width="11.7109375" customWidth="1"/>
    <col min="115" max="115" width="6.7109375" customWidth="1"/>
    <col min="116" max="116" width="11.7109375" customWidth="1"/>
    <col min="117" max="117" width="11.7109375" bestFit="1" customWidth="1"/>
    <col min="118" max="118" width="41.7109375" bestFit="1" customWidth="1"/>
    <col min="119" max="119" width="51.85546875" customWidth="1"/>
    <col min="120" max="120" width="11.7109375" customWidth="1"/>
    <col min="121" max="122" width="11.7109375" bestFit="1" customWidth="1"/>
    <col min="123" max="123" width="6.7109375" customWidth="1"/>
    <col min="124" max="124" width="9" customWidth="1"/>
    <col min="125" max="126" width="11.7109375" customWidth="1"/>
    <col min="127" max="127" width="6.7109375" customWidth="1"/>
    <col min="128" max="129" width="11.7109375" bestFit="1" customWidth="1"/>
    <col min="130" max="130" width="54.7109375" bestFit="1" customWidth="1"/>
    <col min="131" max="131" width="71.28515625" bestFit="1" customWidth="1"/>
    <col min="132" max="132" width="11.7109375" customWidth="1"/>
    <col min="133" max="134" width="11.7109375" bestFit="1" customWidth="1"/>
    <col min="135" max="135" width="6.7109375" customWidth="1"/>
    <col min="136" max="136" width="9" customWidth="1"/>
    <col min="137" max="138" width="11.7109375" customWidth="1"/>
    <col min="139" max="139" width="6.7109375" customWidth="1"/>
    <col min="140" max="141" width="11.7109375" bestFit="1" customWidth="1"/>
    <col min="142" max="142" width="74.140625" bestFit="1" customWidth="1"/>
    <col min="143" max="143" width="39.28515625" customWidth="1"/>
    <col min="144" max="148" width="11.7109375" bestFit="1" customWidth="1"/>
    <col min="149" max="149" width="42.140625" bestFit="1" customWidth="1"/>
    <col min="150" max="150" width="36.42578125" bestFit="1" customWidth="1"/>
    <col min="151" max="155" width="11.7109375" bestFit="1" customWidth="1"/>
    <col min="156" max="156" width="39.28515625" bestFit="1" customWidth="1"/>
    <col min="157" max="157" width="38.140625" bestFit="1" customWidth="1"/>
    <col min="158" max="162" width="11.7109375" bestFit="1" customWidth="1"/>
    <col min="163" max="163" width="40.85546875" bestFit="1" customWidth="1"/>
    <col min="164" max="164" width="43.28515625" bestFit="1" customWidth="1"/>
    <col min="165" max="169" width="11.7109375" bestFit="1" customWidth="1"/>
    <col min="170" max="170" width="46.28515625" bestFit="1" customWidth="1"/>
    <col min="171" max="171" width="9" bestFit="1" customWidth="1"/>
    <col min="172" max="177" width="11.7109375" bestFit="1" customWidth="1"/>
    <col min="178" max="178" width="10.7109375" bestFit="1" customWidth="1"/>
  </cols>
  <sheetData>
    <row r="1" spans="1:8" x14ac:dyDescent="0.25">
      <c r="A1" s="81" t="s">
        <v>514</v>
      </c>
      <c r="B1" s="81" t="s">
        <v>537</v>
      </c>
    </row>
    <row r="3" spans="1:8" s="14" customFormat="1" ht="45" x14ac:dyDescent="0.25">
      <c r="A3" s="243" t="s">
        <v>620</v>
      </c>
      <c r="B3" s="243" t="s">
        <v>621</v>
      </c>
      <c r="C3" s="243" t="s">
        <v>622</v>
      </c>
      <c r="D3" s="243" t="s">
        <v>623</v>
      </c>
      <c r="E3" s="243" t="s">
        <v>624</v>
      </c>
      <c r="F3" s="243" t="s">
        <v>625</v>
      </c>
      <c r="G3" s="243" t="s">
        <v>626</v>
      </c>
      <c r="H3" s="244" t="s">
        <v>627</v>
      </c>
    </row>
    <row r="4" spans="1:8" x14ac:dyDescent="0.25">
      <c r="A4" s="245" t="s">
        <v>628</v>
      </c>
      <c r="B4" s="246">
        <v>0</v>
      </c>
      <c r="C4" s="246">
        <v>2</v>
      </c>
      <c r="D4" s="246">
        <v>83</v>
      </c>
      <c r="E4" s="246">
        <v>19</v>
      </c>
      <c r="F4" s="246">
        <v>39</v>
      </c>
      <c r="G4" s="246">
        <v>194</v>
      </c>
      <c r="H4" s="246">
        <f t="shared" ref="H4:H21" si="0">SUM(B4:G4)</f>
        <v>337</v>
      </c>
    </row>
    <row r="5" spans="1:8" x14ac:dyDescent="0.25">
      <c r="A5" s="245" t="s">
        <v>629</v>
      </c>
      <c r="B5" s="246">
        <v>5</v>
      </c>
      <c r="C5" s="246">
        <v>15</v>
      </c>
      <c r="D5" s="246">
        <v>157</v>
      </c>
      <c r="E5" s="246">
        <v>8</v>
      </c>
      <c r="F5" s="246">
        <v>31</v>
      </c>
      <c r="G5" s="246">
        <v>248</v>
      </c>
      <c r="H5" s="246">
        <f t="shared" si="0"/>
        <v>464</v>
      </c>
    </row>
    <row r="6" spans="1:8" x14ac:dyDescent="0.25">
      <c r="A6" s="245" t="s">
        <v>496</v>
      </c>
      <c r="B6" s="246">
        <v>8</v>
      </c>
      <c r="C6" s="246">
        <v>34</v>
      </c>
      <c r="D6" s="246">
        <v>334</v>
      </c>
      <c r="E6" s="246">
        <v>66</v>
      </c>
      <c r="F6" s="246">
        <v>89</v>
      </c>
      <c r="G6" s="246">
        <v>384</v>
      </c>
      <c r="H6" s="246">
        <f t="shared" si="0"/>
        <v>915</v>
      </c>
    </row>
    <row r="7" spans="1:8" x14ac:dyDescent="0.25">
      <c r="A7" s="245" t="s">
        <v>630</v>
      </c>
      <c r="B7" s="246">
        <v>10</v>
      </c>
      <c r="C7" s="246">
        <v>59</v>
      </c>
      <c r="D7" s="246">
        <v>310</v>
      </c>
      <c r="E7" s="246">
        <v>44</v>
      </c>
      <c r="F7" s="246">
        <v>75</v>
      </c>
      <c r="G7" s="246">
        <v>223</v>
      </c>
      <c r="H7" s="246">
        <f t="shared" si="0"/>
        <v>721</v>
      </c>
    </row>
    <row r="8" spans="1:8" x14ac:dyDescent="0.25">
      <c r="A8" s="245" t="s">
        <v>631</v>
      </c>
      <c r="B8" s="246">
        <v>11</v>
      </c>
      <c r="C8" s="246">
        <v>41</v>
      </c>
      <c r="D8" s="246">
        <v>316</v>
      </c>
      <c r="E8" s="246">
        <v>33</v>
      </c>
      <c r="F8" s="246">
        <v>72</v>
      </c>
      <c r="G8" s="246">
        <v>318</v>
      </c>
      <c r="H8" s="246">
        <f t="shared" si="0"/>
        <v>791</v>
      </c>
    </row>
    <row r="9" spans="1:8" x14ac:dyDescent="0.25">
      <c r="A9" s="245" t="s">
        <v>632</v>
      </c>
      <c r="B9" s="246">
        <v>26</v>
      </c>
      <c r="C9" s="246">
        <v>75</v>
      </c>
      <c r="D9" s="246">
        <v>423</v>
      </c>
      <c r="E9" s="246">
        <v>68</v>
      </c>
      <c r="F9" s="246">
        <v>101</v>
      </c>
      <c r="G9" s="246">
        <v>382</v>
      </c>
      <c r="H9" s="246">
        <f t="shared" si="0"/>
        <v>1075</v>
      </c>
    </row>
    <row r="10" spans="1:8" x14ac:dyDescent="0.25">
      <c r="A10" s="245" t="s">
        <v>633</v>
      </c>
      <c r="B10" s="246">
        <v>8</v>
      </c>
      <c r="C10" s="246">
        <v>33</v>
      </c>
      <c r="D10" s="246">
        <v>220</v>
      </c>
      <c r="E10" s="246">
        <v>34</v>
      </c>
      <c r="F10" s="246">
        <v>78</v>
      </c>
      <c r="G10" s="246">
        <v>180</v>
      </c>
      <c r="H10" s="246">
        <f t="shared" si="0"/>
        <v>553</v>
      </c>
    </row>
    <row r="11" spans="1:8" x14ac:dyDescent="0.25">
      <c r="A11" s="245" t="s">
        <v>634</v>
      </c>
      <c r="B11" s="246">
        <v>11</v>
      </c>
      <c r="C11" s="246">
        <v>380</v>
      </c>
      <c r="D11" s="246">
        <v>465</v>
      </c>
      <c r="E11" s="246">
        <v>83</v>
      </c>
      <c r="F11" s="246">
        <v>183</v>
      </c>
      <c r="G11" s="246">
        <v>484</v>
      </c>
      <c r="H11" s="246">
        <f t="shared" si="0"/>
        <v>1606</v>
      </c>
    </row>
    <row r="12" spans="1:8" x14ac:dyDescent="0.25">
      <c r="A12" s="245" t="s">
        <v>635</v>
      </c>
      <c r="B12" s="246">
        <v>7</v>
      </c>
      <c r="C12" s="246">
        <v>45</v>
      </c>
      <c r="D12" s="246">
        <v>239</v>
      </c>
      <c r="E12" s="246">
        <v>56</v>
      </c>
      <c r="F12" s="246">
        <v>73</v>
      </c>
      <c r="G12" s="246">
        <v>194</v>
      </c>
      <c r="H12" s="246">
        <f t="shared" si="0"/>
        <v>614</v>
      </c>
    </row>
    <row r="13" spans="1:8" x14ac:dyDescent="0.25">
      <c r="A13" s="245" t="s">
        <v>636</v>
      </c>
      <c r="B13" s="246">
        <v>11</v>
      </c>
      <c r="C13" s="246">
        <v>62</v>
      </c>
      <c r="D13" s="246">
        <v>446</v>
      </c>
      <c r="E13" s="246">
        <v>93</v>
      </c>
      <c r="F13" s="246">
        <v>156</v>
      </c>
      <c r="G13" s="246">
        <v>394</v>
      </c>
      <c r="H13" s="246">
        <f t="shared" si="0"/>
        <v>1162</v>
      </c>
    </row>
    <row r="14" spans="1:8" x14ac:dyDescent="0.25">
      <c r="A14" s="245" t="s">
        <v>52</v>
      </c>
      <c r="B14" s="246">
        <v>11</v>
      </c>
      <c r="C14" s="246">
        <v>51</v>
      </c>
      <c r="D14" s="246">
        <v>309</v>
      </c>
      <c r="E14" s="246">
        <v>75</v>
      </c>
      <c r="F14" s="246">
        <v>45</v>
      </c>
      <c r="G14" s="246">
        <v>194</v>
      </c>
      <c r="H14" s="246">
        <f t="shared" si="0"/>
        <v>685</v>
      </c>
    </row>
    <row r="15" spans="1:8" x14ac:dyDescent="0.25">
      <c r="A15" s="245" t="s">
        <v>509</v>
      </c>
      <c r="B15" s="246">
        <v>13</v>
      </c>
      <c r="C15" s="246">
        <v>53</v>
      </c>
      <c r="D15" s="246">
        <v>286</v>
      </c>
      <c r="E15" s="246">
        <v>63</v>
      </c>
      <c r="F15" s="246">
        <v>47</v>
      </c>
      <c r="G15" s="246">
        <v>116</v>
      </c>
      <c r="H15" s="246">
        <f t="shared" si="0"/>
        <v>578</v>
      </c>
    </row>
    <row r="16" spans="1:8" x14ac:dyDescent="0.25">
      <c r="A16" s="245" t="s">
        <v>637</v>
      </c>
      <c r="B16" s="246">
        <v>10</v>
      </c>
      <c r="C16" s="246">
        <v>45</v>
      </c>
      <c r="D16" s="246">
        <v>359</v>
      </c>
      <c r="E16" s="246">
        <v>88</v>
      </c>
      <c r="F16" s="246">
        <v>44</v>
      </c>
      <c r="G16" s="246">
        <v>262</v>
      </c>
      <c r="H16" s="246">
        <f t="shared" si="0"/>
        <v>808</v>
      </c>
    </row>
    <row r="17" spans="1:8" x14ac:dyDescent="0.25">
      <c r="A17" s="245" t="s">
        <v>638</v>
      </c>
      <c r="B17" s="246">
        <v>13</v>
      </c>
      <c r="C17" s="246">
        <v>60</v>
      </c>
      <c r="D17" s="246">
        <v>351</v>
      </c>
      <c r="E17" s="246">
        <v>49</v>
      </c>
      <c r="F17" s="246">
        <v>59</v>
      </c>
      <c r="G17" s="246">
        <v>179</v>
      </c>
      <c r="H17" s="246">
        <f t="shared" si="0"/>
        <v>711</v>
      </c>
    </row>
    <row r="18" spans="1:8" x14ac:dyDescent="0.25">
      <c r="A18" s="245" t="s">
        <v>639</v>
      </c>
      <c r="B18" s="246">
        <v>0</v>
      </c>
      <c r="C18" s="246">
        <v>8</v>
      </c>
      <c r="D18" s="246">
        <v>714</v>
      </c>
      <c r="E18" s="246">
        <v>70</v>
      </c>
      <c r="F18" s="246">
        <v>91</v>
      </c>
      <c r="G18" s="246">
        <v>718</v>
      </c>
      <c r="H18" s="246">
        <f t="shared" si="0"/>
        <v>1601</v>
      </c>
    </row>
    <row r="19" spans="1:8" x14ac:dyDescent="0.25">
      <c r="A19" s="245" t="s">
        <v>640</v>
      </c>
      <c r="B19" s="246">
        <v>0</v>
      </c>
      <c r="C19" s="246">
        <v>0</v>
      </c>
      <c r="D19" s="246">
        <v>42</v>
      </c>
      <c r="E19" s="246">
        <v>10</v>
      </c>
      <c r="F19" s="246">
        <v>12</v>
      </c>
      <c r="G19" s="246">
        <v>28</v>
      </c>
      <c r="H19" s="246">
        <f t="shared" si="0"/>
        <v>92</v>
      </c>
    </row>
    <row r="20" spans="1:8" x14ac:dyDescent="0.25">
      <c r="A20" s="245" t="s">
        <v>511</v>
      </c>
      <c r="B20" s="246">
        <v>20</v>
      </c>
      <c r="C20" s="246">
        <v>85</v>
      </c>
      <c r="D20" s="246">
        <v>531</v>
      </c>
      <c r="E20" s="246">
        <v>92</v>
      </c>
      <c r="F20" s="246">
        <v>165</v>
      </c>
      <c r="G20" s="246">
        <v>285</v>
      </c>
      <c r="H20" s="246">
        <f t="shared" si="0"/>
        <v>1178</v>
      </c>
    </row>
    <row r="21" spans="1:8" x14ac:dyDescent="0.25">
      <c r="A21" s="245" t="s">
        <v>588</v>
      </c>
      <c r="B21" s="246">
        <v>164</v>
      </c>
      <c r="C21" s="246">
        <v>1048</v>
      </c>
      <c r="D21" s="246">
        <v>5585</v>
      </c>
      <c r="E21" s="246">
        <v>951</v>
      </c>
      <c r="F21" s="246">
        <v>1360</v>
      </c>
      <c r="G21" s="246">
        <v>4783</v>
      </c>
      <c r="H21" s="247">
        <f t="shared" si="0"/>
        <v>13891</v>
      </c>
    </row>
    <row r="22" spans="1:8" x14ac:dyDescent="0.25">
      <c r="H22" s="24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C912-3E3D-4CF2-94A0-679216147277}">
  <sheetPr>
    <pageSetUpPr fitToPage="1"/>
  </sheetPr>
  <dimension ref="A1:AA479"/>
  <sheetViews>
    <sheetView zoomScale="90" zoomScaleNormal="90" workbookViewId="0">
      <selection activeCell="A3" sqref="A3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hidden="1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349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343</v>
      </c>
      <c r="B3" s="27" t="s">
        <v>63</v>
      </c>
      <c r="C3" s="27" t="s">
        <v>64</v>
      </c>
      <c r="D3" s="123" t="s">
        <v>350</v>
      </c>
      <c r="E3" s="27" t="s">
        <v>73</v>
      </c>
      <c r="F3" s="28" t="s">
        <v>351</v>
      </c>
      <c r="G3" s="28" t="s">
        <v>352</v>
      </c>
      <c r="H3" s="74" t="s">
        <v>353</v>
      </c>
      <c r="I3" s="74" t="s">
        <v>354</v>
      </c>
      <c r="J3" s="74" t="s">
        <v>355</v>
      </c>
      <c r="K3" s="74" t="s">
        <v>356</v>
      </c>
      <c r="L3" s="74" t="s">
        <v>357</v>
      </c>
      <c r="M3" s="74" t="s">
        <v>358</v>
      </c>
      <c r="N3" s="74" t="s">
        <v>359</v>
      </c>
      <c r="O3" s="27" t="s">
        <v>360</v>
      </c>
      <c r="P3" s="27" t="s">
        <v>361</v>
      </c>
      <c r="Q3" s="30" t="s">
        <v>66</v>
      </c>
      <c r="R3" s="30" t="s">
        <v>363</v>
      </c>
      <c r="S3" s="29" t="s">
        <v>367</v>
      </c>
      <c r="T3" s="29" t="s">
        <v>368</v>
      </c>
      <c r="U3" s="29" t="s">
        <v>13</v>
      </c>
      <c r="V3" s="29" t="s">
        <v>14</v>
      </c>
      <c r="W3" s="29" t="s">
        <v>369</v>
      </c>
      <c r="X3" s="29" t="s">
        <v>75</v>
      </c>
      <c r="Y3" s="29" t="s">
        <v>370</v>
      </c>
      <c r="Z3" s="29" t="s">
        <v>371</v>
      </c>
      <c r="AA3" s="29" t="s">
        <v>372</v>
      </c>
    </row>
    <row r="4" spans="1:27" s="106" customFormat="1" x14ac:dyDescent="0.25">
      <c r="A4" s="99"/>
      <c r="B4" s="355" t="s">
        <v>15</v>
      </c>
      <c r="C4" s="100" t="s">
        <v>83</v>
      </c>
      <c r="D4" s="100" t="s">
        <v>84</v>
      </c>
      <c r="E4" s="99"/>
      <c r="F4" s="102">
        <v>45600</v>
      </c>
      <c r="G4" s="102">
        <v>45604</v>
      </c>
      <c r="H4" s="105"/>
      <c r="I4" s="105">
        <v>0.54166666666666663</v>
      </c>
      <c r="J4" s="102"/>
      <c r="K4" s="102"/>
      <c r="L4" s="102"/>
      <c r="M4" s="102"/>
      <c r="N4" s="102"/>
      <c r="O4" s="99" t="s">
        <v>79</v>
      </c>
      <c r="P4" s="99"/>
      <c r="Q4" s="103">
        <v>45</v>
      </c>
      <c r="R4" s="356">
        <v>5</v>
      </c>
      <c r="S4" s="103"/>
      <c r="T4" s="103"/>
      <c r="U4" s="15"/>
      <c r="V4" s="15"/>
      <c r="W4" s="15"/>
      <c r="X4" s="99"/>
      <c r="Y4" s="71">
        <f ca="1">Table210[[#This Row],[End Date]]+2-TODAY()</f>
        <v>74</v>
      </c>
      <c r="Z4" s="15">
        <f>IF(ISBLANK(Table210[[#This Row],[Roster Received By]]),1,0)</f>
        <v>1</v>
      </c>
      <c r="AA4" s="15">
        <f ca="1">IF(Table210[[#This Row],[Start Date]]&gt;TODAY(),1,)</f>
        <v>1</v>
      </c>
    </row>
    <row r="5" spans="1:27" s="106" customFormat="1" x14ac:dyDescent="0.25">
      <c r="A5" s="62"/>
      <c r="B5" s="355" t="s">
        <v>15</v>
      </c>
      <c r="C5" s="100" t="s">
        <v>83</v>
      </c>
      <c r="D5" s="100" t="s">
        <v>84</v>
      </c>
      <c r="E5" s="99"/>
      <c r="F5" s="102">
        <v>45635</v>
      </c>
      <c r="G5" s="102">
        <v>45639</v>
      </c>
      <c r="H5" s="108"/>
      <c r="I5" s="105">
        <v>0.33333333333333331</v>
      </c>
      <c r="J5" s="102"/>
      <c r="K5" s="102"/>
      <c r="L5" s="102"/>
      <c r="M5" s="102"/>
      <c r="N5" s="102"/>
      <c r="O5" s="99" t="s">
        <v>79</v>
      </c>
      <c r="P5" s="99"/>
      <c r="Q5" s="103">
        <v>45</v>
      </c>
      <c r="R5" s="356">
        <v>5</v>
      </c>
      <c r="S5" s="103"/>
      <c r="T5" s="103"/>
      <c r="U5" s="15"/>
      <c r="V5" s="15"/>
      <c r="W5" s="15"/>
      <c r="X5" s="99"/>
      <c r="Y5" s="71">
        <f ca="1">Table210[[#This Row],[End Date]]+2-TODAY()</f>
        <v>109</v>
      </c>
      <c r="Z5" s="15">
        <f>IF(ISBLANK(Table210[[#This Row],[Roster Received By]]),1,0)</f>
        <v>1</v>
      </c>
      <c r="AA5" s="15">
        <f ca="1">IF(Table210[[#This Row],[Start Date]]&gt;TODAY(),1,)</f>
        <v>1</v>
      </c>
    </row>
    <row r="6" spans="1:27" s="106" customFormat="1" x14ac:dyDescent="0.25">
      <c r="A6" s="62"/>
      <c r="B6" s="355" t="s">
        <v>15</v>
      </c>
      <c r="C6" s="100" t="s">
        <v>83</v>
      </c>
      <c r="D6" s="100" t="s">
        <v>84</v>
      </c>
      <c r="E6" s="99"/>
      <c r="F6" s="102">
        <v>45670</v>
      </c>
      <c r="G6" s="102">
        <v>45674</v>
      </c>
      <c r="H6" s="108"/>
      <c r="I6" s="105">
        <v>0.54166666666666663</v>
      </c>
      <c r="J6" s="102"/>
      <c r="K6" s="102"/>
      <c r="L6" s="102"/>
      <c r="M6" s="102"/>
      <c r="N6" s="102"/>
      <c r="O6" s="99" t="s">
        <v>79</v>
      </c>
      <c r="P6" s="99"/>
      <c r="Q6" s="103">
        <v>45</v>
      </c>
      <c r="R6" s="356">
        <v>5</v>
      </c>
      <c r="S6" s="103"/>
      <c r="T6" s="103"/>
      <c r="U6" s="15"/>
      <c r="V6" s="15"/>
      <c r="W6" s="15"/>
      <c r="X6" s="99"/>
      <c r="Y6" s="71">
        <f ca="1">Table210[[#This Row],[End Date]]+2-TODAY()</f>
        <v>144</v>
      </c>
      <c r="Z6" s="15">
        <f>IF(ISBLANK(Table210[[#This Row],[Roster Received By]]),1,0)</f>
        <v>1</v>
      </c>
      <c r="AA6" s="15">
        <f ca="1">IF(Table210[[#This Row],[Start Date]]&gt;TODAY(),1,)</f>
        <v>1</v>
      </c>
    </row>
    <row r="7" spans="1:27" s="106" customFormat="1" x14ac:dyDescent="0.25">
      <c r="A7" s="62"/>
      <c r="B7" s="355" t="s">
        <v>15</v>
      </c>
      <c r="C7" s="100" t="s">
        <v>83</v>
      </c>
      <c r="D7" s="100" t="s">
        <v>84</v>
      </c>
      <c r="E7" s="99"/>
      <c r="F7" s="102">
        <v>45698</v>
      </c>
      <c r="G7" s="102">
        <v>45702</v>
      </c>
      <c r="H7" s="108"/>
      <c r="I7" s="108">
        <v>0.33333333333333331</v>
      </c>
      <c r="J7" s="102"/>
      <c r="K7" s="102"/>
      <c r="L7" s="102"/>
      <c r="M7" s="102"/>
      <c r="N7" s="102"/>
      <c r="O7" s="99" t="s">
        <v>79</v>
      </c>
      <c r="P7" s="99"/>
      <c r="Q7" s="103">
        <v>45</v>
      </c>
      <c r="R7" s="356">
        <v>5</v>
      </c>
      <c r="S7" s="103"/>
      <c r="T7" s="103"/>
      <c r="U7" s="15"/>
      <c r="V7" s="15"/>
      <c r="W7" s="15"/>
      <c r="X7" s="99"/>
      <c r="Y7" s="71">
        <f ca="1">Table210[[#This Row],[End Date]]+2-TODAY()</f>
        <v>172</v>
      </c>
      <c r="Z7" s="15">
        <f>IF(ISBLANK(Table210[[#This Row],[Roster Received By]]),1,0)</f>
        <v>1</v>
      </c>
      <c r="AA7" s="15">
        <f ca="1">IF(Table210[[#This Row],[Start Date]]&gt;TODAY(),1,)</f>
        <v>1</v>
      </c>
    </row>
    <row r="8" spans="1:27" s="106" customFormat="1" x14ac:dyDescent="0.25">
      <c r="A8" s="62"/>
      <c r="B8" s="355" t="s">
        <v>15</v>
      </c>
      <c r="C8" s="100" t="s">
        <v>83</v>
      </c>
      <c r="D8" s="100" t="s">
        <v>84</v>
      </c>
      <c r="E8" s="99"/>
      <c r="F8" s="102">
        <v>45789</v>
      </c>
      <c r="G8" s="102">
        <v>45793</v>
      </c>
      <c r="H8" s="105"/>
      <c r="I8" s="105">
        <v>0.54166666666666663</v>
      </c>
      <c r="J8" s="102"/>
      <c r="K8" s="102"/>
      <c r="L8" s="102"/>
      <c r="M8" s="102"/>
      <c r="N8" s="102"/>
      <c r="O8" s="99" t="s">
        <v>79</v>
      </c>
      <c r="P8" s="99"/>
      <c r="Q8" s="103">
        <v>45</v>
      </c>
      <c r="R8" s="356">
        <v>5</v>
      </c>
      <c r="S8" s="103"/>
      <c r="T8" s="103"/>
      <c r="U8" s="15"/>
      <c r="V8" s="15"/>
      <c r="W8" s="15"/>
      <c r="X8" s="99"/>
      <c r="Y8" s="71">
        <f ca="1">Table210[[#This Row],[End Date]]+2-TODAY()</f>
        <v>263</v>
      </c>
      <c r="Z8" s="15">
        <f>IF(ISBLANK(Table210[[#This Row],[Roster Received By]]),1,0)</f>
        <v>1</v>
      </c>
      <c r="AA8" s="15">
        <f ca="1">IF(Table210[[#This Row],[Start Date]]&gt;TODAY(),1,)</f>
        <v>1</v>
      </c>
    </row>
    <row r="9" spans="1:27" s="106" customFormat="1" x14ac:dyDescent="0.25">
      <c r="A9" s="62"/>
      <c r="B9" s="355" t="s">
        <v>15</v>
      </c>
      <c r="C9" s="100" t="s">
        <v>83</v>
      </c>
      <c r="D9" s="100" t="s">
        <v>84</v>
      </c>
      <c r="E9" s="99"/>
      <c r="F9" s="102">
        <v>45831</v>
      </c>
      <c r="G9" s="102">
        <v>45835</v>
      </c>
      <c r="H9" s="108"/>
      <c r="I9" s="108">
        <v>0.33333333333333331</v>
      </c>
      <c r="J9" s="102"/>
      <c r="K9" s="102"/>
      <c r="L9" s="102"/>
      <c r="M9" s="102"/>
      <c r="N9" s="102"/>
      <c r="O9" s="99" t="s">
        <v>79</v>
      </c>
      <c r="P9" s="99"/>
      <c r="Q9" s="103">
        <v>45</v>
      </c>
      <c r="R9" s="356">
        <v>5</v>
      </c>
      <c r="S9" s="103"/>
      <c r="T9" s="103"/>
      <c r="U9" s="15"/>
      <c r="V9" s="15"/>
      <c r="W9" s="15"/>
      <c r="X9" s="99"/>
      <c r="Y9" s="71">
        <f ca="1">Table210[[#This Row],[End Date]]+2-TODAY()</f>
        <v>305</v>
      </c>
      <c r="Z9" s="15">
        <f>IF(ISBLANK(Table210[[#This Row],[Roster Received By]]),1,0)</f>
        <v>1</v>
      </c>
      <c r="AA9" s="15">
        <f ca="1">IF(Table210[[#This Row],[Start Date]]&gt;TODAY(),1,)</f>
        <v>1</v>
      </c>
    </row>
    <row r="10" spans="1:27" s="106" customFormat="1" x14ac:dyDescent="0.25">
      <c r="A10" s="62"/>
      <c r="B10" s="355" t="s">
        <v>15</v>
      </c>
      <c r="C10" s="100" t="s">
        <v>83</v>
      </c>
      <c r="D10" s="100" t="s">
        <v>84</v>
      </c>
      <c r="E10" s="99"/>
      <c r="F10" s="102">
        <v>45859</v>
      </c>
      <c r="G10" s="102">
        <v>45863</v>
      </c>
      <c r="H10" s="108"/>
      <c r="I10" s="108">
        <v>0.33333333333333331</v>
      </c>
      <c r="J10" s="102"/>
      <c r="K10" s="102"/>
      <c r="L10" s="102"/>
      <c r="M10" s="102"/>
      <c r="N10" s="102"/>
      <c r="O10" s="99" t="s">
        <v>79</v>
      </c>
      <c r="P10" s="99"/>
      <c r="Q10" s="103">
        <v>45</v>
      </c>
      <c r="R10" s="356">
        <v>5</v>
      </c>
      <c r="S10" s="103"/>
      <c r="T10" s="103"/>
      <c r="U10" s="15"/>
      <c r="V10" s="15"/>
      <c r="W10" s="100"/>
      <c r="X10" s="99"/>
      <c r="Y10" s="71">
        <f ca="1">Table210[[#This Row],[End Date]]+2-TODAY()</f>
        <v>333</v>
      </c>
      <c r="Z10" s="15">
        <f>IF(ISBLANK(Table210[[#This Row],[Roster Received By]]),1,0)</f>
        <v>1</v>
      </c>
      <c r="AA10" s="15">
        <f ca="1">IF(Table210[[#This Row],[Start Date]]&gt;TODAY(),1,)</f>
        <v>1</v>
      </c>
    </row>
    <row r="11" spans="1:27" s="106" customFormat="1" x14ac:dyDescent="0.25">
      <c r="A11" s="62"/>
      <c r="B11" s="355" t="s">
        <v>15</v>
      </c>
      <c r="C11" s="100" t="s">
        <v>83</v>
      </c>
      <c r="D11" s="100" t="s">
        <v>84</v>
      </c>
      <c r="E11" s="99"/>
      <c r="F11" s="102">
        <v>45873</v>
      </c>
      <c r="G11" s="102">
        <v>45877</v>
      </c>
      <c r="H11" s="108"/>
      <c r="I11" s="108">
        <v>0.54166666666666663</v>
      </c>
      <c r="J11" s="102"/>
      <c r="K11" s="102"/>
      <c r="L11" s="102"/>
      <c r="M11" s="102"/>
      <c r="N11" s="102"/>
      <c r="O11" s="99" t="s">
        <v>79</v>
      </c>
      <c r="P11" s="99"/>
      <c r="Q11" s="103">
        <v>45</v>
      </c>
      <c r="R11" s="356">
        <v>5</v>
      </c>
      <c r="S11" s="103"/>
      <c r="T11" s="103"/>
      <c r="U11" s="15"/>
      <c r="V11" s="15"/>
      <c r="W11" s="100"/>
      <c r="X11" s="99"/>
      <c r="Y11" s="71">
        <f ca="1">Table210[[#This Row],[End Date]]+2-TODAY()</f>
        <v>347</v>
      </c>
      <c r="Z11" s="15">
        <f>IF(ISBLANK(Table210[[#This Row],[Roster Received By]]),1,0)</f>
        <v>1</v>
      </c>
      <c r="AA11" s="15">
        <f ca="1">IF(Table210[[#This Row],[Start Date]]&gt;TODAY(),1,)</f>
        <v>1</v>
      </c>
    </row>
    <row r="12" spans="1:27" s="106" customFormat="1" x14ac:dyDescent="0.25">
      <c r="A12" s="62"/>
      <c r="B12" s="99" t="s">
        <v>37</v>
      </c>
      <c r="C12" s="100" t="s">
        <v>118</v>
      </c>
      <c r="D12" s="100" t="s">
        <v>119</v>
      </c>
      <c r="E12" s="99"/>
      <c r="F12" s="102">
        <v>45613</v>
      </c>
      <c r="G12" s="102">
        <v>45617</v>
      </c>
      <c r="H12" s="105"/>
      <c r="I12" s="105">
        <v>0.79166666666666663</v>
      </c>
      <c r="J12" s="102"/>
      <c r="K12" s="102"/>
      <c r="L12" s="102"/>
      <c r="M12" s="102"/>
      <c r="N12" s="102"/>
      <c r="O12" s="99" t="s">
        <v>641</v>
      </c>
      <c r="P12" s="99"/>
      <c r="Q12" s="103">
        <v>45</v>
      </c>
      <c r="R12" s="356">
        <v>5</v>
      </c>
      <c r="S12" s="103"/>
      <c r="T12" s="103"/>
      <c r="U12" s="15"/>
      <c r="V12" s="15"/>
      <c r="W12" s="100"/>
      <c r="X12" s="99"/>
      <c r="Y12" s="71">
        <f ca="1">Table210[[#This Row],[End Date]]+2-TODAY()</f>
        <v>87</v>
      </c>
      <c r="Z12" s="15">
        <f>IF(ISBLANK(Table210[[#This Row],[Roster Received By]]),1,0)</f>
        <v>1</v>
      </c>
      <c r="AA12" s="15">
        <f ca="1">IF(Table210[[#This Row],[Start Date]]&gt;TODAY(),1,)</f>
        <v>1</v>
      </c>
    </row>
    <row r="13" spans="1:27" s="106" customFormat="1" x14ac:dyDescent="0.25">
      <c r="A13" s="62"/>
      <c r="B13" s="99" t="s">
        <v>37</v>
      </c>
      <c r="C13" s="100" t="s">
        <v>118</v>
      </c>
      <c r="D13" s="100" t="s">
        <v>119</v>
      </c>
      <c r="E13" s="99"/>
      <c r="F13" s="102">
        <v>45635</v>
      </c>
      <c r="G13" s="102">
        <v>45639</v>
      </c>
      <c r="H13" s="108"/>
      <c r="I13" s="105">
        <v>0.33333333333333331</v>
      </c>
      <c r="J13" s="102"/>
      <c r="K13" s="102"/>
      <c r="L13" s="102"/>
      <c r="M13" s="102"/>
      <c r="N13" s="102"/>
      <c r="O13" s="99" t="s">
        <v>641</v>
      </c>
      <c r="P13" s="99"/>
      <c r="Q13" s="103">
        <v>45</v>
      </c>
      <c r="R13" s="356">
        <v>5</v>
      </c>
      <c r="S13" s="103"/>
      <c r="T13" s="103"/>
      <c r="U13" s="15"/>
      <c r="V13" s="15"/>
      <c r="W13" s="15"/>
      <c r="X13" s="99"/>
      <c r="Y13" s="71">
        <f ca="1">Table210[[#This Row],[End Date]]+2-TODAY()</f>
        <v>109</v>
      </c>
      <c r="Z13" s="15">
        <f>IF(ISBLANK(Table210[[#This Row],[Roster Received By]]),1,0)</f>
        <v>1</v>
      </c>
      <c r="AA13" s="15">
        <f ca="1">IF(Table210[[#This Row],[Start Date]]&gt;TODAY(),1,)</f>
        <v>1</v>
      </c>
    </row>
    <row r="14" spans="1:27" s="106" customFormat="1" x14ac:dyDescent="0.25">
      <c r="A14" s="62"/>
      <c r="B14" s="99" t="s">
        <v>37</v>
      </c>
      <c r="C14" s="100" t="s">
        <v>118</v>
      </c>
      <c r="D14" s="100" t="s">
        <v>119</v>
      </c>
      <c r="E14" s="99"/>
      <c r="F14" s="102">
        <v>45670</v>
      </c>
      <c r="G14" s="102">
        <v>45674</v>
      </c>
      <c r="H14" s="108"/>
      <c r="I14" s="105">
        <v>0.54166666666666663</v>
      </c>
      <c r="J14" s="102"/>
      <c r="K14" s="102"/>
      <c r="L14" s="102"/>
      <c r="M14" s="102"/>
      <c r="N14" s="102"/>
      <c r="O14" s="99" t="s">
        <v>641</v>
      </c>
      <c r="P14" s="99"/>
      <c r="Q14" s="103">
        <v>45</v>
      </c>
      <c r="R14" s="356">
        <v>5</v>
      </c>
      <c r="S14" s="103"/>
      <c r="T14" s="103"/>
      <c r="U14" s="15"/>
      <c r="V14" s="15"/>
      <c r="W14" s="15"/>
      <c r="X14" s="99"/>
      <c r="Y14" s="71">
        <f ca="1">Table210[[#This Row],[End Date]]+2-TODAY()</f>
        <v>144</v>
      </c>
      <c r="Z14" s="15">
        <f>IF(ISBLANK(Table210[[#This Row],[Roster Received By]]),1,0)</f>
        <v>1</v>
      </c>
      <c r="AA14" s="15">
        <f ca="1">IF(Table210[[#This Row],[Start Date]]&gt;TODAY(),1,)</f>
        <v>1</v>
      </c>
    </row>
    <row r="15" spans="1:27" s="106" customFormat="1" x14ac:dyDescent="0.25">
      <c r="A15" s="62"/>
      <c r="B15" s="99" t="s">
        <v>37</v>
      </c>
      <c r="C15" s="100" t="s">
        <v>118</v>
      </c>
      <c r="D15" s="100" t="s">
        <v>119</v>
      </c>
      <c r="E15" s="99"/>
      <c r="F15" s="102">
        <v>45691</v>
      </c>
      <c r="G15" s="102">
        <v>45695</v>
      </c>
      <c r="H15" s="108"/>
      <c r="I15" s="108">
        <v>0.33333333333333331</v>
      </c>
      <c r="J15" s="102"/>
      <c r="K15" s="102"/>
      <c r="L15" s="102"/>
      <c r="M15" s="102"/>
      <c r="N15" s="102"/>
      <c r="O15" s="99" t="s">
        <v>641</v>
      </c>
      <c r="P15" s="99"/>
      <c r="Q15" s="103">
        <v>45</v>
      </c>
      <c r="R15" s="356">
        <v>5</v>
      </c>
      <c r="S15" s="103"/>
      <c r="T15" s="103"/>
      <c r="U15" s="15"/>
      <c r="V15" s="15"/>
      <c r="W15" s="15"/>
      <c r="X15" s="99"/>
      <c r="Y15" s="71">
        <f ca="1">Table210[[#This Row],[End Date]]+2-TODAY()</f>
        <v>165</v>
      </c>
      <c r="Z15" s="15">
        <f>IF(ISBLANK(Table210[[#This Row],[Roster Received By]]),1,0)</f>
        <v>1</v>
      </c>
      <c r="AA15" s="15">
        <f ca="1">IF(Table210[[#This Row],[Start Date]]&gt;TODAY(),1,)</f>
        <v>1</v>
      </c>
    </row>
    <row r="16" spans="1:27" s="106" customFormat="1" x14ac:dyDescent="0.25">
      <c r="A16" s="62"/>
      <c r="B16" s="99" t="s">
        <v>37</v>
      </c>
      <c r="C16" s="100" t="s">
        <v>118</v>
      </c>
      <c r="D16" s="100" t="s">
        <v>119</v>
      </c>
      <c r="E16" s="99"/>
      <c r="F16" s="102">
        <v>45739</v>
      </c>
      <c r="G16" s="102">
        <v>45743</v>
      </c>
      <c r="H16" s="105"/>
      <c r="I16" s="105">
        <v>0.79166666666666663</v>
      </c>
      <c r="J16" s="102"/>
      <c r="K16" s="102"/>
      <c r="L16" s="102"/>
      <c r="M16" s="102"/>
      <c r="N16" s="102"/>
      <c r="O16" s="99" t="s">
        <v>641</v>
      </c>
      <c r="P16" s="99"/>
      <c r="Q16" s="103">
        <v>45</v>
      </c>
      <c r="R16" s="356">
        <v>5</v>
      </c>
      <c r="S16" s="103"/>
      <c r="T16" s="103"/>
      <c r="U16" s="15"/>
      <c r="V16" s="15"/>
      <c r="W16" s="15"/>
      <c r="X16" s="99"/>
      <c r="Y16" s="71">
        <f ca="1">Table210[[#This Row],[End Date]]+2-TODAY()</f>
        <v>213</v>
      </c>
      <c r="Z16" s="15">
        <f>IF(ISBLANK(Table210[[#This Row],[Roster Received By]]),1,0)</f>
        <v>1</v>
      </c>
      <c r="AA16" s="15">
        <f ca="1">IF(Table210[[#This Row],[Start Date]]&gt;TODAY(),1,)</f>
        <v>1</v>
      </c>
    </row>
    <row r="17" spans="1:27" s="106" customFormat="1" x14ac:dyDescent="0.25">
      <c r="A17" s="62"/>
      <c r="B17" s="99" t="s">
        <v>37</v>
      </c>
      <c r="C17" s="100" t="s">
        <v>118</v>
      </c>
      <c r="D17" s="100" t="s">
        <v>119</v>
      </c>
      <c r="E17" s="99"/>
      <c r="F17" s="102">
        <v>45775</v>
      </c>
      <c r="G17" s="102">
        <v>45779</v>
      </c>
      <c r="H17" s="105"/>
      <c r="I17" s="105">
        <v>0.54166666666666663</v>
      </c>
      <c r="J17" s="102"/>
      <c r="K17" s="102"/>
      <c r="L17" s="102"/>
      <c r="M17" s="102"/>
      <c r="N17" s="102"/>
      <c r="O17" s="99" t="s">
        <v>641</v>
      </c>
      <c r="P17" s="99"/>
      <c r="Q17" s="103">
        <v>45</v>
      </c>
      <c r="R17" s="356">
        <v>5</v>
      </c>
      <c r="S17" s="103"/>
      <c r="T17" s="103"/>
      <c r="U17" s="15"/>
      <c r="V17" s="15"/>
      <c r="W17" s="15"/>
      <c r="X17" s="99"/>
      <c r="Y17" s="71">
        <f ca="1">Table210[[#This Row],[End Date]]+2-TODAY()</f>
        <v>249</v>
      </c>
      <c r="Z17" s="15">
        <f>IF(ISBLANK(Table210[[#This Row],[Roster Received By]]),1,0)</f>
        <v>1</v>
      </c>
      <c r="AA17" s="15">
        <f ca="1">IF(Table210[[#This Row],[Start Date]]&gt;TODAY(),1,)</f>
        <v>1</v>
      </c>
    </row>
    <row r="18" spans="1:27" s="106" customFormat="1" x14ac:dyDescent="0.25">
      <c r="A18" s="62"/>
      <c r="B18" s="99" t="s">
        <v>37</v>
      </c>
      <c r="C18" s="100" t="s">
        <v>118</v>
      </c>
      <c r="D18" s="100" t="s">
        <v>119</v>
      </c>
      <c r="E18" s="99"/>
      <c r="F18" s="102">
        <v>45796</v>
      </c>
      <c r="G18" s="102">
        <v>45800</v>
      </c>
      <c r="H18" s="105"/>
      <c r="I18" s="105">
        <v>0.33333333333333331</v>
      </c>
      <c r="J18" s="102"/>
      <c r="K18" s="102"/>
      <c r="L18" s="102"/>
      <c r="M18" s="102"/>
      <c r="N18" s="102"/>
      <c r="O18" s="99" t="s">
        <v>641</v>
      </c>
      <c r="P18" s="99"/>
      <c r="Q18" s="103">
        <v>45</v>
      </c>
      <c r="R18" s="356">
        <v>5</v>
      </c>
      <c r="S18" s="103"/>
      <c r="T18" s="103"/>
      <c r="U18" s="15"/>
      <c r="V18" s="15"/>
      <c r="W18" s="15"/>
      <c r="X18" s="99"/>
      <c r="Y18" s="71">
        <f ca="1">Table210[[#This Row],[End Date]]+2-TODAY()</f>
        <v>270</v>
      </c>
      <c r="Z18" s="15">
        <f>IF(ISBLANK(Table210[[#This Row],[Roster Received By]]),1,0)</f>
        <v>1</v>
      </c>
      <c r="AA18" s="15">
        <f ca="1">IF(Table210[[#This Row],[Start Date]]&gt;TODAY(),1,)</f>
        <v>1</v>
      </c>
    </row>
    <row r="19" spans="1:27" s="135" customFormat="1" x14ac:dyDescent="0.25">
      <c r="A19" s="62"/>
      <c r="B19" s="99" t="s">
        <v>37</v>
      </c>
      <c r="C19" s="100" t="s">
        <v>118</v>
      </c>
      <c r="D19" s="100" t="s">
        <v>119</v>
      </c>
      <c r="E19" s="99"/>
      <c r="F19" s="102">
        <v>45830</v>
      </c>
      <c r="G19" s="102">
        <v>45834</v>
      </c>
      <c r="H19" s="108"/>
      <c r="I19" s="108">
        <v>0.79166666666666663</v>
      </c>
      <c r="J19" s="102"/>
      <c r="K19" s="102"/>
      <c r="L19" s="102"/>
      <c r="M19" s="102"/>
      <c r="N19" s="102"/>
      <c r="O19" s="99" t="s">
        <v>641</v>
      </c>
      <c r="P19" s="99"/>
      <c r="Q19" s="103">
        <v>45</v>
      </c>
      <c r="R19" s="356">
        <v>5</v>
      </c>
      <c r="S19" s="103"/>
      <c r="T19" s="103"/>
      <c r="U19" s="15"/>
      <c r="V19" s="15"/>
      <c r="W19" s="15"/>
      <c r="X19" s="99"/>
      <c r="Y19" s="71">
        <f ca="1">Table210[[#This Row],[End Date]]+2-TODAY()</f>
        <v>304</v>
      </c>
      <c r="Z19" s="15">
        <f>IF(ISBLANK(Table210[[#This Row],[Roster Received By]]),1,0)</f>
        <v>1</v>
      </c>
      <c r="AA19" s="15">
        <f ca="1">IF(Table210[[#This Row],[Start Date]]&gt;TODAY(),1,)</f>
        <v>1</v>
      </c>
    </row>
    <row r="20" spans="1:27" s="135" customFormat="1" x14ac:dyDescent="0.25">
      <c r="A20" s="62"/>
      <c r="B20" s="99" t="s">
        <v>37</v>
      </c>
      <c r="C20" s="100" t="s">
        <v>118</v>
      </c>
      <c r="D20" s="100" t="s">
        <v>119</v>
      </c>
      <c r="E20" s="99"/>
      <c r="F20" s="102">
        <v>45852</v>
      </c>
      <c r="G20" s="102">
        <v>45856</v>
      </c>
      <c r="H20" s="108"/>
      <c r="I20" s="108">
        <v>0.54166666666666663</v>
      </c>
      <c r="J20" s="102"/>
      <c r="K20" s="102"/>
      <c r="L20" s="102"/>
      <c r="M20" s="102"/>
      <c r="N20" s="102"/>
      <c r="O20" s="99" t="s">
        <v>641</v>
      </c>
      <c r="P20" s="99"/>
      <c r="Q20" s="103">
        <v>45</v>
      </c>
      <c r="R20" s="356">
        <v>5</v>
      </c>
      <c r="S20" s="103"/>
      <c r="T20" s="103"/>
      <c r="U20" s="15"/>
      <c r="V20" s="15"/>
      <c r="W20" s="100"/>
      <c r="X20" s="99"/>
      <c r="Y20" s="71">
        <f ca="1">Table210[[#This Row],[End Date]]+2-TODAY()</f>
        <v>326</v>
      </c>
      <c r="Z20" s="15">
        <f>IF(ISBLANK(Table210[[#This Row],[Roster Received By]]),1,0)</f>
        <v>1</v>
      </c>
      <c r="AA20" s="15">
        <f ca="1">IF(Table210[[#This Row],[Start Date]]&gt;TODAY(),1,)</f>
        <v>1</v>
      </c>
    </row>
    <row r="21" spans="1:27" s="135" customFormat="1" x14ac:dyDescent="0.25">
      <c r="A21" s="62"/>
      <c r="B21" s="99" t="s">
        <v>37</v>
      </c>
      <c r="C21" s="100" t="s">
        <v>118</v>
      </c>
      <c r="D21" s="100" t="s">
        <v>119</v>
      </c>
      <c r="E21" s="99"/>
      <c r="F21" s="102">
        <v>45880</v>
      </c>
      <c r="G21" s="102">
        <v>45884</v>
      </c>
      <c r="H21" s="108"/>
      <c r="I21" s="108">
        <v>0.33333333333333331</v>
      </c>
      <c r="J21" s="102"/>
      <c r="K21" s="102"/>
      <c r="L21" s="102"/>
      <c r="M21" s="102"/>
      <c r="N21" s="102"/>
      <c r="O21" s="99" t="s">
        <v>641</v>
      </c>
      <c r="P21" s="99"/>
      <c r="Q21" s="103">
        <v>45</v>
      </c>
      <c r="R21" s="356">
        <v>5</v>
      </c>
      <c r="S21" s="103"/>
      <c r="T21" s="103"/>
      <c r="U21" s="15"/>
      <c r="V21" s="15"/>
      <c r="W21" s="100"/>
      <c r="X21" s="99"/>
      <c r="Y21" s="71">
        <f ca="1">Table210[[#This Row],[End Date]]+2-TODAY()</f>
        <v>354</v>
      </c>
      <c r="Z21" s="15">
        <f>IF(ISBLANK(Table210[[#This Row],[Roster Received By]]),1,0)</f>
        <v>1</v>
      </c>
      <c r="AA21" s="15">
        <f ca="1">IF(Table210[[#This Row],[Start Date]]&gt;TODAY(),1,)</f>
        <v>1</v>
      </c>
    </row>
    <row r="22" spans="1:27" s="135" customFormat="1" x14ac:dyDescent="0.25">
      <c r="A22" s="62"/>
      <c r="B22" s="99" t="s">
        <v>37</v>
      </c>
      <c r="C22" s="100" t="s">
        <v>118</v>
      </c>
      <c r="D22" s="100" t="s">
        <v>119</v>
      </c>
      <c r="E22" s="99"/>
      <c r="F22" s="102">
        <v>45921</v>
      </c>
      <c r="G22" s="102">
        <v>45925</v>
      </c>
      <c r="H22" s="102"/>
      <c r="I22" s="101">
        <v>0.79166666666666663</v>
      </c>
      <c r="J22" s="105"/>
      <c r="K22" s="105"/>
      <c r="L22" s="105"/>
      <c r="M22" s="105"/>
      <c r="N22" s="105"/>
      <c r="O22" s="99" t="s">
        <v>641</v>
      </c>
      <c r="P22" s="99"/>
      <c r="Q22" s="15">
        <v>45</v>
      </c>
      <c r="R22" s="228">
        <v>5</v>
      </c>
      <c r="S22" s="15"/>
      <c r="T22" s="103"/>
      <c r="U22" s="15"/>
      <c r="V22" s="15"/>
      <c r="W22" s="100"/>
      <c r="X22" s="99"/>
      <c r="Y22" s="71">
        <f ca="1">Table210[[#This Row],[End Date]]+2-TODAY()</f>
        <v>395</v>
      </c>
      <c r="Z22" s="15">
        <f>IF(ISBLANK(Table210[[#This Row],[Roster Received By]]),1,0)</f>
        <v>1</v>
      </c>
      <c r="AA22" s="15">
        <f ca="1">IF(Table210[[#This Row],[Start Date]]&gt;TODAY(),1,)</f>
        <v>1</v>
      </c>
    </row>
    <row r="23" spans="1:27" s="135" customFormat="1" x14ac:dyDescent="0.25">
      <c r="A23" s="151" t="s">
        <v>375</v>
      </c>
      <c r="B23" s="152" t="s">
        <v>264</v>
      </c>
      <c r="C23" s="154" t="s">
        <v>265</v>
      </c>
      <c r="D23" s="154" t="s">
        <v>265</v>
      </c>
      <c r="E23" s="152" t="s">
        <v>267</v>
      </c>
      <c r="F23" s="155">
        <v>45576</v>
      </c>
      <c r="G23" s="155">
        <v>45576</v>
      </c>
      <c r="H23" s="155"/>
      <c r="I23" s="156"/>
      <c r="J23" s="158"/>
      <c r="K23" s="158"/>
      <c r="L23" s="158"/>
      <c r="M23" s="158"/>
      <c r="N23" s="158"/>
      <c r="O23" s="152"/>
      <c r="P23" s="152"/>
      <c r="Q23" s="157">
        <v>0</v>
      </c>
      <c r="R23" s="157">
        <v>0</v>
      </c>
      <c r="S23" s="15"/>
      <c r="T23" s="103"/>
      <c r="U23" s="15"/>
      <c r="V23" s="15"/>
      <c r="W23" s="15"/>
      <c r="X23" s="99"/>
      <c r="Y23" s="71">
        <f ca="1">Table210[[#This Row],[End Date]]+2-TODAY()</f>
        <v>46</v>
      </c>
      <c r="Z23" s="15">
        <f>IF(ISBLANK(Table210[[#This Row],[Roster Received By]]),1,0)</f>
        <v>1</v>
      </c>
      <c r="AA23" s="15">
        <f ca="1">IF(Table210[[#This Row],[Start Date]]&gt;TODAY(),1,)</f>
        <v>1</v>
      </c>
    </row>
    <row r="24" spans="1:27" s="135" customFormat="1" x14ac:dyDescent="0.25">
      <c r="A24" s="151" t="s">
        <v>379</v>
      </c>
      <c r="B24" s="152" t="s">
        <v>264</v>
      </c>
      <c r="C24" s="154" t="s">
        <v>265</v>
      </c>
      <c r="D24" s="154" t="s">
        <v>265</v>
      </c>
      <c r="E24" s="152" t="s">
        <v>267</v>
      </c>
      <c r="F24" s="155">
        <v>45621</v>
      </c>
      <c r="G24" s="155">
        <v>45621</v>
      </c>
      <c r="H24" s="158"/>
      <c r="I24" s="158"/>
      <c r="J24" s="155"/>
      <c r="K24" s="155"/>
      <c r="L24" s="155"/>
      <c r="M24" s="155"/>
      <c r="N24" s="155"/>
      <c r="O24" s="152"/>
      <c r="P24" s="152"/>
      <c r="Q24" s="157">
        <v>0</v>
      </c>
      <c r="R24" s="157">
        <v>0</v>
      </c>
      <c r="S24" s="157"/>
      <c r="T24" s="182"/>
      <c r="U24" s="157"/>
      <c r="V24" s="157"/>
      <c r="W24" s="154"/>
      <c r="X24" s="152"/>
      <c r="Y24" s="183">
        <f ca="1">Table210[[#This Row],[End Date]]+2-TODAY()</f>
        <v>91</v>
      </c>
      <c r="Z24" s="157">
        <f>IF(ISBLANK(Table210[[#This Row],[Roster Received By]]),1,0)</f>
        <v>1</v>
      </c>
      <c r="AA24" s="157">
        <f ca="1">IF(Table210[[#This Row],[Start Date]]&gt;TODAY(),1,)</f>
        <v>1</v>
      </c>
    </row>
    <row r="25" spans="1:27" s="135" customFormat="1" x14ac:dyDescent="0.25">
      <c r="A25" s="151" t="s">
        <v>382</v>
      </c>
      <c r="B25" s="152" t="s">
        <v>264</v>
      </c>
      <c r="C25" s="154" t="s">
        <v>265</v>
      </c>
      <c r="D25" s="154" t="s">
        <v>265</v>
      </c>
      <c r="E25" s="152" t="s">
        <v>267</v>
      </c>
      <c r="F25" s="155">
        <v>45642</v>
      </c>
      <c r="G25" s="155">
        <v>45642</v>
      </c>
      <c r="H25" s="155"/>
      <c r="I25" s="156"/>
      <c r="J25" s="158"/>
      <c r="K25" s="158"/>
      <c r="L25" s="158"/>
      <c r="M25" s="158"/>
      <c r="N25" s="158"/>
      <c r="O25" s="152"/>
      <c r="P25" s="152"/>
      <c r="Q25" s="157">
        <v>0</v>
      </c>
      <c r="R25" s="157">
        <v>0</v>
      </c>
      <c r="S25" s="157"/>
      <c r="T25" s="182"/>
      <c r="U25" s="157"/>
      <c r="V25" s="157"/>
      <c r="W25" s="157"/>
      <c r="X25" s="152"/>
      <c r="Y25" s="183">
        <f ca="1">Table210[[#This Row],[End Date]]+2-TODAY()</f>
        <v>112</v>
      </c>
      <c r="Z25" s="157">
        <f>IF(ISBLANK(Table210[[#This Row],[Roster Received By]]),1,0)</f>
        <v>1</v>
      </c>
      <c r="AA25" s="157">
        <f ca="1">IF(Table210[[#This Row],[Start Date]]&gt;TODAY(),1,)</f>
        <v>1</v>
      </c>
    </row>
    <row r="26" spans="1:27" s="135" customFormat="1" x14ac:dyDescent="0.25">
      <c r="A26" s="151" t="s">
        <v>388</v>
      </c>
      <c r="B26" s="152" t="s">
        <v>264</v>
      </c>
      <c r="C26" s="154" t="s">
        <v>265</v>
      </c>
      <c r="D26" s="154" t="s">
        <v>265</v>
      </c>
      <c r="E26" s="152" t="s">
        <v>267</v>
      </c>
      <c r="F26" s="155">
        <v>45688</v>
      </c>
      <c r="G26" s="155">
        <v>45688</v>
      </c>
      <c r="H26" s="184"/>
      <c r="I26" s="184"/>
      <c r="J26" s="155"/>
      <c r="K26" s="155"/>
      <c r="L26" s="155"/>
      <c r="M26" s="155"/>
      <c r="N26" s="155"/>
      <c r="O26" s="152"/>
      <c r="P26" s="152"/>
      <c r="Q26" s="157">
        <v>0</v>
      </c>
      <c r="R26" s="157">
        <v>0</v>
      </c>
      <c r="S26" s="157"/>
      <c r="T26" s="182"/>
      <c r="U26" s="157"/>
      <c r="V26" s="157"/>
      <c r="W26" s="157"/>
      <c r="X26" s="152"/>
      <c r="Y26" s="183">
        <f ca="1">Table210[[#This Row],[End Date]]+2-TODAY()</f>
        <v>158</v>
      </c>
      <c r="Z26" s="157">
        <f>IF(ISBLANK(Table210[[#This Row],[Roster Received By]]),1,0)</f>
        <v>1</v>
      </c>
      <c r="AA26" s="157">
        <f ca="1">IF(Table210[[#This Row],[Start Date]]&gt;TODAY(),1,)</f>
        <v>1</v>
      </c>
    </row>
    <row r="27" spans="1:27" s="106" customFormat="1" ht="14.25" customHeight="1" x14ac:dyDescent="0.25">
      <c r="A27" s="151" t="s">
        <v>642</v>
      </c>
      <c r="B27" s="152" t="s">
        <v>264</v>
      </c>
      <c r="C27" s="154" t="s">
        <v>265</v>
      </c>
      <c r="D27" s="154" t="s">
        <v>265</v>
      </c>
      <c r="E27" s="152" t="s">
        <v>267</v>
      </c>
      <c r="F27" s="155">
        <v>45758</v>
      </c>
      <c r="G27" s="155">
        <v>45758</v>
      </c>
      <c r="H27" s="155"/>
      <c r="I27" s="156"/>
      <c r="J27" s="158"/>
      <c r="K27" s="158"/>
      <c r="L27" s="158"/>
      <c r="M27" s="158"/>
      <c r="N27" s="158"/>
      <c r="O27" s="152"/>
      <c r="P27" s="152"/>
      <c r="Q27" s="157">
        <v>0</v>
      </c>
      <c r="R27" s="157">
        <v>0</v>
      </c>
      <c r="S27" s="157"/>
      <c r="T27" s="182"/>
      <c r="U27" s="157"/>
      <c r="V27" s="157"/>
      <c r="W27" s="157"/>
      <c r="X27" s="152"/>
      <c r="Y27" s="183">
        <f ca="1">Table210[[#This Row],[End Date]]+2-TODAY()</f>
        <v>228</v>
      </c>
      <c r="Z27" s="157">
        <f>IF(ISBLANK(Table210[[#This Row],[Roster Received By]]),1,0)</f>
        <v>1</v>
      </c>
      <c r="AA27" s="157">
        <f ca="1">IF(Table210[[#This Row],[Start Date]]&gt;TODAY(),1,)</f>
        <v>1</v>
      </c>
    </row>
    <row r="28" spans="1:27" s="106" customFormat="1" ht="14.25" customHeight="1" x14ac:dyDescent="0.25">
      <c r="A28" s="151" t="s">
        <v>419</v>
      </c>
      <c r="B28" s="152" t="s">
        <v>264</v>
      </c>
      <c r="C28" s="154" t="s">
        <v>265</v>
      </c>
      <c r="D28" s="154" t="s">
        <v>265</v>
      </c>
      <c r="E28" s="152" t="s">
        <v>267</v>
      </c>
      <c r="F28" s="155">
        <v>45839</v>
      </c>
      <c r="G28" s="155">
        <v>45839</v>
      </c>
      <c r="H28" s="158"/>
      <c r="I28" s="158"/>
      <c r="J28" s="158"/>
      <c r="K28" s="158"/>
      <c r="L28" s="158"/>
      <c r="M28" s="158"/>
      <c r="N28" s="158"/>
      <c r="O28" s="152"/>
      <c r="P28" s="152"/>
      <c r="Q28" s="157">
        <v>0</v>
      </c>
      <c r="R28" s="157">
        <v>0</v>
      </c>
      <c r="S28" s="182"/>
      <c r="T28" s="182"/>
      <c r="U28" s="157"/>
      <c r="V28" s="157"/>
      <c r="W28" s="157"/>
      <c r="X28" s="152"/>
      <c r="Y28" s="183">
        <f ca="1">Table210[[#This Row],[End Date]]+2-TODAY()</f>
        <v>309</v>
      </c>
      <c r="Z28" s="157">
        <f>IF(ISBLANK(Table210[[#This Row],[Roster Received By]]),1,0)</f>
        <v>1</v>
      </c>
      <c r="AA28" s="157">
        <f ca="1">IF(Table210[[#This Row],[Start Date]]&gt;TODAY(),1,)</f>
        <v>1</v>
      </c>
    </row>
    <row r="29" spans="1:27" s="135" customFormat="1" x14ac:dyDescent="0.25">
      <c r="A29" s="151" t="s">
        <v>425</v>
      </c>
      <c r="B29" s="152" t="s">
        <v>264</v>
      </c>
      <c r="C29" s="154" t="s">
        <v>265</v>
      </c>
      <c r="D29" s="154" t="s">
        <v>265</v>
      </c>
      <c r="E29" s="152" t="s">
        <v>267</v>
      </c>
      <c r="F29" s="155">
        <v>45884</v>
      </c>
      <c r="G29" s="155">
        <v>45884</v>
      </c>
      <c r="H29" s="155"/>
      <c r="I29" s="156"/>
      <c r="J29" s="158"/>
      <c r="K29" s="158"/>
      <c r="L29" s="158"/>
      <c r="M29" s="158"/>
      <c r="N29" s="158"/>
      <c r="O29" s="152"/>
      <c r="P29" s="152"/>
      <c r="Q29" s="157">
        <v>0</v>
      </c>
      <c r="R29" s="157">
        <v>0</v>
      </c>
      <c r="S29" s="157"/>
      <c r="T29" s="182"/>
      <c r="U29" s="157"/>
      <c r="V29" s="157"/>
      <c r="W29" s="157"/>
      <c r="X29" s="152"/>
      <c r="Y29" s="183">
        <f ca="1">Table210[[#This Row],[End Date]]+2-TODAY()</f>
        <v>354</v>
      </c>
      <c r="Z29" s="157">
        <f>IF(ISBLANK(Table210[[#This Row],[Roster Received By]]),1,0)</f>
        <v>1</v>
      </c>
      <c r="AA29" s="157">
        <f ca="1">IF(Table210[[#This Row],[Start Date]]&gt;TODAY(),1,)</f>
        <v>1</v>
      </c>
    </row>
    <row r="30" spans="1:27" s="135" customFormat="1" x14ac:dyDescent="0.25">
      <c r="A30" s="100"/>
      <c r="B30" s="99" t="s">
        <v>165</v>
      </c>
      <c r="C30" s="100" t="s">
        <v>166</v>
      </c>
      <c r="D30" s="100" t="s">
        <v>167</v>
      </c>
      <c r="E30" s="99"/>
      <c r="F30" s="102">
        <v>45565</v>
      </c>
      <c r="G30" s="102">
        <v>45569</v>
      </c>
      <c r="H30" s="105"/>
      <c r="I30" s="105">
        <v>0.54166666666666663</v>
      </c>
      <c r="J30" s="102"/>
      <c r="K30" s="102"/>
      <c r="L30" s="102"/>
      <c r="M30" s="102"/>
      <c r="N30" s="102"/>
      <c r="O30" s="99" t="s">
        <v>110</v>
      </c>
      <c r="P30" s="99"/>
      <c r="Q30" s="231">
        <v>45</v>
      </c>
      <c r="R30" s="356">
        <v>5</v>
      </c>
      <c r="S30" s="231"/>
      <c r="T30" s="231"/>
      <c r="U30" s="107"/>
      <c r="V30" s="107"/>
      <c r="W30" s="107"/>
      <c r="X30" s="107"/>
      <c r="Y30" s="357">
        <f ca="1">Table210[[#This Row],[End Date]]+2-TODAY()</f>
        <v>39</v>
      </c>
      <c r="Z30" s="100">
        <f>IF(ISBLANK(Table210[[#This Row],[Roster Received By]]),1,0)</f>
        <v>1</v>
      </c>
      <c r="AA30" s="100">
        <f ca="1">IF(Table210[[#This Row],[Start Date]]&gt;TODAY(),1,)</f>
        <v>1</v>
      </c>
    </row>
    <row r="31" spans="1:27" s="135" customFormat="1" x14ac:dyDescent="0.25">
      <c r="A31" s="99"/>
      <c r="B31" s="99" t="s">
        <v>165</v>
      </c>
      <c r="C31" s="100" t="s">
        <v>166</v>
      </c>
      <c r="D31" s="100" t="s">
        <v>167</v>
      </c>
      <c r="E31" s="99"/>
      <c r="F31" s="102">
        <v>45586</v>
      </c>
      <c r="G31" s="102">
        <v>45590</v>
      </c>
      <c r="H31" s="105"/>
      <c r="I31" s="105">
        <v>0.33333333333333331</v>
      </c>
      <c r="J31" s="102"/>
      <c r="K31" s="102"/>
      <c r="L31" s="102"/>
      <c r="M31" s="102"/>
      <c r="N31" s="102"/>
      <c r="O31" s="99" t="s">
        <v>110</v>
      </c>
      <c r="P31" s="99"/>
      <c r="Q31" s="103">
        <v>45</v>
      </c>
      <c r="R31" s="356">
        <v>5</v>
      </c>
      <c r="S31" s="103"/>
      <c r="T31" s="103"/>
      <c r="U31" s="15"/>
      <c r="V31" s="15"/>
      <c r="W31" s="15"/>
      <c r="X31" s="99"/>
      <c r="Y31" s="71">
        <f ca="1">Table210[[#This Row],[End Date]]+2-TODAY()</f>
        <v>60</v>
      </c>
      <c r="Z31" s="15">
        <f>IF(ISBLANK(Table210[[#This Row],[Roster Received By]]),1,0)</f>
        <v>1</v>
      </c>
      <c r="AA31" s="15">
        <f ca="1">IF(Table210[[#This Row],[Start Date]]&gt;TODAY(),1,)</f>
        <v>1</v>
      </c>
    </row>
    <row r="32" spans="1:27" s="135" customFormat="1" x14ac:dyDescent="0.25">
      <c r="A32" s="99"/>
      <c r="B32" s="99" t="s">
        <v>165</v>
      </c>
      <c r="C32" s="100" t="s">
        <v>166</v>
      </c>
      <c r="D32" s="100" t="s">
        <v>167</v>
      </c>
      <c r="E32" s="99"/>
      <c r="F32" s="102">
        <v>45599</v>
      </c>
      <c r="G32" s="102">
        <v>45603</v>
      </c>
      <c r="H32" s="105"/>
      <c r="I32" s="105">
        <v>0.79166666666666663</v>
      </c>
      <c r="J32" s="102"/>
      <c r="K32" s="102"/>
      <c r="L32" s="102"/>
      <c r="M32" s="102"/>
      <c r="N32" s="102"/>
      <c r="O32" s="99" t="s">
        <v>110</v>
      </c>
      <c r="P32" s="99"/>
      <c r="Q32" s="103">
        <v>45</v>
      </c>
      <c r="R32" s="356">
        <v>5</v>
      </c>
      <c r="S32" s="103"/>
      <c r="T32" s="103"/>
      <c r="U32" s="15"/>
      <c r="V32" s="15"/>
      <c r="W32" s="15"/>
      <c r="X32" s="99"/>
      <c r="Y32" s="71">
        <f ca="1">Table210[[#This Row],[End Date]]+2-TODAY()</f>
        <v>73</v>
      </c>
      <c r="Z32" s="15">
        <f>IF(ISBLANK(Table210[[#This Row],[Roster Received By]]),1,0)</f>
        <v>1</v>
      </c>
      <c r="AA32" s="15">
        <f ca="1">IF(Table210[[#This Row],[Start Date]]&gt;TODAY(),1,)</f>
        <v>1</v>
      </c>
    </row>
    <row r="33" spans="1:27" s="136" customFormat="1" ht="13.5" customHeight="1" x14ac:dyDescent="0.25">
      <c r="A33" s="62"/>
      <c r="B33" s="99" t="s">
        <v>165</v>
      </c>
      <c r="C33" s="100" t="s">
        <v>166</v>
      </c>
      <c r="D33" s="100" t="s">
        <v>167</v>
      </c>
      <c r="E33" s="99"/>
      <c r="F33" s="102">
        <v>45628</v>
      </c>
      <c r="G33" s="102">
        <v>45632</v>
      </c>
      <c r="H33" s="108"/>
      <c r="I33" s="105">
        <v>0.54166666666666663</v>
      </c>
      <c r="J33" s="102"/>
      <c r="K33" s="102"/>
      <c r="L33" s="102"/>
      <c r="M33" s="102"/>
      <c r="N33" s="102"/>
      <c r="O33" s="99" t="s">
        <v>110</v>
      </c>
      <c r="P33" s="99"/>
      <c r="Q33" s="103">
        <v>45</v>
      </c>
      <c r="R33" s="356">
        <v>5</v>
      </c>
      <c r="S33" s="103"/>
      <c r="T33" s="103"/>
      <c r="U33" s="15"/>
      <c r="V33" s="15"/>
      <c r="W33" s="15"/>
      <c r="X33" s="99"/>
      <c r="Y33" s="71">
        <f ca="1">Table210[[#This Row],[End Date]]+2-TODAY()</f>
        <v>102</v>
      </c>
      <c r="Z33" s="15">
        <f>IF(ISBLANK(Table210[[#This Row],[Roster Received By]]),1,0)</f>
        <v>1</v>
      </c>
      <c r="AA33" s="15">
        <f ca="1">IF(Table210[[#This Row],[Start Date]]&gt;TODAY(),1,)</f>
        <v>1</v>
      </c>
    </row>
    <row r="34" spans="1:27" s="106" customFormat="1" ht="14.25" customHeight="1" x14ac:dyDescent="0.25">
      <c r="A34" s="62"/>
      <c r="B34" s="99" t="s">
        <v>165</v>
      </c>
      <c r="C34" s="100" t="s">
        <v>166</v>
      </c>
      <c r="D34" s="100" t="s">
        <v>167</v>
      </c>
      <c r="E34" s="99"/>
      <c r="F34" s="102">
        <v>45663</v>
      </c>
      <c r="G34" s="102">
        <v>45667</v>
      </c>
      <c r="H34" s="108"/>
      <c r="I34" s="105">
        <v>0.54166666666666663</v>
      </c>
      <c r="J34" s="102"/>
      <c r="K34" s="102"/>
      <c r="L34" s="102"/>
      <c r="M34" s="102"/>
      <c r="N34" s="102"/>
      <c r="O34" s="99" t="s">
        <v>120</v>
      </c>
      <c r="P34" s="99"/>
      <c r="Q34" s="103">
        <v>45</v>
      </c>
      <c r="R34" s="356">
        <v>5</v>
      </c>
      <c r="S34" s="103"/>
      <c r="T34" s="103"/>
      <c r="U34" s="15"/>
      <c r="V34" s="15"/>
      <c r="W34" s="15"/>
      <c r="X34" s="99"/>
      <c r="Y34" s="71">
        <f ca="1">Table210[[#This Row],[End Date]]+2-TODAY()</f>
        <v>137</v>
      </c>
      <c r="Z34" s="15">
        <f>IF(ISBLANK(Table210[[#This Row],[Roster Received By]]),1,0)</f>
        <v>1</v>
      </c>
      <c r="AA34" s="15">
        <f ca="1">IF(Table210[[#This Row],[Start Date]]&gt;TODAY(),1,)</f>
        <v>1</v>
      </c>
    </row>
    <row r="35" spans="1:27" s="106" customFormat="1" x14ac:dyDescent="0.25">
      <c r="A35" s="62"/>
      <c r="B35" s="99" t="s">
        <v>165</v>
      </c>
      <c r="C35" s="100" t="s">
        <v>166</v>
      </c>
      <c r="D35" s="100" t="s">
        <v>167</v>
      </c>
      <c r="E35" s="99"/>
      <c r="F35" s="102">
        <v>45684</v>
      </c>
      <c r="G35" s="102">
        <v>45688</v>
      </c>
      <c r="H35" s="108"/>
      <c r="I35" s="105">
        <v>0.54166666666666663</v>
      </c>
      <c r="J35" s="102"/>
      <c r="K35" s="102"/>
      <c r="L35" s="102"/>
      <c r="M35" s="102"/>
      <c r="N35" s="102"/>
      <c r="O35" s="99" t="s">
        <v>120</v>
      </c>
      <c r="P35" s="99"/>
      <c r="Q35" s="103">
        <v>45</v>
      </c>
      <c r="R35" s="356">
        <v>5</v>
      </c>
      <c r="S35" s="103"/>
      <c r="T35" s="103"/>
      <c r="U35" s="15"/>
      <c r="V35" s="15"/>
      <c r="W35" s="15"/>
      <c r="X35" s="99"/>
      <c r="Y35" s="71">
        <f ca="1">Table210[[#This Row],[End Date]]+2-TODAY()</f>
        <v>158</v>
      </c>
      <c r="Z35" s="15">
        <f>IF(ISBLANK(Table210[[#This Row],[Roster Received By]]),1,0)</f>
        <v>1</v>
      </c>
      <c r="AA35" s="15">
        <f ca="1">IF(Table210[[#This Row],[Start Date]]&gt;TODAY(),1,)</f>
        <v>1</v>
      </c>
    </row>
    <row r="36" spans="1:27" s="135" customFormat="1" x14ac:dyDescent="0.25">
      <c r="A36" s="62"/>
      <c r="B36" s="99" t="s">
        <v>165</v>
      </c>
      <c r="C36" s="100" t="s">
        <v>166</v>
      </c>
      <c r="D36" s="100" t="s">
        <v>167</v>
      </c>
      <c r="E36" s="99"/>
      <c r="F36" s="102">
        <v>45698</v>
      </c>
      <c r="G36" s="102">
        <v>45702</v>
      </c>
      <c r="H36" s="108"/>
      <c r="I36" s="108">
        <v>0.33333333333333331</v>
      </c>
      <c r="J36" s="102"/>
      <c r="K36" s="102"/>
      <c r="L36" s="102"/>
      <c r="M36" s="102"/>
      <c r="N36" s="102"/>
      <c r="O36" s="99" t="s">
        <v>120</v>
      </c>
      <c r="P36" s="99"/>
      <c r="Q36" s="103">
        <v>45</v>
      </c>
      <c r="R36" s="356">
        <v>5</v>
      </c>
      <c r="S36" s="103"/>
      <c r="T36" s="103"/>
      <c r="U36" s="15"/>
      <c r="V36" s="15"/>
      <c r="W36" s="15"/>
      <c r="X36" s="99"/>
      <c r="Y36" s="71">
        <f ca="1">Table210[[#This Row],[End Date]]+2-TODAY()</f>
        <v>172</v>
      </c>
      <c r="Z36" s="15">
        <f>IF(ISBLANK(Table210[[#This Row],[Roster Received By]]),1,0)</f>
        <v>1</v>
      </c>
      <c r="AA36" s="15">
        <f ca="1">IF(Table210[[#This Row],[Start Date]]&gt;TODAY(),1,)</f>
        <v>1</v>
      </c>
    </row>
    <row r="37" spans="1:27" s="136" customFormat="1" ht="14.25" customHeight="1" x14ac:dyDescent="0.25">
      <c r="A37" s="62"/>
      <c r="B37" s="99" t="s">
        <v>165</v>
      </c>
      <c r="C37" s="100" t="s">
        <v>166</v>
      </c>
      <c r="D37" s="100" t="s">
        <v>167</v>
      </c>
      <c r="E37" s="99"/>
      <c r="F37" s="102">
        <v>45711</v>
      </c>
      <c r="G37" s="102">
        <v>45715</v>
      </c>
      <c r="H37" s="105"/>
      <c r="I37" s="105">
        <v>0.79166666666666663</v>
      </c>
      <c r="J37" s="102"/>
      <c r="K37" s="102"/>
      <c r="L37" s="102"/>
      <c r="M37" s="102"/>
      <c r="N37" s="102"/>
      <c r="O37" s="99" t="s">
        <v>120</v>
      </c>
      <c r="P37" s="99"/>
      <c r="Q37" s="103">
        <v>45</v>
      </c>
      <c r="R37" s="356">
        <v>5</v>
      </c>
      <c r="S37" s="103"/>
      <c r="T37" s="103"/>
      <c r="U37" s="15"/>
      <c r="V37" s="15"/>
      <c r="W37" s="15"/>
      <c r="X37" s="99"/>
      <c r="Y37" s="71">
        <f ca="1">Table210[[#This Row],[End Date]]+2-TODAY()</f>
        <v>185</v>
      </c>
      <c r="Z37" s="15">
        <f>IF(ISBLANK(Table210[[#This Row],[Roster Received By]]),1,0)</f>
        <v>1</v>
      </c>
      <c r="AA37" s="15">
        <f ca="1">IF(Table210[[#This Row],[Start Date]]&gt;TODAY(),1,)</f>
        <v>1</v>
      </c>
    </row>
    <row r="38" spans="1:27" s="106" customFormat="1" ht="14.25" customHeight="1" x14ac:dyDescent="0.25">
      <c r="A38" s="62"/>
      <c r="B38" s="99" t="s">
        <v>165</v>
      </c>
      <c r="C38" s="100" t="s">
        <v>166</v>
      </c>
      <c r="D38" s="100" t="s">
        <v>167</v>
      </c>
      <c r="E38" s="99"/>
      <c r="F38" s="102">
        <v>45726</v>
      </c>
      <c r="G38" s="102">
        <v>45730</v>
      </c>
      <c r="H38" s="105"/>
      <c r="I38" s="105">
        <v>0.54166666666666663</v>
      </c>
      <c r="J38" s="102"/>
      <c r="K38" s="102"/>
      <c r="L38" s="102"/>
      <c r="M38" s="102"/>
      <c r="N38" s="102"/>
      <c r="O38" s="99" t="s">
        <v>120</v>
      </c>
      <c r="P38" s="99"/>
      <c r="Q38" s="103">
        <v>45</v>
      </c>
      <c r="R38" s="356">
        <v>5</v>
      </c>
      <c r="S38" s="103"/>
      <c r="T38" s="103"/>
      <c r="U38" s="15"/>
      <c r="V38" s="15"/>
      <c r="W38" s="15"/>
      <c r="X38" s="99"/>
      <c r="Y38" s="71">
        <f ca="1">Table210[[#This Row],[End Date]]+2-TODAY()</f>
        <v>200</v>
      </c>
      <c r="Z38" s="15">
        <f>IF(ISBLANK(Table210[[#This Row],[Roster Received By]]),1,0)</f>
        <v>1</v>
      </c>
      <c r="AA38" s="15">
        <f ca="1">IF(Table210[[#This Row],[Start Date]]&gt;TODAY(),1,)</f>
        <v>1</v>
      </c>
    </row>
    <row r="39" spans="1:27" s="106" customFormat="1" ht="14.25" customHeight="1" x14ac:dyDescent="0.25">
      <c r="A39" s="62"/>
      <c r="B39" s="99" t="s">
        <v>165</v>
      </c>
      <c r="C39" s="100" t="s">
        <v>166</v>
      </c>
      <c r="D39" s="100" t="s">
        <v>167</v>
      </c>
      <c r="E39" s="99"/>
      <c r="F39" s="102">
        <v>45754</v>
      </c>
      <c r="G39" s="102">
        <v>45758</v>
      </c>
      <c r="H39" s="105"/>
      <c r="I39" s="105">
        <v>0.54166666666666663</v>
      </c>
      <c r="J39" s="102"/>
      <c r="K39" s="102"/>
      <c r="L39" s="102"/>
      <c r="M39" s="102"/>
      <c r="N39" s="102"/>
      <c r="O39" s="99" t="s">
        <v>120</v>
      </c>
      <c r="P39" s="99"/>
      <c r="Q39" s="103">
        <v>45</v>
      </c>
      <c r="R39" s="356">
        <v>5</v>
      </c>
      <c r="S39" s="103"/>
      <c r="T39" s="103"/>
      <c r="U39" s="15"/>
      <c r="V39" s="15"/>
      <c r="W39" s="15"/>
      <c r="X39" s="99"/>
      <c r="Y39" s="71">
        <f ca="1">Table210[[#This Row],[End Date]]+2-TODAY()</f>
        <v>228</v>
      </c>
      <c r="Z39" s="15">
        <f>IF(ISBLANK(Table210[[#This Row],[Roster Received By]]),1,0)</f>
        <v>1</v>
      </c>
      <c r="AA39" s="15">
        <f ca="1">IF(Table210[[#This Row],[Start Date]]&gt;TODAY(),1,)</f>
        <v>1</v>
      </c>
    </row>
    <row r="40" spans="1:27" s="106" customFormat="1" ht="14.25" customHeight="1" x14ac:dyDescent="0.25">
      <c r="A40" s="62"/>
      <c r="B40" s="99" t="s">
        <v>165</v>
      </c>
      <c r="C40" s="100" t="s">
        <v>166</v>
      </c>
      <c r="D40" s="100" t="s">
        <v>167</v>
      </c>
      <c r="E40" s="99"/>
      <c r="F40" s="102">
        <v>45782</v>
      </c>
      <c r="G40" s="102">
        <v>45786</v>
      </c>
      <c r="H40" s="105"/>
      <c r="I40" s="105">
        <v>0.33333333333333331</v>
      </c>
      <c r="J40" s="102"/>
      <c r="K40" s="102"/>
      <c r="L40" s="102"/>
      <c r="M40" s="102"/>
      <c r="N40" s="102"/>
      <c r="O40" s="99" t="s">
        <v>120</v>
      </c>
      <c r="P40" s="99"/>
      <c r="Q40" s="103">
        <v>45</v>
      </c>
      <c r="R40" s="356">
        <v>5</v>
      </c>
      <c r="S40" s="103"/>
      <c r="T40" s="103"/>
      <c r="U40" s="15"/>
      <c r="V40" s="15"/>
      <c r="W40" s="15"/>
      <c r="X40" s="99"/>
      <c r="Y40" s="71">
        <f ca="1">Table210[[#This Row],[End Date]]+2-TODAY()</f>
        <v>256</v>
      </c>
      <c r="Z40" s="15">
        <f>IF(ISBLANK(Table210[[#This Row],[Roster Received By]]),1,0)</f>
        <v>1</v>
      </c>
      <c r="AA40" s="15">
        <f ca="1">IF(Table210[[#This Row],[Start Date]]&gt;TODAY(),1,)</f>
        <v>1</v>
      </c>
    </row>
    <row r="41" spans="1:27" s="106" customFormat="1" ht="14.25" customHeight="1" x14ac:dyDescent="0.25">
      <c r="A41" s="62"/>
      <c r="B41" s="99" t="s">
        <v>165</v>
      </c>
      <c r="C41" s="100" t="s">
        <v>166</v>
      </c>
      <c r="D41" s="100" t="s">
        <v>167</v>
      </c>
      <c r="E41" s="99"/>
      <c r="F41" s="102">
        <v>45795</v>
      </c>
      <c r="G41" s="102">
        <v>45799</v>
      </c>
      <c r="H41" s="105"/>
      <c r="I41" s="105">
        <v>0.79166666666666663</v>
      </c>
      <c r="J41" s="102"/>
      <c r="K41" s="102"/>
      <c r="L41" s="102"/>
      <c r="M41" s="102"/>
      <c r="N41" s="102"/>
      <c r="O41" s="99" t="s">
        <v>120</v>
      </c>
      <c r="P41" s="99"/>
      <c r="Q41" s="103">
        <v>45</v>
      </c>
      <c r="R41" s="356">
        <v>5</v>
      </c>
      <c r="S41" s="103"/>
      <c r="T41" s="103"/>
      <c r="U41" s="15"/>
      <c r="V41" s="15"/>
      <c r="W41" s="15"/>
      <c r="X41" s="99"/>
      <c r="Y41" s="71">
        <f ca="1">Table210[[#This Row],[End Date]]+2-TODAY()</f>
        <v>269</v>
      </c>
      <c r="Z41" s="15">
        <f>IF(ISBLANK(Table210[[#This Row],[Roster Received By]]),1,0)</f>
        <v>1</v>
      </c>
      <c r="AA41" s="15">
        <f ca="1">IF(Table210[[#This Row],[Start Date]]&gt;TODAY(),1,)</f>
        <v>1</v>
      </c>
    </row>
    <row r="42" spans="1:27" s="106" customFormat="1" ht="14.25" customHeight="1" x14ac:dyDescent="0.25">
      <c r="A42" s="62"/>
      <c r="B42" s="99" t="s">
        <v>165</v>
      </c>
      <c r="C42" s="100" t="s">
        <v>166</v>
      </c>
      <c r="D42" s="100" t="s">
        <v>167</v>
      </c>
      <c r="E42" s="99"/>
      <c r="F42" s="102">
        <v>45831</v>
      </c>
      <c r="G42" s="102">
        <v>45835</v>
      </c>
      <c r="H42" s="108"/>
      <c r="I42" s="108">
        <v>0.54166666666666663</v>
      </c>
      <c r="J42" s="102"/>
      <c r="K42" s="102"/>
      <c r="L42" s="102"/>
      <c r="M42" s="102"/>
      <c r="N42" s="102"/>
      <c r="O42" s="99" t="s">
        <v>120</v>
      </c>
      <c r="P42" s="99"/>
      <c r="Q42" s="103">
        <v>45</v>
      </c>
      <c r="R42" s="356">
        <v>5</v>
      </c>
      <c r="S42" s="103"/>
      <c r="T42" s="103"/>
      <c r="U42" s="15"/>
      <c r="V42" s="15"/>
      <c r="W42" s="15"/>
      <c r="X42" s="99"/>
      <c r="Y42" s="71">
        <f ca="1">Table210[[#This Row],[End Date]]+2-TODAY()</f>
        <v>305</v>
      </c>
      <c r="Z42" s="15">
        <f>IF(ISBLANK(Table210[[#This Row],[Roster Received By]]),1,0)</f>
        <v>1</v>
      </c>
      <c r="AA42" s="15">
        <f ca="1">IF(Table210[[#This Row],[Start Date]]&gt;TODAY(),1,)</f>
        <v>1</v>
      </c>
    </row>
    <row r="43" spans="1:27" s="106" customFormat="1" ht="14.25" customHeight="1" x14ac:dyDescent="0.25">
      <c r="A43" s="62"/>
      <c r="B43" s="99" t="s">
        <v>165</v>
      </c>
      <c r="C43" s="100" t="s">
        <v>166</v>
      </c>
      <c r="D43" s="100" t="s">
        <v>167</v>
      </c>
      <c r="E43" s="99"/>
      <c r="F43" s="102">
        <v>45845</v>
      </c>
      <c r="G43" s="102">
        <v>45849</v>
      </c>
      <c r="H43" s="108"/>
      <c r="I43" s="108">
        <v>0.54166666666666663</v>
      </c>
      <c r="J43" s="102"/>
      <c r="K43" s="102"/>
      <c r="L43" s="102"/>
      <c r="M43" s="102"/>
      <c r="N43" s="102"/>
      <c r="O43" s="99" t="s">
        <v>120</v>
      </c>
      <c r="P43" s="99"/>
      <c r="Q43" s="103">
        <v>45</v>
      </c>
      <c r="R43" s="356">
        <v>5</v>
      </c>
      <c r="S43" s="103"/>
      <c r="T43" s="103"/>
      <c r="U43" s="15"/>
      <c r="V43" s="15"/>
      <c r="W43" s="100"/>
      <c r="X43" s="99"/>
      <c r="Y43" s="71">
        <f ca="1">Table210[[#This Row],[End Date]]+2-TODAY()</f>
        <v>319</v>
      </c>
      <c r="Z43" s="15">
        <f>IF(ISBLANK(Table210[[#This Row],[Roster Received By]]),1,0)</f>
        <v>1</v>
      </c>
      <c r="AA43" s="15">
        <f ca="1">IF(Table210[[#This Row],[Start Date]]&gt;TODAY(),1,)</f>
        <v>1</v>
      </c>
    </row>
    <row r="44" spans="1:27" s="106" customFormat="1" ht="14.25" customHeight="1" x14ac:dyDescent="0.25">
      <c r="A44" s="62"/>
      <c r="B44" s="99" t="s">
        <v>165</v>
      </c>
      <c r="C44" s="100" t="s">
        <v>166</v>
      </c>
      <c r="D44" s="100" t="s">
        <v>167</v>
      </c>
      <c r="E44" s="99"/>
      <c r="F44" s="102">
        <v>45866</v>
      </c>
      <c r="G44" s="102">
        <v>45870</v>
      </c>
      <c r="H44" s="108"/>
      <c r="I44" s="108">
        <v>0.54166666666666663</v>
      </c>
      <c r="J44" s="102"/>
      <c r="K44" s="102"/>
      <c r="L44" s="102"/>
      <c r="M44" s="102"/>
      <c r="N44" s="102"/>
      <c r="O44" s="99" t="s">
        <v>120</v>
      </c>
      <c r="P44" s="99"/>
      <c r="Q44" s="103">
        <v>45</v>
      </c>
      <c r="R44" s="356">
        <v>5</v>
      </c>
      <c r="S44" s="103"/>
      <c r="T44" s="103"/>
      <c r="U44" s="15"/>
      <c r="V44" s="15"/>
      <c r="W44" s="100"/>
      <c r="X44" s="99"/>
      <c r="Y44" s="71">
        <f ca="1">Table210[[#This Row],[End Date]]+2-TODAY()</f>
        <v>340</v>
      </c>
      <c r="Z44" s="15">
        <f>IF(ISBLANK(Table210[[#This Row],[Roster Received By]]),1,0)</f>
        <v>1</v>
      </c>
      <c r="AA44" s="15">
        <f ca="1">IF(Table210[[#This Row],[Start Date]]&gt;TODAY(),1,)</f>
        <v>1</v>
      </c>
    </row>
    <row r="45" spans="1:27" s="106" customFormat="1" ht="14.25" customHeight="1" x14ac:dyDescent="0.25">
      <c r="A45" s="62"/>
      <c r="B45" s="99" t="s">
        <v>165</v>
      </c>
      <c r="C45" s="100" t="s">
        <v>166</v>
      </c>
      <c r="D45" s="100" t="s">
        <v>167</v>
      </c>
      <c r="E45" s="99"/>
      <c r="F45" s="102">
        <v>45886</v>
      </c>
      <c r="G45" s="102">
        <v>45890</v>
      </c>
      <c r="H45" s="105"/>
      <c r="I45" s="105">
        <v>0.79166666666666663</v>
      </c>
      <c r="J45" s="102"/>
      <c r="K45" s="102"/>
      <c r="L45" s="102"/>
      <c r="M45" s="102"/>
      <c r="N45" s="102"/>
      <c r="O45" s="99" t="s">
        <v>120</v>
      </c>
      <c r="P45" s="99"/>
      <c r="Q45" s="103">
        <v>45</v>
      </c>
      <c r="R45" s="356">
        <v>5</v>
      </c>
      <c r="S45" s="103"/>
      <c r="T45" s="103"/>
      <c r="U45" s="15"/>
      <c r="V45" s="15"/>
      <c r="W45" s="15"/>
      <c r="X45" s="99"/>
      <c r="Y45" s="71">
        <f ca="1">Table210[[#This Row],[End Date]]+2-TODAY()</f>
        <v>360</v>
      </c>
      <c r="Z45" s="15">
        <f>IF(ISBLANK(Table210[[#This Row],[Roster Received By]]),1,0)</f>
        <v>1</v>
      </c>
      <c r="AA45" s="15">
        <f ca="1">IF(Table210[[#This Row],[Start Date]]&gt;TODAY(),1,)</f>
        <v>1</v>
      </c>
    </row>
    <row r="46" spans="1:27" s="106" customFormat="1" ht="16.5" customHeight="1" x14ac:dyDescent="0.25">
      <c r="A46" s="62"/>
      <c r="B46" s="137" t="s">
        <v>165</v>
      </c>
      <c r="C46" s="100" t="s">
        <v>166</v>
      </c>
      <c r="D46" s="100" t="s">
        <v>167</v>
      </c>
      <c r="E46" s="99"/>
      <c r="F46" s="102">
        <v>45915</v>
      </c>
      <c r="G46" s="102">
        <v>45919</v>
      </c>
      <c r="H46" s="102"/>
      <c r="I46" s="101">
        <v>0.33333333333333331</v>
      </c>
      <c r="J46" s="105"/>
      <c r="K46" s="105"/>
      <c r="L46" s="105"/>
      <c r="M46" s="105"/>
      <c r="N46" s="105"/>
      <c r="O46" s="99" t="s">
        <v>120</v>
      </c>
      <c r="P46" s="99"/>
      <c r="Q46" s="15">
        <v>45</v>
      </c>
      <c r="R46" s="228">
        <v>5</v>
      </c>
      <c r="S46" s="15"/>
      <c r="T46" s="103"/>
      <c r="U46" s="15"/>
      <c r="V46" s="15"/>
      <c r="W46" s="15"/>
      <c r="X46" s="99"/>
      <c r="Y46" s="71">
        <f ca="1">Table210[[#This Row],[End Date]]+2-TODAY()</f>
        <v>389</v>
      </c>
      <c r="Z46" s="15">
        <f>IF(ISBLANK(Table210[[#This Row],[Roster Received By]]),1,0)</f>
        <v>1</v>
      </c>
      <c r="AA46" s="15">
        <f ca="1">IF(Table210[[#This Row],[Start Date]]&gt;TODAY(),1,)</f>
        <v>1</v>
      </c>
    </row>
    <row r="47" spans="1:27" s="106" customFormat="1" ht="16.5" customHeight="1" x14ac:dyDescent="0.25">
      <c r="A47" s="152" t="s">
        <v>376</v>
      </c>
      <c r="B47" s="152" t="s">
        <v>258</v>
      </c>
      <c r="C47" s="154" t="s">
        <v>258</v>
      </c>
      <c r="D47" s="154" t="s">
        <v>258</v>
      </c>
      <c r="E47" s="152"/>
      <c r="F47" s="167">
        <v>45579</v>
      </c>
      <c r="G47" s="155">
        <v>45579</v>
      </c>
      <c r="H47" s="155"/>
      <c r="I47" s="156"/>
      <c r="J47" s="158"/>
      <c r="K47" s="158"/>
      <c r="L47" s="158"/>
      <c r="M47" s="158"/>
      <c r="N47" s="158"/>
      <c r="O47" s="152"/>
      <c r="P47" s="152"/>
      <c r="Q47" s="157">
        <v>0</v>
      </c>
      <c r="R47" s="157">
        <v>0</v>
      </c>
      <c r="S47" s="15"/>
      <c r="T47" s="103"/>
      <c r="U47" s="15"/>
      <c r="V47" s="15"/>
      <c r="W47" s="15"/>
      <c r="X47" s="99"/>
      <c r="Y47" s="71">
        <f ca="1">Table210[[#This Row],[End Date]]+2-TODAY()</f>
        <v>49</v>
      </c>
      <c r="Z47" s="15">
        <f>IF(ISBLANK(Table210[[#This Row],[Roster Received By]]),1,0)</f>
        <v>1</v>
      </c>
      <c r="AA47" s="15">
        <f ca="1">IF(Table210[[#This Row],[Start Date]]&gt;TODAY(),1,)</f>
        <v>1</v>
      </c>
    </row>
    <row r="48" spans="1:27" s="106" customFormat="1" ht="14.25" customHeight="1" x14ac:dyDescent="0.25">
      <c r="A48" s="151" t="s">
        <v>378</v>
      </c>
      <c r="B48" s="152" t="s">
        <v>258</v>
      </c>
      <c r="C48" s="154" t="s">
        <v>258</v>
      </c>
      <c r="D48" s="154" t="s">
        <v>258</v>
      </c>
      <c r="E48" s="181"/>
      <c r="F48" s="155">
        <v>45607</v>
      </c>
      <c r="G48" s="155">
        <v>45607</v>
      </c>
      <c r="H48" s="158"/>
      <c r="I48" s="158"/>
      <c r="J48" s="155"/>
      <c r="K48" s="155"/>
      <c r="L48" s="155"/>
      <c r="M48" s="155"/>
      <c r="N48" s="155"/>
      <c r="O48" s="152"/>
      <c r="P48" s="152"/>
      <c r="Q48" s="157">
        <v>0</v>
      </c>
      <c r="R48" s="157">
        <v>0</v>
      </c>
      <c r="S48" s="157"/>
      <c r="T48" s="182"/>
      <c r="U48" s="157"/>
      <c r="V48" s="157"/>
      <c r="W48" s="154"/>
      <c r="X48" s="152"/>
      <c r="Y48" s="183">
        <f ca="1">Table210[[#This Row],[End Date]]+2-TODAY()</f>
        <v>77</v>
      </c>
      <c r="Z48" s="157">
        <f>IF(ISBLANK(Table210[[#This Row],[Roster Received By]]),1,0)</f>
        <v>1</v>
      </c>
      <c r="AA48" s="157">
        <f ca="1">IF(Table210[[#This Row],[Start Date]]&gt;TODAY(),1,)</f>
        <v>1</v>
      </c>
    </row>
    <row r="49" spans="1:27" s="106" customFormat="1" ht="14.25" customHeight="1" x14ac:dyDescent="0.25">
      <c r="A49" s="151" t="s">
        <v>380</v>
      </c>
      <c r="B49" s="152" t="s">
        <v>258</v>
      </c>
      <c r="C49" s="154" t="s">
        <v>258</v>
      </c>
      <c r="D49" s="154" t="s">
        <v>258</v>
      </c>
      <c r="E49" s="152"/>
      <c r="F49" s="155">
        <v>45624</v>
      </c>
      <c r="G49" s="155">
        <v>45624</v>
      </c>
      <c r="H49" s="184"/>
      <c r="I49" s="158"/>
      <c r="J49" s="155"/>
      <c r="K49" s="155"/>
      <c r="L49" s="155"/>
      <c r="M49" s="155"/>
      <c r="N49" s="155"/>
      <c r="O49" s="152"/>
      <c r="P49" s="152"/>
      <c r="Q49" s="157">
        <v>0</v>
      </c>
      <c r="R49" s="157">
        <v>0</v>
      </c>
      <c r="S49" s="182"/>
      <c r="T49" s="182"/>
      <c r="U49" s="157"/>
      <c r="V49" s="157"/>
      <c r="W49" s="157"/>
      <c r="X49" s="152"/>
      <c r="Y49" s="183">
        <f ca="1">Table210[[#This Row],[End Date]]+2-TODAY()</f>
        <v>94</v>
      </c>
      <c r="Z49" s="157">
        <f>IF(ISBLANK(Table210[[#This Row],[Roster Received By]]),1,0)</f>
        <v>1</v>
      </c>
      <c r="AA49" s="157">
        <f ca="1">IF(Table210[[#This Row],[Start Date]]&gt;TODAY(),1,)</f>
        <v>1</v>
      </c>
    </row>
    <row r="50" spans="1:27" s="106" customFormat="1" ht="14.25" customHeight="1" x14ac:dyDescent="0.25">
      <c r="A50" s="151" t="s">
        <v>383</v>
      </c>
      <c r="B50" s="152" t="s">
        <v>258</v>
      </c>
      <c r="C50" s="154" t="s">
        <v>258</v>
      </c>
      <c r="D50" s="154" t="s">
        <v>258</v>
      </c>
      <c r="E50" s="152"/>
      <c r="F50" s="155">
        <v>45651</v>
      </c>
      <c r="G50" s="155">
        <v>45651</v>
      </c>
      <c r="H50" s="155"/>
      <c r="I50" s="156"/>
      <c r="J50" s="156"/>
      <c r="K50" s="156"/>
      <c r="L50" s="156"/>
      <c r="M50" s="156"/>
      <c r="N50" s="156"/>
      <c r="O50" s="152"/>
      <c r="P50" s="152"/>
      <c r="Q50" s="157">
        <v>0</v>
      </c>
      <c r="R50" s="157">
        <v>0</v>
      </c>
      <c r="S50" s="157"/>
      <c r="T50" s="182"/>
      <c r="U50" s="157"/>
      <c r="V50" s="157"/>
      <c r="W50" s="157"/>
      <c r="X50" s="152"/>
      <c r="Y50" s="183">
        <f ca="1">Table210[[#This Row],[End Date]]+2-TODAY()</f>
        <v>121</v>
      </c>
      <c r="Z50" s="157">
        <f>IF(ISBLANK(Table210[[#This Row],[Roster Received By]]),1,0)</f>
        <v>1</v>
      </c>
      <c r="AA50" s="157">
        <f ca="1">IF(Table210[[#This Row],[Start Date]]&gt;TODAY(),1,)</f>
        <v>1</v>
      </c>
    </row>
    <row r="51" spans="1:27" s="106" customFormat="1" ht="14.25" customHeight="1" x14ac:dyDescent="0.25">
      <c r="A51" s="152" t="s">
        <v>384</v>
      </c>
      <c r="B51" s="152" t="s">
        <v>258</v>
      </c>
      <c r="C51" s="154" t="s">
        <v>258</v>
      </c>
      <c r="D51" s="154" t="s">
        <v>258</v>
      </c>
      <c r="E51" s="181"/>
      <c r="F51" s="155">
        <v>45658</v>
      </c>
      <c r="G51" s="155">
        <v>45658</v>
      </c>
      <c r="H51" s="184"/>
      <c r="I51" s="184"/>
      <c r="J51" s="155"/>
      <c r="K51" s="155"/>
      <c r="L51" s="155"/>
      <c r="M51" s="155"/>
      <c r="N51" s="155"/>
      <c r="O51" s="152"/>
      <c r="P51" s="152"/>
      <c r="Q51" s="157">
        <v>0</v>
      </c>
      <c r="R51" s="157">
        <v>0</v>
      </c>
      <c r="S51" s="157"/>
      <c r="T51" s="182"/>
      <c r="U51" s="157"/>
      <c r="V51" s="157"/>
      <c r="W51" s="157"/>
      <c r="X51" s="152"/>
      <c r="Y51" s="183">
        <f ca="1">Table210[[#This Row],[End Date]]+2-TODAY()</f>
        <v>128</v>
      </c>
      <c r="Z51" s="157">
        <f>IF(ISBLANK(Table210[[#This Row],[Roster Received By]]),1,0)</f>
        <v>1</v>
      </c>
      <c r="AA51" s="157">
        <f ca="1">IF(Table210[[#This Row],[Start Date]]&gt;TODAY(),1,)</f>
        <v>1</v>
      </c>
    </row>
    <row r="52" spans="1:27" s="138" customFormat="1" ht="14.25" customHeight="1" x14ac:dyDescent="0.25">
      <c r="A52" s="152" t="s">
        <v>386</v>
      </c>
      <c r="B52" s="152" t="s">
        <v>258</v>
      </c>
      <c r="C52" s="154" t="s">
        <v>258</v>
      </c>
      <c r="D52" s="154" t="s">
        <v>258</v>
      </c>
      <c r="E52" s="152"/>
      <c r="F52" s="155">
        <v>45677</v>
      </c>
      <c r="G52" s="155">
        <v>45677</v>
      </c>
      <c r="H52" s="184"/>
      <c r="I52" s="158"/>
      <c r="J52" s="155"/>
      <c r="K52" s="155"/>
      <c r="L52" s="155"/>
      <c r="M52" s="155"/>
      <c r="N52" s="155"/>
      <c r="O52" s="152"/>
      <c r="P52" s="152"/>
      <c r="Q52" s="157">
        <v>0</v>
      </c>
      <c r="R52" s="157">
        <v>0</v>
      </c>
      <c r="S52" s="182"/>
      <c r="T52" s="182"/>
      <c r="U52" s="157"/>
      <c r="V52" s="157"/>
      <c r="W52" s="154"/>
      <c r="X52" s="152"/>
      <c r="Y52" s="183">
        <f ca="1">Table210[[#This Row],[End Date]]+2-TODAY()</f>
        <v>147</v>
      </c>
      <c r="Z52" s="157">
        <f>IF(ISBLANK(Table210[[#This Row],[Roster Received By]]),1,0)</f>
        <v>1</v>
      </c>
      <c r="AA52" s="157">
        <f ca="1">IF(Table210[[#This Row],[Start Date]]&gt;TODAY(),1,)</f>
        <v>1</v>
      </c>
    </row>
    <row r="53" spans="1:27" s="106" customFormat="1" ht="16.5" customHeight="1" x14ac:dyDescent="0.25">
      <c r="A53" s="151" t="s">
        <v>390</v>
      </c>
      <c r="B53" s="152" t="s">
        <v>258</v>
      </c>
      <c r="C53" s="154" t="s">
        <v>258</v>
      </c>
      <c r="D53" s="154" t="s">
        <v>258</v>
      </c>
      <c r="E53" s="152"/>
      <c r="F53" s="155">
        <v>45705</v>
      </c>
      <c r="G53" s="155">
        <v>45705</v>
      </c>
      <c r="H53" s="158"/>
      <c r="I53" s="158"/>
      <c r="J53" s="158"/>
      <c r="K53" s="158"/>
      <c r="L53" s="158"/>
      <c r="M53" s="158"/>
      <c r="N53" s="158"/>
      <c r="O53" s="152"/>
      <c r="P53" s="152"/>
      <c r="Q53" s="157">
        <v>0</v>
      </c>
      <c r="R53" s="157">
        <v>0</v>
      </c>
      <c r="S53" s="157"/>
      <c r="T53" s="182"/>
      <c r="U53" s="157"/>
      <c r="V53" s="157"/>
      <c r="W53" s="157"/>
      <c r="X53" s="152"/>
      <c r="Y53" s="183">
        <f ca="1">Table210[[#This Row],[End Date]]+2-TODAY()</f>
        <v>175</v>
      </c>
      <c r="Z53" s="157">
        <f>IF(ISBLANK(Table210[[#This Row],[Roster Received By]]),1,0)</f>
        <v>1</v>
      </c>
      <c r="AA53" s="157">
        <f ca="1">IF(Table210[[#This Row],[Start Date]]&gt;TODAY(),1,)</f>
        <v>1</v>
      </c>
    </row>
    <row r="54" spans="1:27" s="106" customFormat="1" ht="16.5" customHeight="1" x14ac:dyDescent="0.25">
      <c r="A54" s="151" t="s">
        <v>410</v>
      </c>
      <c r="B54" s="152" t="s">
        <v>258</v>
      </c>
      <c r="C54" s="154" t="s">
        <v>258</v>
      </c>
      <c r="D54" s="154" t="s">
        <v>258</v>
      </c>
      <c r="E54" s="181"/>
      <c r="F54" s="155">
        <v>45803</v>
      </c>
      <c r="G54" s="155">
        <v>45803</v>
      </c>
      <c r="H54" s="184"/>
      <c r="I54" s="184"/>
      <c r="J54" s="155"/>
      <c r="K54" s="155"/>
      <c r="L54" s="155"/>
      <c r="M54" s="155"/>
      <c r="N54" s="155"/>
      <c r="O54" s="152"/>
      <c r="P54" s="152"/>
      <c r="Q54" s="157">
        <v>0</v>
      </c>
      <c r="R54" s="157">
        <v>0</v>
      </c>
      <c r="S54" s="157"/>
      <c r="T54" s="182"/>
      <c r="U54" s="157"/>
      <c r="V54" s="157"/>
      <c r="W54" s="157"/>
      <c r="X54" s="152"/>
      <c r="Y54" s="183">
        <f ca="1">Table210[[#This Row],[End Date]]+2-TODAY()</f>
        <v>273</v>
      </c>
      <c r="Z54" s="157">
        <f>IF(ISBLANK(Table210[[#This Row],[Roster Received By]]),1,0)</f>
        <v>1</v>
      </c>
      <c r="AA54" s="157">
        <f ca="1">IF(Table210[[#This Row],[Start Date]]&gt;TODAY(),1,)</f>
        <v>1</v>
      </c>
    </row>
    <row r="55" spans="1:27" s="106" customFormat="1" ht="14.25" customHeight="1" x14ac:dyDescent="0.25">
      <c r="A55" s="151" t="s">
        <v>417</v>
      </c>
      <c r="B55" s="152" t="s">
        <v>258</v>
      </c>
      <c r="C55" s="154" t="s">
        <v>258</v>
      </c>
      <c r="D55" s="154" t="s">
        <v>258</v>
      </c>
      <c r="E55" s="181"/>
      <c r="F55" s="155">
        <v>45827</v>
      </c>
      <c r="G55" s="155">
        <v>45827</v>
      </c>
      <c r="H55" s="184"/>
      <c r="I55" s="184"/>
      <c r="J55" s="155"/>
      <c r="K55" s="155"/>
      <c r="L55" s="155"/>
      <c r="M55" s="155"/>
      <c r="N55" s="155"/>
      <c r="O55" s="152"/>
      <c r="P55" s="152"/>
      <c r="Q55" s="157">
        <v>0</v>
      </c>
      <c r="R55" s="157">
        <v>0</v>
      </c>
      <c r="S55" s="157"/>
      <c r="T55" s="182"/>
      <c r="U55" s="157"/>
      <c r="V55" s="157"/>
      <c r="W55" s="157"/>
      <c r="X55" s="152"/>
      <c r="Y55" s="183">
        <f ca="1">Table210[[#This Row],[End Date]]+2-TODAY()</f>
        <v>297</v>
      </c>
      <c r="Z55" s="157">
        <f>IF(ISBLANK(Table210[[#This Row],[Roster Received By]]),1,0)</f>
        <v>1</v>
      </c>
      <c r="AA55" s="157">
        <f ca="1">IF(Table210[[#This Row],[Start Date]]&gt;TODAY(),1,)</f>
        <v>1</v>
      </c>
    </row>
    <row r="56" spans="1:27" s="106" customFormat="1" ht="14.25" customHeight="1" x14ac:dyDescent="0.25">
      <c r="A56" s="151" t="s">
        <v>420</v>
      </c>
      <c r="B56" s="152" t="s">
        <v>258</v>
      </c>
      <c r="C56" s="154" t="s">
        <v>258</v>
      </c>
      <c r="D56" s="154" t="s">
        <v>258</v>
      </c>
      <c r="E56" s="181"/>
      <c r="F56" s="155">
        <v>45842</v>
      </c>
      <c r="G56" s="155">
        <v>45842</v>
      </c>
      <c r="H56" s="184"/>
      <c r="I56" s="184"/>
      <c r="J56" s="155"/>
      <c r="K56" s="155"/>
      <c r="L56" s="155"/>
      <c r="M56" s="155"/>
      <c r="N56" s="155"/>
      <c r="O56" s="152"/>
      <c r="P56" s="152"/>
      <c r="Q56" s="157">
        <v>0</v>
      </c>
      <c r="R56" s="157">
        <v>0</v>
      </c>
      <c r="S56" s="157"/>
      <c r="T56" s="182"/>
      <c r="U56" s="157"/>
      <c r="V56" s="157"/>
      <c r="W56" s="154"/>
      <c r="X56" s="152"/>
      <c r="Y56" s="183">
        <f ca="1">Table210[[#This Row],[End Date]]+2-TODAY()</f>
        <v>312</v>
      </c>
      <c r="Z56" s="157">
        <f>IF(ISBLANK(Table210[[#This Row],[Roster Received By]]),1,0)</f>
        <v>1</v>
      </c>
      <c r="AA56" s="157">
        <f ca="1">IF(Table210[[#This Row],[Start Date]]&gt;TODAY(),1,)</f>
        <v>1</v>
      </c>
    </row>
    <row r="57" spans="1:27" s="106" customFormat="1" ht="14.25" customHeight="1" x14ac:dyDescent="0.25">
      <c r="A57" s="151" t="s">
        <v>426</v>
      </c>
      <c r="B57" s="185" t="s">
        <v>258</v>
      </c>
      <c r="C57" s="154" t="s">
        <v>258</v>
      </c>
      <c r="D57" s="154" t="s">
        <v>258</v>
      </c>
      <c r="E57" s="181"/>
      <c r="F57" s="155">
        <v>45901</v>
      </c>
      <c r="G57" s="155">
        <v>45901</v>
      </c>
      <c r="H57" s="158"/>
      <c r="I57" s="158"/>
      <c r="J57" s="155"/>
      <c r="K57" s="155"/>
      <c r="L57" s="155"/>
      <c r="M57" s="155"/>
      <c r="N57" s="155"/>
      <c r="O57" s="152"/>
      <c r="P57" s="152"/>
      <c r="Q57" s="157">
        <v>0</v>
      </c>
      <c r="R57" s="157">
        <v>0</v>
      </c>
      <c r="S57" s="157"/>
      <c r="T57" s="182"/>
      <c r="U57" s="157"/>
      <c r="V57" s="157"/>
      <c r="W57" s="157"/>
      <c r="X57" s="152"/>
      <c r="Y57" s="183">
        <f ca="1">Table210[[#This Row],[End Date]]+2-TODAY()</f>
        <v>371</v>
      </c>
      <c r="Z57" s="157">
        <f>IF(ISBLANK(Table210[[#This Row],[Roster Received By]]),1,0)</f>
        <v>1</v>
      </c>
      <c r="AA57" s="157">
        <f ca="1">IF(Table210[[#This Row],[Start Date]]&gt;TODAY(),1,)</f>
        <v>1</v>
      </c>
    </row>
    <row r="58" spans="1:27" s="106" customFormat="1" ht="16.5" customHeight="1" x14ac:dyDescent="0.25">
      <c r="A58" s="100"/>
      <c r="B58" s="116" t="s">
        <v>39</v>
      </c>
      <c r="C58" s="100" t="s">
        <v>225</v>
      </c>
      <c r="D58" s="100" t="s">
        <v>226</v>
      </c>
      <c r="E58" s="99"/>
      <c r="F58" s="102">
        <v>45565</v>
      </c>
      <c r="G58" s="102">
        <v>45568</v>
      </c>
      <c r="H58" s="105"/>
      <c r="I58" s="105">
        <v>0.54166666666666663</v>
      </c>
      <c r="J58" s="102"/>
      <c r="K58" s="102"/>
      <c r="L58" s="102"/>
      <c r="M58" s="102"/>
      <c r="N58" s="102"/>
      <c r="O58" s="99" t="s">
        <v>79</v>
      </c>
      <c r="P58" s="99"/>
      <c r="Q58" s="231">
        <v>45</v>
      </c>
      <c r="R58" s="356">
        <v>4</v>
      </c>
      <c r="S58" s="231"/>
      <c r="T58" s="231"/>
      <c r="U58" s="107"/>
      <c r="V58" s="107"/>
      <c r="W58" s="107"/>
      <c r="X58" s="107"/>
      <c r="Y58" s="357">
        <f ca="1">Table210[[#This Row],[End Date]]+2-TODAY()</f>
        <v>38</v>
      </c>
      <c r="Z58" s="100">
        <f>IF(ISBLANK(Table210[[#This Row],[Roster Received By]]),1,0)</f>
        <v>1</v>
      </c>
      <c r="AA58" s="100">
        <f ca="1">IF(Table210[[#This Row],[Start Date]]&gt;TODAY(),1,)</f>
        <v>1</v>
      </c>
    </row>
    <row r="59" spans="1:27" s="106" customFormat="1" ht="16.5" customHeight="1" x14ac:dyDescent="0.25">
      <c r="A59" s="99"/>
      <c r="B59" s="117" t="s">
        <v>39</v>
      </c>
      <c r="C59" s="100" t="s">
        <v>225</v>
      </c>
      <c r="D59" s="100" t="s">
        <v>226</v>
      </c>
      <c r="E59" s="99"/>
      <c r="F59" s="102">
        <v>45585</v>
      </c>
      <c r="G59" s="102">
        <v>45589</v>
      </c>
      <c r="H59" s="105"/>
      <c r="I59" s="105">
        <v>0.79166666666666663</v>
      </c>
      <c r="J59" s="102"/>
      <c r="K59" s="102"/>
      <c r="L59" s="102"/>
      <c r="M59" s="102"/>
      <c r="N59" s="102"/>
      <c r="O59" s="99" t="s">
        <v>79</v>
      </c>
      <c r="P59" s="99"/>
      <c r="Q59" s="103">
        <v>45</v>
      </c>
      <c r="R59" s="356">
        <v>4</v>
      </c>
      <c r="S59" s="103"/>
      <c r="T59" s="103"/>
      <c r="U59" s="15"/>
      <c r="V59" s="15"/>
      <c r="W59" s="15"/>
      <c r="X59" s="99"/>
      <c r="Y59" s="71">
        <f ca="1">Table210[[#This Row],[End Date]]+2-TODAY()</f>
        <v>59</v>
      </c>
      <c r="Z59" s="15">
        <f>IF(ISBLANK(Table210[[#This Row],[Roster Received By]]),1,0)</f>
        <v>1</v>
      </c>
      <c r="AA59" s="15">
        <f ca="1">IF(Table210[[#This Row],[Start Date]]&gt;TODAY(),1,)</f>
        <v>1</v>
      </c>
    </row>
    <row r="60" spans="1:27" s="106" customFormat="1" ht="14.25" customHeight="1" x14ac:dyDescent="0.25">
      <c r="A60" s="62"/>
      <c r="B60" s="117" t="s">
        <v>39</v>
      </c>
      <c r="C60" s="100" t="s">
        <v>225</v>
      </c>
      <c r="D60" s="100" t="s">
        <v>226</v>
      </c>
      <c r="E60" s="99"/>
      <c r="F60" s="102">
        <v>45614</v>
      </c>
      <c r="G60" s="102">
        <v>45617</v>
      </c>
      <c r="H60" s="105"/>
      <c r="I60" s="105">
        <v>0.33333333333333331</v>
      </c>
      <c r="J60" s="102"/>
      <c r="K60" s="102"/>
      <c r="L60" s="102"/>
      <c r="M60" s="102"/>
      <c r="N60" s="102"/>
      <c r="O60" s="99" t="s">
        <v>79</v>
      </c>
      <c r="P60" s="99"/>
      <c r="Q60" s="103">
        <v>45</v>
      </c>
      <c r="R60" s="356">
        <v>4</v>
      </c>
      <c r="S60" s="103"/>
      <c r="T60" s="103"/>
      <c r="U60" s="15"/>
      <c r="V60" s="15"/>
      <c r="W60" s="100"/>
      <c r="X60" s="99"/>
      <c r="Y60" s="71">
        <f ca="1">Table210[[#This Row],[End Date]]+2-TODAY()</f>
        <v>87</v>
      </c>
      <c r="Z60" s="15">
        <f>IF(ISBLANK(Table210[[#This Row],[Roster Received By]]),1,0)</f>
        <v>1</v>
      </c>
      <c r="AA60" s="15">
        <f ca="1">IF(Table210[[#This Row],[Start Date]]&gt;TODAY(),1,)</f>
        <v>1</v>
      </c>
    </row>
    <row r="61" spans="1:27" s="106" customFormat="1" ht="14.25" customHeight="1" x14ac:dyDescent="0.25">
      <c r="A61" s="62"/>
      <c r="B61" s="117" t="s">
        <v>39</v>
      </c>
      <c r="C61" s="100" t="s">
        <v>225</v>
      </c>
      <c r="D61" s="100" t="s">
        <v>226</v>
      </c>
      <c r="E61" s="99"/>
      <c r="F61" s="102">
        <v>45628</v>
      </c>
      <c r="G61" s="102">
        <v>45631</v>
      </c>
      <c r="H61" s="108"/>
      <c r="I61" s="105">
        <v>0.54166666666666663</v>
      </c>
      <c r="J61" s="102"/>
      <c r="K61" s="102"/>
      <c r="L61" s="102"/>
      <c r="M61" s="102"/>
      <c r="N61" s="102"/>
      <c r="O61" s="99" t="s">
        <v>79</v>
      </c>
      <c r="P61" s="99"/>
      <c r="Q61" s="103">
        <v>45</v>
      </c>
      <c r="R61" s="356">
        <v>4</v>
      </c>
      <c r="S61" s="103"/>
      <c r="T61" s="103"/>
      <c r="U61" s="15"/>
      <c r="V61" s="15"/>
      <c r="W61" s="15"/>
      <c r="X61" s="99"/>
      <c r="Y61" s="71">
        <f ca="1">Table210[[#This Row],[End Date]]+2-TODAY()</f>
        <v>101</v>
      </c>
      <c r="Z61" s="15">
        <f>IF(ISBLANK(Table210[[#This Row],[Roster Received By]]),1,0)</f>
        <v>1</v>
      </c>
      <c r="AA61" s="15">
        <f ca="1">IF(Table210[[#This Row],[Start Date]]&gt;TODAY(),1,)</f>
        <v>1</v>
      </c>
    </row>
    <row r="62" spans="1:27" s="106" customFormat="1" ht="14.25" customHeight="1" x14ac:dyDescent="0.25">
      <c r="A62" s="62"/>
      <c r="B62" s="117" t="s">
        <v>39</v>
      </c>
      <c r="C62" s="100" t="s">
        <v>225</v>
      </c>
      <c r="D62" s="100" t="s">
        <v>226</v>
      </c>
      <c r="E62" s="99"/>
      <c r="F62" s="102">
        <v>45663</v>
      </c>
      <c r="G62" s="102">
        <v>45666</v>
      </c>
      <c r="H62" s="108"/>
      <c r="I62" s="105">
        <v>0.54166666666666663</v>
      </c>
      <c r="J62" s="102"/>
      <c r="K62" s="102"/>
      <c r="L62" s="102"/>
      <c r="M62" s="102"/>
      <c r="N62" s="102"/>
      <c r="O62" s="99" t="s">
        <v>79</v>
      </c>
      <c r="P62" s="99"/>
      <c r="Q62" s="103">
        <v>45</v>
      </c>
      <c r="R62" s="356">
        <v>4</v>
      </c>
      <c r="S62" s="103"/>
      <c r="T62" s="103"/>
      <c r="U62" s="15"/>
      <c r="V62" s="15"/>
      <c r="W62" s="15"/>
      <c r="X62" s="99"/>
      <c r="Y62" s="71">
        <f ca="1">Table210[[#This Row],[End Date]]+2-TODAY()</f>
        <v>136</v>
      </c>
      <c r="Z62" s="15">
        <f>IF(ISBLANK(Table210[[#This Row],[Roster Received By]]),1,0)</f>
        <v>1</v>
      </c>
      <c r="AA62" s="15">
        <f ca="1">IF(Table210[[#This Row],[Start Date]]&gt;TODAY(),1,)</f>
        <v>1</v>
      </c>
    </row>
    <row r="63" spans="1:27" s="106" customFormat="1" ht="14.25" customHeight="1" x14ac:dyDescent="0.25">
      <c r="A63" s="62"/>
      <c r="B63" s="117" t="s">
        <v>39</v>
      </c>
      <c r="C63" s="100" t="s">
        <v>225</v>
      </c>
      <c r="D63" s="100" t="s">
        <v>226</v>
      </c>
      <c r="E63" s="99"/>
      <c r="F63" s="102">
        <v>45684</v>
      </c>
      <c r="G63" s="102">
        <v>45687</v>
      </c>
      <c r="H63" s="108"/>
      <c r="I63" s="105">
        <v>0.54166666666666663</v>
      </c>
      <c r="J63" s="102"/>
      <c r="K63" s="102"/>
      <c r="L63" s="102"/>
      <c r="M63" s="102"/>
      <c r="N63" s="102"/>
      <c r="O63" s="99" t="s">
        <v>79</v>
      </c>
      <c r="P63" s="99"/>
      <c r="Q63" s="103">
        <v>45</v>
      </c>
      <c r="R63" s="356">
        <v>4</v>
      </c>
      <c r="S63" s="103"/>
      <c r="T63" s="103"/>
      <c r="U63" s="15"/>
      <c r="V63" s="15"/>
      <c r="W63" s="15"/>
      <c r="X63" s="99"/>
      <c r="Y63" s="71">
        <f ca="1">Table210[[#This Row],[End Date]]+2-TODAY()</f>
        <v>157</v>
      </c>
      <c r="Z63" s="15">
        <f>IF(ISBLANK(Table210[[#This Row],[Roster Received By]]),1,0)</f>
        <v>1</v>
      </c>
      <c r="AA63" s="15">
        <f ca="1">IF(Table210[[#This Row],[Start Date]]&gt;TODAY(),1,)</f>
        <v>1</v>
      </c>
    </row>
    <row r="64" spans="1:27" s="139" customFormat="1" ht="14.25" customHeight="1" x14ac:dyDescent="0.25">
      <c r="A64" s="62"/>
      <c r="B64" s="117" t="s">
        <v>39</v>
      </c>
      <c r="C64" s="100" t="s">
        <v>225</v>
      </c>
      <c r="D64" s="100" t="s">
        <v>226</v>
      </c>
      <c r="E64" s="99"/>
      <c r="F64" s="102">
        <v>45690</v>
      </c>
      <c r="G64" s="102">
        <v>45693</v>
      </c>
      <c r="H64" s="108"/>
      <c r="I64" s="108">
        <v>0.79166666666666663</v>
      </c>
      <c r="J64" s="102"/>
      <c r="K64" s="102"/>
      <c r="L64" s="102"/>
      <c r="M64" s="102"/>
      <c r="N64" s="102"/>
      <c r="O64" s="99" t="s">
        <v>79</v>
      </c>
      <c r="P64" s="99"/>
      <c r="Q64" s="103">
        <v>45</v>
      </c>
      <c r="R64" s="356">
        <v>4</v>
      </c>
      <c r="S64" s="103"/>
      <c r="T64" s="103"/>
      <c r="U64" s="15"/>
      <c r="V64" s="15"/>
      <c r="W64" s="15"/>
      <c r="X64" s="99"/>
      <c r="Y64" s="71">
        <f ca="1">Table210[[#This Row],[End Date]]+2-TODAY()</f>
        <v>163</v>
      </c>
      <c r="Z64" s="15">
        <f>IF(ISBLANK(Table210[[#This Row],[Roster Received By]]),1,0)</f>
        <v>1</v>
      </c>
      <c r="AA64" s="15">
        <f ca="1">IF(Table210[[#This Row],[Start Date]]&gt;TODAY(),1,)</f>
        <v>1</v>
      </c>
    </row>
    <row r="65" spans="1:27" s="135" customFormat="1" ht="14.25" customHeight="1" x14ac:dyDescent="0.25">
      <c r="A65" s="62"/>
      <c r="B65" s="117" t="s">
        <v>39</v>
      </c>
      <c r="C65" s="100" t="s">
        <v>225</v>
      </c>
      <c r="D65" s="100" t="s">
        <v>226</v>
      </c>
      <c r="E65" s="99"/>
      <c r="F65" s="102">
        <v>45712</v>
      </c>
      <c r="G65" s="102">
        <v>45715</v>
      </c>
      <c r="H65" s="105"/>
      <c r="I65" s="105">
        <v>0.33333333333333331</v>
      </c>
      <c r="J65" s="102"/>
      <c r="K65" s="102"/>
      <c r="L65" s="102"/>
      <c r="M65" s="102"/>
      <c r="N65" s="102"/>
      <c r="O65" s="99" t="s">
        <v>79</v>
      </c>
      <c r="P65" s="99"/>
      <c r="Q65" s="103">
        <v>45</v>
      </c>
      <c r="R65" s="356">
        <v>4</v>
      </c>
      <c r="S65" s="103"/>
      <c r="T65" s="103"/>
      <c r="U65" s="15"/>
      <c r="V65" s="15"/>
      <c r="W65" s="15"/>
      <c r="X65" s="99"/>
      <c r="Y65" s="71">
        <f ca="1">Table210[[#This Row],[End Date]]+2-TODAY()</f>
        <v>185</v>
      </c>
      <c r="Z65" s="15">
        <f>IF(ISBLANK(Table210[[#This Row],[Roster Received By]]),1,0)</f>
        <v>1</v>
      </c>
      <c r="AA65" s="15">
        <f ca="1">IF(Table210[[#This Row],[Start Date]]&gt;TODAY(),1,)</f>
        <v>1</v>
      </c>
    </row>
    <row r="66" spans="1:27" s="135" customFormat="1" ht="14.25" customHeight="1" x14ac:dyDescent="0.25">
      <c r="A66" s="62"/>
      <c r="B66" s="117" t="s">
        <v>39</v>
      </c>
      <c r="C66" s="100" t="s">
        <v>225</v>
      </c>
      <c r="D66" s="100" t="s">
        <v>226</v>
      </c>
      <c r="E66" s="99"/>
      <c r="F66" s="102">
        <v>45719</v>
      </c>
      <c r="G66" s="102">
        <v>45722</v>
      </c>
      <c r="H66" s="105"/>
      <c r="I66" s="105">
        <v>0.54166666666666663</v>
      </c>
      <c r="J66" s="102"/>
      <c r="K66" s="102"/>
      <c r="L66" s="102"/>
      <c r="M66" s="102"/>
      <c r="N66" s="102"/>
      <c r="O66" s="99" t="s">
        <v>79</v>
      </c>
      <c r="P66" s="99"/>
      <c r="Q66" s="103">
        <v>45</v>
      </c>
      <c r="R66" s="356">
        <v>4</v>
      </c>
      <c r="S66" s="103"/>
      <c r="T66" s="103"/>
      <c r="U66" s="15"/>
      <c r="V66" s="15"/>
      <c r="W66" s="15"/>
      <c r="X66" s="99"/>
      <c r="Y66" s="71">
        <f ca="1">Table210[[#This Row],[End Date]]+2-TODAY()</f>
        <v>192</v>
      </c>
      <c r="Z66" s="15">
        <f>IF(ISBLANK(Table210[[#This Row],[Roster Received By]]),1,0)</f>
        <v>1</v>
      </c>
      <c r="AA66" s="15">
        <f ca="1">IF(Table210[[#This Row],[Start Date]]&gt;TODAY(),1,)</f>
        <v>1</v>
      </c>
    </row>
    <row r="67" spans="1:27" s="106" customFormat="1" ht="14.25" customHeight="1" x14ac:dyDescent="0.25">
      <c r="A67" s="62"/>
      <c r="B67" s="117" t="s">
        <v>39</v>
      </c>
      <c r="C67" s="100" t="s">
        <v>225</v>
      </c>
      <c r="D67" s="100" t="s">
        <v>226</v>
      </c>
      <c r="E67" s="99"/>
      <c r="F67" s="102">
        <v>45733</v>
      </c>
      <c r="G67" s="102">
        <v>45736</v>
      </c>
      <c r="H67" s="105"/>
      <c r="I67" s="105">
        <v>0.54166666666666663</v>
      </c>
      <c r="J67" s="102"/>
      <c r="K67" s="102"/>
      <c r="L67" s="102"/>
      <c r="M67" s="102"/>
      <c r="N67" s="102"/>
      <c r="O67" s="99" t="s">
        <v>79</v>
      </c>
      <c r="P67" s="99"/>
      <c r="Q67" s="103">
        <v>45</v>
      </c>
      <c r="R67" s="356">
        <v>4</v>
      </c>
      <c r="S67" s="103"/>
      <c r="T67" s="103"/>
      <c r="U67" s="15"/>
      <c r="V67" s="15"/>
      <c r="W67" s="15"/>
      <c r="X67" s="99"/>
      <c r="Y67" s="71">
        <f ca="1">Table210[[#This Row],[End Date]]+2-TODAY()</f>
        <v>206</v>
      </c>
      <c r="Z67" s="15">
        <f>IF(ISBLANK(Table210[[#This Row],[Roster Received By]]),1,0)</f>
        <v>1</v>
      </c>
      <c r="AA67" s="15">
        <f ca="1">IF(Table210[[#This Row],[Start Date]]&gt;TODAY(),1,)</f>
        <v>1</v>
      </c>
    </row>
    <row r="68" spans="1:27" s="106" customFormat="1" ht="14.25" customHeight="1" x14ac:dyDescent="0.25">
      <c r="A68" s="62"/>
      <c r="B68" s="117" t="s">
        <v>39</v>
      </c>
      <c r="C68" s="100" t="s">
        <v>225</v>
      </c>
      <c r="D68" s="100" t="s">
        <v>226</v>
      </c>
      <c r="E68" s="99"/>
      <c r="F68" s="102">
        <v>45747</v>
      </c>
      <c r="G68" s="102">
        <v>45750</v>
      </c>
      <c r="H68" s="105"/>
      <c r="I68" s="105">
        <v>0.54166666666666663</v>
      </c>
      <c r="J68" s="102"/>
      <c r="K68" s="102"/>
      <c r="L68" s="102"/>
      <c r="M68" s="102"/>
      <c r="N68" s="102"/>
      <c r="O68" s="99" t="s">
        <v>79</v>
      </c>
      <c r="P68" s="99"/>
      <c r="Q68" s="103">
        <v>45</v>
      </c>
      <c r="R68" s="356">
        <v>4</v>
      </c>
      <c r="S68" s="103"/>
      <c r="T68" s="103"/>
      <c r="U68" s="15"/>
      <c r="V68" s="15"/>
      <c r="W68" s="15"/>
      <c r="X68" s="99"/>
      <c r="Y68" s="71">
        <f ca="1">Table210[[#This Row],[End Date]]+2-TODAY()</f>
        <v>220</v>
      </c>
      <c r="Z68" s="15">
        <f>IF(ISBLANK(Table210[[#This Row],[Roster Received By]]),1,0)</f>
        <v>1</v>
      </c>
      <c r="AA68" s="15">
        <f ca="1">IF(Table210[[#This Row],[Start Date]]&gt;TODAY(),1,)</f>
        <v>1</v>
      </c>
    </row>
    <row r="69" spans="1:27" s="106" customFormat="1" ht="14.25" customHeight="1" x14ac:dyDescent="0.25">
      <c r="A69" s="62"/>
      <c r="B69" s="117" t="s">
        <v>39</v>
      </c>
      <c r="C69" s="100" t="s">
        <v>225</v>
      </c>
      <c r="D69" s="100" t="s">
        <v>226</v>
      </c>
      <c r="E69" s="99"/>
      <c r="F69" s="102">
        <v>45781</v>
      </c>
      <c r="G69" s="102">
        <v>45784</v>
      </c>
      <c r="H69" s="105"/>
      <c r="I69" s="105">
        <v>0.79166666666666663</v>
      </c>
      <c r="J69" s="102"/>
      <c r="K69" s="102"/>
      <c r="L69" s="102"/>
      <c r="M69" s="102"/>
      <c r="N69" s="102"/>
      <c r="O69" s="99" t="s">
        <v>79</v>
      </c>
      <c r="P69" s="99"/>
      <c r="Q69" s="103">
        <v>45</v>
      </c>
      <c r="R69" s="356">
        <v>4</v>
      </c>
      <c r="S69" s="103"/>
      <c r="T69" s="103"/>
      <c r="U69" s="15"/>
      <c r="V69" s="15"/>
      <c r="W69" s="15"/>
      <c r="X69" s="99"/>
      <c r="Y69" s="71">
        <f ca="1">Table210[[#This Row],[End Date]]+2-TODAY()</f>
        <v>254</v>
      </c>
      <c r="Z69" s="15">
        <f>IF(ISBLANK(Table210[[#This Row],[Roster Received By]]),1,0)</f>
        <v>1</v>
      </c>
      <c r="AA69" s="15">
        <f ca="1">IF(Table210[[#This Row],[Start Date]]&gt;TODAY(),1,)</f>
        <v>1</v>
      </c>
    </row>
    <row r="70" spans="1:27" s="106" customFormat="1" ht="14.25" customHeight="1" x14ac:dyDescent="0.25">
      <c r="A70" s="62"/>
      <c r="B70" s="99" t="s">
        <v>39</v>
      </c>
      <c r="C70" s="100" t="s">
        <v>225</v>
      </c>
      <c r="D70" s="100" t="s">
        <v>226</v>
      </c>
      <c r="E70" s="99"/>
      <c r="F70" s="102">
        <v>45796</v>
      </c>
      <c r="G70" s="102">
        <v>45799</v>
      </c>
      <c r="H70" s="105"/>
      <c r="I70" s="105">
        <v>0.33333333333333331</v>
      </c>
      <c r="J70" s="102"/>
      <c r="K70" s="102"/>
      <c r="L70" s="102"/>
      <c r="M70" s="102"/>
      <c r="N70" s="102"/>
      <c r="O70" s="99" t="s">
        <v>79</v>
      </c>
      <c r="P70" s="99"/>
      <c r="Q70" s="103">
        <v>45</v>
      </c>
      <c r="R70" s="356">
        <v>4</v>
      </c>
      <c r="S70" s="103"/>
      <c r="T70" s="103"/>
      <c r="U70" s="15"/>
      <c r="V70" s="15"/>
      <c r="W70" s="15"/>
      <c r="X70" s="99"/>
      <c r="Y70" s="71">
        <f ca="1">Table210[[#This Row],[End Date]]+2-TODAY()</f>
        <v>269</v>
      </c>
      <c r="Z70" s="15">
        <f>IF(ISBLANK(Table210[[#This Row],[Roster Received By]]),1,0)</f>
        <v>1</v>
      </c>
      <c r="AA70" s="15">
        <f ca="1">IF(Table210[[#This Row],[Start Date]]&gt;TODAY(),1,)</f>
        <v>1</v>
      </c>
    </row>
    <row r="71" spans="1:27" s="106" customFormat="1" ht="14.25" customHeight="1" x14ac:dyDescent="0.25">
      <c r="A71" s="62"/>
      <c r="B71" s="99" t="s">
        <v>39</v>
      </c>
      <c r="C71" s="100" t="s">
        <v>225</v>
      </c>
      <c r="D71" s="100" t="s">
        <v>226</v>
      </c>
      <c r="E71" s="99"/>
      <c r="F71" s="102">
        <v>45817</v>
      </c>
      <c r="G71" s="102">
        <v>45820</v>
      </c>
      <c r="H71" s="108"/>
      <c r="I71" s="108">
        <v>0.54166666666666663</v>
      </c>
      <c r="J71" s="102"/>
      <c r="K71" s="102"/>
      <c r="L71" s="102"/>
      <c r="M71" s="102"/>
      <c r="N71" s="102"/>
      <c r="O71" s="99" t="s">
        <v>79</v>
      </c>
      <c r="P71" s="99"/>
      <c r="Q71" s="103">
        <v>45</v>
      </c>
      <c r="R71" s="356">
        <v>4</v>
      </c>
      <c r="S71" s="103"/>
      <c r="T71" s="103"/>
      <c r="U71" s="15"/>
      <c r="V71" s="15"/>
      <c r="W71" s="15"/>
      <c r="X71" s="99"/>
      <c r="Y71" s="71">
        <f ca="1">Table210[[#This Row],[End Date]]+2-TODAY()</f>
        <v>290</v>
      </c>
      <c r="Z71" s="15">
        <f>IF(ISBLANK(Table210[[#This Row],[Roster Received By]]),1,0)</f>
        <v>1</v>
      </c>
      <c r="AA71" s="15">
        <f ca="1">IF(Table210[[#This Row],[Start Date]]&gt;TODAY(),1,)</f>
        <v>1</v>
      </c>
    </row>
    <row r="72" spans="1:27" s="106" customFormat="1" ht="16.5" customHeight="1" x14ac:dyDescent="0.25">
      <c r="A72" s="62"/>
      <c r="B72" s="99" t="s">
        <v>39</v>
      </c>
      <c r="C72" s="100" t="s">
        <v>225</v>
      </c>
      <c r="D72" s="100" t="s">
        <v>226</v>
      </c>
      <c r="E72" s="99"/>
      <c r="F72" s="102">
        <v>45845</v>
      </c>
      <c r="G72" s="102">
        <v>45848</v>
      </c>
      <c r="H72" s="108"/>
      <c r="I72" s="108">
        <v>0.54166666666666663</v>
      </c>
      <c r="J72" s="102"/>
      <c r="K72" s="102"/>
      <c r="L72" s="102"/>
      <c r="M72" s="102"/>
      <c r="N72" s="102"/>
      <c r="O72" s="99" t="s">
        <v>79</v>
      </c>
      <c r="P72" s="99"/>
      <c r="Q72" s="103">
        <v>45</v>
      </c>
      <c r="R72" s="356">
        <v>4</v>
      </c>
      <c r="S72" s="103"/>
      <c r="T72" s="103"/>
      <c r="U72" s="15"/>
      <c r="V72" s="15"/>
      <c r="W72" s="100"/>
      <c r="X72" s="99"/>
      <c r="Y72" s="71">
        <f ca="1">Table210[[#This Row],[End Date]]+2-TODAY()</f>
        <v>318</v>
      </c>
      <c r="Z72" s="15">
        <f>IF(ISBLANK(Table210[[#This Row],[Roster Received By]]),1,0)</f>
        <v>1</v>
      </c>
      <c r="AA72" s="15">
        <f ca="1">IF(Table210[[#This Row],[Start Date]]&gt;TODAY(),1,)</f>
        <v>1</v>
      </c>
    </row>
    <row r="73" spans="1:27" s="106" customFormat="1" ht="14.25" customHeight="1" x14ac:dyDescent="0.25">
      <c r="A73" s="62"/>
      <c r="B73" s="99" t="s">
        <v>39</v>
      </c>
      <c r="C73" s="100" t="s">
        <v>225</v>
      </c>
      <c r="D73" s="100" t="s">
        <v>226</v>
      </c>
      <c r="E73" s="99"/>
      <c r="F73" s="102">
        <v>45865</v>
      </c>
      <c r="G73" s="102">
        <v>45869</v>
      </c>
      <c r="H73" s="108"/>
      <c r="I73" s="108">
        <v>0.79166666666666663</v>
      </c>
      <c r="J73" s="102"/>
      <c r="K73" s="102"/>
      <c r="L73" s="102"/>
      <c r="M73" s="102"/>
      <c r="N73" s="102"/>
      <c r="O73" s="99" t="s">
        <v>79</v>
      </c>
      <c r="P73" s="99"/>
      <c r="Q73" s="103">
        <v>45</v>
      </c>
      <c r="R73" s="356">
        <v>4</v>
      </c>
      <c r="S73" s="103"/>
      <c r="T73" s="103"/>
      <c r="U73" s="15"/>
      <c r="V73" s="15"/>
      <c r="W73" s="100"/>
      <c r="X73" s="99"/>
      <c r="Y73" s="71">
        <f ca="1">Table210[[#This Row],[End Date]]+2-TODAY()</f>
        <v>339</v>
      </c>
      <c r="Z73" s="15">
        <f>IF(ISBLANK(Table210[[#This Row],[Roster Received By]]),1,0)</f>
        <v>1</v>
      </c>
      <c r="AA73" s="15">
        <f ca="1">IF(Table210[[#This Row],[Start Date]]&gt;TODAY(),1,)</f>
        <v>1</v>
      </c>
    </row>
    <row r="74" spans="1:27" s="106" customFormat="1" ht="16.5" customHeight="1" x14ac:dyDescent="0.25">
      <c r="A74" s="62"/>
      <c r="B74" s="99" t="s">
        <v>39</v>
      </c>
      <c r="C74" s="100" t="s">
        <v>225</v>
      </c>
      <c r="D74" s="100" t="s">
        <v>226</v>
      </c>
      <c r="E74" s="99"/>
      <c r="F74" s="102">
        <v>45880</v>
      </c>
      <c r="G74" s="102">
        <v>45883</v>
      </c>
      <c r="H74" s="108"/>
      <c r="I74" s="108">
        <v>0.54166666666666663</v>
      </c>
      <c r="J74" s="102"/>
      <c r="K74" s="102"/>
      <c r="L74" s="102"/>
      <c r="M74" s="102"/>
      <c r="N74" s="102"/>
      <c r="O74" s="99" t="s">
        <v>79</v>
      </c>
      <c r="P74" s="99"/>
      <c r="Q74" s="103">
        <v>45</v>
      </c>
      <c r="R74" s="356">
        <v>4</v>
      </c>
      <c r="S74" s="103"/>
      <c r="T74" s="103"/>
      <c r="U74" s="15"/>
      <c r="V74" s="15"/>
      <c r="W74" s="100"/>
      <c r="X74" s="99"/>
      <c r="Y74" s="71">
        <f ca="1">Table210[[#This Row],[End Date]]+2-TODAY()</f>
        <v>353</v>
      </c>
      <c r="Z74" s="15">
        <f>IF(ISBLANK(Table210[[#This Row],[Roster Received By]]),1,0)</f>
        <v>1</v>
      </c>
      <c r="AA74" s="15">
        <f ca="1">IF(Table210[[#This Row],[Start Date]]&gt;TODAY(),1,)</f>
        <v>1</v>
      </c>
    </row>
    <row r="75" spans="1:27" s="135" customFormat="1" ht="14.25" customHeight="1" x14ac:dyDescent="0.25">
      <c r="A75" s="62"/>
      <c r="B75" s="99" t="s">
        <v>39</v>
      </c>
      <c r="C75" s="100" t="s">
        <v>225</v>
      </c>
      <c r="D75" s="100" t="s">
        <v>226</v>
      </c>
      <c r="E75" s="65"/>
      <c r="F75" s="102">
        <v>45908</v>
      </c>
      <c r="G75" s="102">
        <v>45911</v>
      </c>
      <c r="H75" s="108"/>
      <c r="I75" s="108">
        <v>0.54166666666666663</v>
      </c>
      <c r="J75" s="102"/>
      <c r="K75" s="102"/>
      <c r="L75" s="102"/>
      <c r="M75" s="102"/>
      <c r="N75" s="102"/>
      <c r="O75" s="99" t="s">
        <v>79</v>
      </c>
      <c r="P75" s="99"/>
      <c r="Q75" s="15">
        <v>45</v>
      </c>
      <c r="R75" s="228">
        <v>4</v>
      </c>
      <c r="S75" s="15"/>
      <c r="T75" s="103"/>
      <c r="U75" s="15"/>
      <c r="V75" s="15"/>
      <c r="W75" s="15"/>
      <c r="X75" s="99"/>
      <c r="Y75" s="71">
        <f ca="1">Table210[[#This Row],[End Date]]+2-TODAY()</f>
        <v>381</v>
      </c>
      <c r="Z75" s="15">
        <f>IF(ISBLANK(Table210[[#This Row],[Roster Received By]]),1,0)</f>
        <v>1</v>
      </c>
      <c r="AA75" s="15">
        <f ca="1">IF(Table210[[#This Row],[Start Date]]&gt;TODAY(),1,)</f>
        <v>1</v>
      </c>
    </row>
    <row r="76" spans="1:27" s="106" customFormat="1" ht="14.25" customHeight="1" x14ac:dyDescent="0.25">
      <c r="A76" s="151" t="s">
        <v>401</v>
      </c>
      <c r="B76" s="152" t="s">
        <v>255</v>
      </c>
      <c r="C76" s="154" t="s">
        <v>256</v>
      </c>
      <c r="D76" s="154" t="s">
        <v>256</v>
      </c>
      <c r="E76" s="152"/>
      <c r="F76" s="155">
        <v>45761</v>
      </c>
      <c r="G76" s="155">
        <v>45765</v>
      </c>
      <c r="H76" s="155"/>
      <c r="I76" s="156"/>
      <c r="J76" s="158"/>
      <c r="K76" s="158"/>
      <c r="L76" s="158"/>
      <c r="M76" s="158"/>
      <c r="N76" s="158"/>
      <c r="O76" s="152"/>
      <c r="P76" s="152"/>
      <c r="Q76" s="157">
        <v>0</v>
      </c>
      <c r="R76" s="157">
        <v>0</v>
      </c>
      <c r="S76" s="157"/>
      <c r="T76" s="182"/>
      <c r="U76" s="157"/>
      <c r="V76" s="157"/>
      <c r="W76" s="157"/>
      <c r="X76" s="152"/>
      <c r="Y76" s="183">
        <f ca="1">Table210[[#This Row],[End Date]]+2-TODAY()</f>
        <v>235</v>
      </c>
      <c r="Z76" s="157">
        <f>IF(ISBLANK(Table210[[#This Row],[Roster Received By]]),1,0)</f>
        <v>1</v>
      </c>
      <c r="AA76" s="157">
        <f ca="1">IF(Table210[[#This Row],[Start Date]]&gt;TODAY(),1,)</f>
        <v>1</v>
      </c>
    </row>
    <row r="77" spans="1:27" s="106" customFormat="1" ht="14.25" customHeight="1" x14ac:dyDescent="0.25">
      <c r="A77" s="151" t="s">
        <v>404</v>
      </c>
      <c r="B77" s="152" t="s">
        <v>255</v>
      </c>
      <c r="C77" s="154" t="s">
        <v>256</v>
      </c>
      <c r="D77" s="154" t="s">
        <v>256</v>
      </c>
      <c r="E77" s="152"/>
      <c r="F77" s="155">
        <v>45768</v>
      </c>
      <c r="G77" s="155">
        <v>45773</v>
      </c>
      <c r="H77" s="155"/>
      <c r="I77" s="156"/>
      <c r="J77" s="158"/>
      <c r="K77" s="158"/>
      <c r="L77" s="158"/>
      <c r="M77" s="158"/>
      <c r="N77" s="158"/>
      <c r="O77" s="152"/>
      <c r="P77" s="152"/>
      <c r="Q77" s="157">
        <v>0</v>
      </c>
      <c r="R77" s="157">
        <v>0</v>
      </c>
      <c r="S77" s="157"/>
      <c r="T77" s="182"/>
      <c r="U77" s="157"/>
      <c r="V77" s="157"/>
      <c r="W77" s="157"/>
      <c r="X77" s="152"/>
      <c r="Y77" s="183">
        <f ca="1">Table210[[#This Row],[End Date]]+2-TODAY()</f>
        <v>243</v>
      </c>
      <c r="Z77" s="157">
        <f>IF(ISBLANK(Table210[[#This Row],[Roster Received By]]),1,0)</f>
        <v>1</v>
      </c>
      <c r="AA77" s="157">
        <f ca="1">IF(Table210[[#This Row],[Start Date]]&gt;TODAY(),1,)</f>
        <v>1</v>
      </c>
    </row>
    <row r="78" spans="1:27" s="106" customFormat="1" ht="14.25" customHeight="1" x14ac:dyDescent="0.25">
      <c r="A78" s="100"/>
      <c r="B78" s="99" t="s">
        <v>40</v>
      </c>
      <c r="C78" s="100" t="s">
        <v>239</v>
      </c>
      <c r="D78" s="100" t="s">
        <v>240</v>
      </c>
      <c r="E78" s="99"/>
      <c r="F78" s="102">
        <v>45565</v>
      </c>
      <c r="G78" s="102">
        <v>45569</v>
      </c>
      <c r="H78" s="105"/>
      <c r="I78" s="105">
        <v>0.33333333333333331</v>
      </c>
      <c r="J78" s="102"/>
      <c r="K78" s="102"/>
      <c r="L78" s="102"/>
      <c r="M78" s="102"/>
      <c r="N78" s="102"/>
      <c r="O78" s="99" t="s">
        <v>641</v>
      </c>
      <c r="P78" s="99"/>
      <c r="Q78" s="231">
        <v>100</v>
      </c>
      <c r="R78" s="356">
        <v>5</v>
      </c>
      <c r="S78" s="231"/>
      <c r="T78" s="231"/>
      <c r="U78" s="107"/>
      <c r="V78" s="107"/>
      <c r="W78" s="107"/>
      <c r="X78" s="107"/>
      <c r="Y78" s="357">
        <f ca="1">Table210[[#This Row],[End Date]]+2-TODAY()</f>
        <v>39</v>
      </c>
      <c r="Z78" s="100">
        <f>IF(ISBLANK(Table210[[#This Row],[Roster Received By]]),1,0)</f>
        <v>1</v>
      </c>
      <c r="AA78" s="100">
        <f ca="1">IF(Table210[[#This Row],[Start Date]]&gt;TODAY(),1,)</f>
        <v>1</v>
      </c>
    </row>
    <row r="79" spans="1:27" s="106" customFormat="1" ht="14.25" customHeight="1" x14ac:dyDescent="0.25">
      <c r="A79" s="99"/>
      <c r="B79" s="99" t="s">
        <v>40</v>
      </c>
      <c r="C79" s="100" t="s">
        <v>239</v>
      </c>
      <c r="D79" s="100" t="s">
        <v>240</v>
      </c>
      <c r="E79" s="99"/>
      <c r="F79" s="102">
        <v>45592</v>
      </c>
      <c r="G79" s="102">
        <v>45596</v>
      </c>
      <c r="H79" s="105"/>
      <c r="I79" s="105">
        <v>0.79166666666666663</v>
      </c>
      <c r="J79" s="102"/>
      <c r="K79" s="102"/>
      <c r="L79" s="102"/>
      <c r="M79" s="102"/>
      <c r="N79" s="102"/>
      <c r="O79" s="99" t="s">
        <v>641</v>
      </c>
      <c r="P79" s="99"/>
      <c r="Q79" s="103">
        <v>100</v>
      </c>
      <c r="R79" s="356">
        <v>5</v>
      </c>
      <c r="S79" s="103"/>
      <c r="T79" s="103"/>
      <c r="U79" s="15"/>
      <c r="V79" s="15"/>
      <c r="W79" s="15"/>
      <c r="X79" s="99"/>
      <c r="Y79" s="71">
        <f ca="1">Table210[[#This Row],[End Date]]+2-TODAY()</f>
        <v>66</v>
      </c>
      <c r="Z79" s="15">
        <f>IF(ISBLANK(Table210[[#This Row],[Roster Received By]]),1,0)</f>
        <v>1</v>
      </c>
      <c r="AA79" s="15">
        <f ca="1">IF(Table210[[#This Row],[Start Date]]&gt;TODAY(),1,)</f>
        <v>1</v>
      </c>
    </row>
    <row r="80" spans="1:27" s="106" customFormat="1" ht="14.25" customHeight="1" x14ac:dyDescent="0.25">
      <c r="A80" s="62"/>
      <c r="B80" s="99" t="s">
        <v>40</v>
      </c>
      <c r="C80" s="100" t="s">
        <v>239</v>
      </c>
      <c r="D80" s="100" t="s">
        <v>240</v>
      </c>
      <c r="E80" s="99"/>
      <c r="F80" s="102">
        <v>45614</v>
      </c>
      <c r="G80" s="102">
        <v>45618</v>
      </c>
      <c r="H80" s="105"/>
      <c r="I80" s="105">
        <v>0.54166666666666663</v>
      </c>
      <c r="J80" s="102"/>
      <c r="K80" s="102"/>
      <c r="L80" s="102"/>
      <c r="M80" s="102"/>
      <c r="N80" s="102"/>
      <c r="O80" s="99" t="s">
        <v>79</v>
      </c>
      <c r="P80" s="99"/>
      <c r="Q80" s="103">
        <v>100</v>
      </c>
      <c r="R80" s="356">
        <v>5</v>
      </c>
      <c r="S80" s="103"/>
      <c r="T80" s="103"/>
      <c r="U80" s="15"/>
      <c r="V80" s="15"/>
      <c r="W80" s="100"/>
      <c r="X80" s="99"/>
      <c r="Y80" s="71">
        <f ca="1">Table210[[#This Row],[End Date]]+2-TODAY()</f>
        <v>88</v>
      </c>
      <c r="Z80" s="15">
        <f>IF(ISBLANK(Table210[[#This Row],[Roster Received By]]),1,0)</f>
        <v>1</v>
      </c>
      <c r="AA80" s="15">
        <f ca="1">IF(Table210[[#This Row],[Start Date]]&gt;TODAY(),1,)</f>
        <v>1</v>
      </c>
    </row>
    <row r="81" spans="1:27" s="106" customFormat="1" ht="14.25" customHeight="1" x14ac:dyDescent="0.25">
      <c r="A81" s="62"/>
      <c r="B81" s="99" t="s">
        <v>40</v>
      </c>
      <c r="C81" s="100" t="s">
        <v>239</v>
      </c>
      <c r="D81" s="100" t="s">
        <v>240</v>
      </c>
      <c r="E81" s="99"/>
      <c r="F81" s="102">
        <v>45635</v>
      </c>
      <c r="G81" s="102">
        <v>45639</v>
      </c>
      <c r="H81" s="108"/>
      <c r="I81" s="105">
        <v>0.54166666666666663</v>
      </c>
      <c r="J81" s="102"/>
      <c r="K81" s="102"/>
      <c r="L81" s="102"/>
      <c r="M81" s="102"/>
      <c r="N81" s="102"/>
      <c r="O81" s="99" t="s">
        <v>641</v>
      </c>
      <c r="P81" s="99"/>
      <c r="Q81" s="103">
        <v>100</v>
      </c>
      <c r="R81" s="356">
        <v>5</v>
      </c>
      <c r="S81" s="103"/>
      <c r="T81" s="103"/>
      <c r="U81" s="15"/>
      <c r="V81" s="15"/>
      <c r="W81" s="15"/>
      <c r="X81" s="99"/>
      <c r="Y81" s="71">
        <f ca="1">Table210[[#This Row],[End Date]]+2-TODAY()</f>
        <v>109</v>
      </c>
      <c r="Z81" s="15">
        <f>IF(ISBLANK(Table210[[#This Row],[Roster Received By]]),1,0)</f>
        <v>1</v>
      </c>
      <c r="AA81" s="15">
        <f ca="1">IF(Table210[[#This Row],[Start Date]]&gt;TODAY(),1,)</f>
        <v>1</v>
      </c>
    </row>
    <row r="82" spans="1:27" s="106" customFormat="1" ht="14.25" customHeight="1" x14ac:dyDescent="0.25">
      <c r="A82" s="62"/>
      <c r="B82" s="99" t="s">
        <v>40</v>
      </c>
      <c r="C82" s="100" t="s">
        <v>239</v>
      </c>
      <c r="D82" s="100" t="s">
        <v>240</v>
      </c>
      <c r="E82" s="99"/>
      <c r="F82" s="102">
        <v>45662</v>
      </c>
      <c r="G82" s="102">
        <v>45666</v>
      </c>
      <c r="H82" s="108"/>
      <c r="I82" s="105">
        <v>0.79166666666666663</v>
      </c>
      <c r="J82" s="102"/>
      <c r="K82" s="102"/>
      <c r="L82" s="102"/>
      <c r="M82" s="102"/>
      <c r="N82" s="102"/>
      <c r="O82" s="99" t="s">
        <v>110</v>
      </c>
      <c r="P82" s="99"/>
      <c r="Q82" s="103">
        <v>100</v>
      </c>
      <c r="R82" s="356">
        <v>5</v>
      </c>
      <c r="S82" s="103"/>
      <c r="T82" s="103"/>
      <c r="U82" s="15"/>
      <c r="V82" s="15"/>
      <c r="W82" s="15"/>
      <c r="X82" s="99"/>
      <c r="Y82" s="71">
        <f ca="1">Table210[[#This Row],[End Date]]+2-TODAY()</f>
        <v>136</v>
      </c>
      <c r="Z82" s="15">
        <f>IF(ISBLANK(Table210[[#This Row],[Roster Received By]]),1,0)</f>
        <v>1</v>
      </c>
      <c r="AA82" s="15">
        <f ca="1">IF(Table210[[#This Row],[Start Date]]&gt;TODAY(),1,)</f>
        <v>1</v>
      </c>
    </row>
    <row r="83" spans="1:27" s="106" customFormat="1" ht="14.25" customHeight="1" x14ac:dyDescent="0.25">
      <c r="A83" s="62"/>
      <c r="B83" s="99" t="s">
        <v>40</v>
      </c>
      <c r="C83" s="100" t="s">
        <v>239</v>
      </c>
      <c r="D83" s="100" t="s">
        <v>240</v>
      </c>
      <c r="E83" s="99"/>
      <c r="F83" s="102">
        <v>45684</v>
      </c>
      <c r="G83" s="102">
        <v>45688</v>
      </c>
      <c r="H83" s="108"/>
      <c r="I83" s="105">
        <v>0.33333333333333331</v>
      </c>
      <c r="J83" s="102"/>
      <c r="K83" s="102"/>
      <c r="L83" s="102"/>
      <c r="M83" s="102"/>
      <c r="N83" s="102"/>
      <c r="O83" s="99" t="s">
        <v>110</v>
      </c>
      <c r="P83" s="99"/>
      <c r="Q83" s="103">
        <v>100</v>
      </c>
      <c r="R83" s="356">
        <v>5</v>
      </c>
      <c r="S83" s="103"/>
      <c r="T83" s="103"/>
      <c r="U83" s="15"/>
      <c r="V83" s="15"/>
      <c r="W83" s="15"/>
      <c r="X83" s="99"/>
      <c r="Y83" s="71">
        <f ca="1">Table210[[#This Row],[End Date]]+2-TODAY()</f>
        <v>158</v>
      </c>
      <c r="Z83" s="15">
        <f>IF(ISBLANK(Table210[[#This Row],[Roster Received By]]),1,0)</f>
        <v>1</v>
      </c>
      <c r="AA83" s="15">
        <f ca="1">IF(Table210[[#This Row],[Start Date]]&gt;TODAY(),1,)</f>
        <v>1</v>
      </c>
    </row>
    <row r="84" spans="1:27" s="106" customFormat="1" ht="14.25" customHeight="1" x14ac:dyDescent="0.25">
      <c r="A84" s="62"/>
      <c r="B84" s="99" t="s">
        <v>40</v>
      </c>
      <c r="C84" s="100" t="s">
        <v>239</v>
      </c>
      <c r="D84" s="100" t="s">
        <v>240</v>
      </c>
      <c r="E84" s="99"/>
      <c r="F84" s="102">
        <v>45698</v>
      </c>
      <c r="G84" s="102">
        <v>45702</v>
      </c>
      <c r="H84" s="108"/>
      <c r="I84" s="108">
        <v>0.54166666666666663</v>
      </c>
      <c r="J84" s="102"/>
      <c r="K84" s="102"/>
      <c r="L84" s="102"/>
      <c r="M84" s="102"/>
      <c r="N84" s="102"/>
      <c r="O84" s="99" t="s">
        <v>110</v>
      </c>
      <c r="P84" s="99"/>
      <c r="Q84" s="103">
        <v>100</v>
      </c>
      <c r="R84" s="356">
        <v>5</v>
      </c>
      <c r="S84" s="103"/>
      <c r="T84" s="103"/>
      <c r="U84" s="15"/>
      <c r="V84" s="15"/>
      <c r="W84" s="15"/>
      <c r="X84" s="99"/>
      <c r="Y84" s="71">
        <f ca="1">Table210[[#This Row],[End Date]]+2-TODAY()</f>
        <v>172</v>
      </c>
      <c r="Z84" s="15">
        <f>IF(ISBLANK(Table210[[#This Row],[Roster Received By]]),1,0)</f>
        <v>1</v>
      </c>
      <c r="AA84" s="15">
        <f ca="1">IF(Table210[[#This Row],[Start Date]]&gt;TODAY(),1,)</f>
        <v>1</v>
      </c>
    </row>
    <row r="85" spans="1:27" s="106" customFormat="1" ht="14.25" customHeight="1" x14ac:dyDescent="0.25">
      <c r="A85" s="62"/>
      <c r="B85" s="99" t="s">
        <v>40</v>
      </c>
      <c r="C85" s="100" t="s">
        <v>239</v>
      </c>
      <c r="D85" s="100" t="s">
        <v>240</v>
      </c>
      <c r="E85" s="99"/>
      <c r="F85" s="102">
        <v>45719</v>
      </c>
      <c r="G85" s="102">
        <v>45723</v>
      </c>
      <c r="H85" s="105"/>
      <c r="I85" s="105">
        <v>0.54166666666666663</v>
      </c>
      <c r="J85" s="102"/>
      <c r="K85" s="102"/>
      <c r="L85" s="102"/>
      <c r="M85" s="102"/>
      <c r="N85" s="102"/>
      <c r="O85" s="99" t="s">
        <v>110</v>
      </c>
      <c r="P85" s="99"/>
      <c r="Q85" s="103">
        <v>100</v>
      </c>
      <c r="R85" s="356">
        <v>5</v>
      </c>
      <c r="S85" s="103"/>
      <c r="T85" s="103"/>
      <c r="U85" s="15"/>
      <c r="V85" s="15"/>
      <c r="W85" s="15"/>
      <c r="X85" s="99"/>
      <c r="Y85" s="71">
        <f ca="1">Table210[[#This Row],[End Date]]+2-TODAY()</f>
        <v>193</v>
      </c>
      <c r="Z85" s="15">
        <f>IF(ISBLANK(Table210[[#This Row],[Roster Received By]]),1,0)</f>
        <v>1</v>
      </c>
      <c r="AA85" s="15">
        <f ca="1">IF(Table210[[#This Row],[Start Date]]&gt;TODAY(),1,)</f>
        <v>1</v>
      </c>
    </row>
    <row r="86" spans="1:27" s="106" customFormat="1" ht="14.25" customHeight="1" x14ac:dyDescent="0.25">
      <c r="A86" s="62"/>
      <c r="B86" s="99" t="s">
        <v>40</v>
      </c>
      <c r="C86" s="100" t="s">
        <v>239</v>
      </c>
      <c r="D86" s="100" t="s">
        <v>240</v>
      </c>
      <c r="E86" s="99"/>
      <c r="F86" s="102">
        <v>45733</v>
      </c>
      <c r="G86" s="102">
        <v>45737</v>
      </c>
      <c r="H86" s="105"/>
      <c r="I86" s="105">
        <v>0.54166666666666663</v>
      </c>
      <c r="J86" s="102"/>
      <c r="K86" s="102"/>
      <c r="L86" s="102"/>
      <c r="M86" s="102"/>
      <c r="N86" s="102"/>
      <c r="O86" s="99" t="s">
        <v>110</v>
      </c>
      <c r="P86" s="99"/>
      <c r="Q86" s="103">
        <v>100</v>
      </c>
      <c r="R86" s="356">
        <v>5</v>
      </c>
      <c r="S86" s="103"/>
      <c r="T86" s="103"/>
      <c r="U86" s="15"/>
      <c r="V86" s="15"/>
      <c r="W86" s="15"/>
      <c r="X86" s="99"/>
      <c r="Y86" s="71">
        <f ca="1">Table210[[#This Row],[End Date]]+2-TODAY()</f>
        <v>207</v>
      </c>
      <c r="Z86" s="15">
        <f>IF(ISBLANK(Table210[[#This Row],[Roster Received By]]),1,0)</f>
        <v>1</v>
      </c>
      <c r="AA86" s="15">
        <f ca="1">IF(Table210[[#This Row],[Start Date]]&gt;TODAY(),1,)</f>
        <v>1</v>
      </c>
    </row>
    <row r="87" spans="1:27" s="106" customFormat="1" ht="14.25" customHeight="1" x14ac:dyDescent="0.25">
      <c r="A87" s="62"/>
      <c r="B87" s="99" t="s">
        <v>40</v>
      </c>
      <c r="C87" s="100" t="s">
        <v>239</v>
      </c>
      <c r="D87" s="100" t="s">
        <v>240</v>
      </c>
      <c r="E87" s="99"/>
      <c r="F87" s="102">
        <v>45754</v>
      </c>
      <c r="G87" s="102">
        <v>45758</v>
      </c>
      <c r="H87" s="105"/>
      <c r="I87" s="105">
        <v>0.33333333333333331</v>
      </c>
      <c r="J87" s="102"/>
      <c r="K87" s="102"/>
      <c r="L87" s="102"/>
      <c r="M87" s="102"/>
      <c r="N87" s="102"/>
      <c r="O87" s="99" t="s">
        <v>110</v>
      </c>
      <c r="P87" s="99"/>
      <c r="Q87" s="103">
        <v>100</v>
      </c>
      <c r="R87" s="356">
        <v>5</v>
      </c>
      <c r="S87" s="103"/>
      <c r="T87" s="103"/>
      <c r="U87" s="15"/>
      <c r="V87" s="15"/>
      <c r="W87" s="15"/>
      <c r="X87" s="99"/>
      <c r="Y87" s="71">
        <f ca="1">Table210[[#This Row],[End Date]]+2-TODAY()</f>
        <v>228</v>
      </c>
      <c r="Z87" s="15">
        <f>IF(ISBLANK(Table210[[#This Row],[Roster Received By]]),1,0)</f>
        <v>1</v>
      </c>
      <c r="AA87" s="15">
        <f ca="1">IF(Table210[[#This Row],[Start Date]]&gt;TODAY(),1,)</f>
        <v>1</v>
      </c>
    </row>
    <row r="88" spans="1:27" s="106" customFormat="1" ht="14.25" customHeight="1" x14ac:dyDescent="0.25">
      <c r="A88" s="62"/>
      <c r="B88" s="99" t="s">
        <v>40</v>
      </c>
      <c r="C88" s="100" t="s">
        <v>239</v>
      </c>
      <c r="D88" s="100" t="s">
        <v>240</v>
      </c>
      <c r="E88" s="99"/>
      <c r="F88" s="102">
        <v>45782</v>
      </c>
      <c r="G88" s="102">
        <v>45786</v>
      </c>
      <c r="H88" s="105"/>
      <c r="I88" s="105">
        <v>0.54166666666666663</v>
      </c>
      <c r="J88" s="102"/>
      <c r="K88" s="102"/>
      <c r="L88" s="102"/>
      <c r="M88" s="102"/>
      <c r="N88" s="102"/>
      <c r="O88" s="99" t="s">
        <v>110</v>
      </c>
      <c r="P88" s="99"/>
      <c r="Q88" s="103">
        <v>100</v>
      </c>
      <c r="R88" s="356">
        <v>5</v>
      </c>
      <c r="S88" s="103"/>
      <c r="T88" s="103"/>
      <c r="U88" s="15"/>
      <c r="V88" s="15"/>
      <c r="W88" s="15"/>
      <c r="X88" s="99"/>
      <c r="Y88" s="71">
        <f ca="1">Table210[[#This Row],[End Date]]+2-TODAY()</f>
        <v>256</v>
      </c>
      <c r="Z88" s="15">
        <f>IF(ISBLANK(Table210[[#This Row],[Roster Received By]]),1,0)</f>
        <v>1</v>
      </c>
      <c r="AA88" s="15">
        <f ca="1">IF(Table210[[#This Row],[Start Date]]&gt;TODAY(),1,)</f>
        <v>1</v>
      </c>
    </row>
    <row r="89" spans="1:27" s="106" customFormat="1" ht="16.5" customHeight="1" x14ac:dyDescent="0.25">
      <c r="A89" s="62"/>
      <c r="B89" s="99" t="s">
        <v>40</v>
      </c>
      <c r="C89" s="100" t="s">
        <v>239</v>
      </c>
      <c r="D89" s="100" t="s">
        <v>240</v>
      </c>
      <c r="E89" s="99"/>
      <c r="F89" s="102">
        <v>45817</v>
      </c>
      <c r="G89" s="102">
        <v>45821</v>
      </c>
      <c r="H89" s="108"/>
      <c r="I89" s="108">
        <v>0.54166666666666663</v>
      </c>
      <c r="J89" s="102"/>
      <c r="K89" s="102"/>
      <c r="L89" s="102"/>
      <c r="M89" s="102"/>
      <c r="N89" s="102"/>
      <c r="O89" s="99" t="s">
        <v>110</v>
      </c>
      <c r="P89" s="99"/>
      <c r="Q89" s="103">
        <v>100</v>
      </c>
      <c r="R89" s="356">
        <v>5</v>
      </c>
      <c r="S89" s="103"/>
      <c r="T89" s="103"/>
      <c r="U89" s="15"/>
      <c r="V89" s="15"/>
      <c r="W89" s="15"/>
      <c r="X89" s="99"/>
      <c r="Y89" s="71">
        <f ca="1">Table210[[#This Row],[End Date]]+2-TODAY()</f>
        <v>291</v>
      </c>
      <c r="Z89" s="15">
        <f>IF(ISBLANK(Table210[[#This Row],[Roster Received By]]),1,0)</f>
        <v>1</v>
      </c>
      <c r="AA89" s="15">
        <f ca="1">IF(Table210[[#This Row],[Start Date]]&gt;TODAY(),1,)</f>
        <v>1</v>
      </c>
    </row>
    <row r="90" spans="1:27" s="106" customFormat="1" ht="16.5" customHeight="1" x14ac:dyDescent="0.25">
      <c r="A90" s="62"/>
      <c r="B90" s="99" t="s">
        <v>40</v>
      </c>
      <c r="C90" s="100" t="s">
        <v>239</v>
      </c>
      <c r="D90" s="100" t="s">
        <v>240</v>
      </c>
      <c r="E90" s="99"/>
      <c r="F90" s="102">
        <v>45851</v>
      </c>
      <c r="G90" s="102">
        <v>45855</v>
      </c>
      <c r="H90" s="108"/>
      <c r="I90" s="108">
        <v>0.79166666666666663</v>
      </c>
      <c r="J90" s="102"/>
      <c r="K90" s="102"/>
      <c r="L90" s="102"/>
      <c r="M90" s="102"/>
      <c r="N90" s="102"/>
      <c r="O90" s="99" t="s">
        <v>110</v>
      </c>
      <c r="P90" s="99"/>
      <c r="Q90" s="103">
        <v>100</v>
      </c>
      <c r="R90" s="356">
        <v>5</v>
      </c>
      <c r="S90" s="103"/>
      <c r="T90" s="103"/>
      <c r="U90" s="15"/>
      <c r="V90" s="15"/>
      <c r="W90" s="100"/>
      <c r="X90" s="99"/>
      <c r="Y90" s="71">
        <f ca="1">Table210[[#This Row],[End Date]]+2-TODAY()</f>
        <v>325</v>
      </c>
      <c r="Z90" s="15">
        <f>IF(ISBLANK(Table210[[#This Row],[Roster Received By]]),1,0)</f>
        <v>1</v>
      </c>
      <c r="AA90" s="15">
        <f ca="1">IF(Table210[[#This Row],[Start Date]]&gt;TODAY(),1,)</f>
        <v>1</v>
      </c>
    </row>
    <row r="91" spans="1:27" s="106" customFormat="1" ht="14.25" customHeight="1" x14ac:dyDescent="0.25">
      <c r="A91" s="62"/>
      <c r="B91" s="99" t="s">
        <v>40</v>
      </c>
      <c r="C91" s="100" t="s">
        <v>239</v>
      </c>
      <c r="D91" s="100" t="s">
        <v>240</v>
      </c>
      <c r="E91" s="99"/>
      <c r="F91" s="102">
        <v>45873</v>
      </c>
      <c r="G91" s="102">
        <v>45877</v>
      </c>
      <c r="H91" s="108"/>
      <c r="I91" s="108">
        <v>0.33333333333333331</v>
      </c>
      <c r="J91" s="102"/>
      <c r="K91" s="102"/>
      <c r="L91" s="102"/>
      <c r="M91" s="102"/>
      <c r="N91" s="102"/>
      <c r="O91" s="99" t="s">
        <v>110</v>
      </c>
      <c r="P91" s="99"/>
      <c r="Q91" s="103">
        <v>100</v>
      </c>
      <c r="R91" s="356">
        <v>5</v>
      </c>
      <c r="S91" s="103"/>
      <c r="T91" s="103"/>
      <c r="U91" s="15"/>
      <c r="V91" s="15"/>
      <c r="W91" s="100"/>
      <c r="X91" s="99"/>
      <c r="Y91" s="71">
        <f ca="1">Table210[[#This Row],[End Date]]+2-TODAY()</f>
        <v>347</v>
      </c>
      <c r="Z91" s="15">
        <f>IF(ISBLANK(Table210[[#This Row],[Roster Received By]]),1,0)</f>
        <v>1</v>
      </c>
      <c r="AA91" s="15">
        <f ca="1">IF(Table210[[#This Row],[Start Date]]&gt;TODAY(),1,)</f>
        <v>1</v>
      </c>
    </row>
    <row r="92" spans="1:27" s="106" customFormat="1" ht="14.25" customHeight="1" x14ac:dyDescent="0.25">
      <c r="A92" s="62"/>
      <c r="B92" s="99" t="s">
        <v>40</v>
      </c>
      <c r="C92" s="100" t="s">
        <v>239</v>
      </c>
      <c r="D92" s="100" t="s">
        <v>240</v>
      </c>
      <c r="E92" s="99"/>
      <c r="F92" s="102">
        <v>45887</v>
      </c>
      <c r="G92" s="102">
        <v>45891</v>
      </c>
      <c r="H92" s="105"/>
      <c r="I92" s="105">
        <v>0.54166666666666663</v>
      </c>
      <c r="J92" s="102"/>
      <c r="K92" s="102"/>
      <c r="L92" s="102"/>
      <c r="M92" s="102"/>
      <c r="N92" s="102"/>
      <c r="O92" s="99" t="s">
        <v>110</v>
      </c>
      <c r="P92" s="99"/>
      <c r="Q92" s="103">
        <v>100</v>
      </c>
      <c r="R92" s="356">
        <v>5</v>
      </c>
      <c r="S92" s="103"/>
      <c r="T92" s="103"/>
      <c r="U92" s="15"/>
      <c r="V92" s="15"/>
      <c r="W92" s="15"/>
      <c r="X92" s="99"/>
      <c r="Y92" s="71">
        <f ca="1">Table210[[#This Row],[End Date]]+2-TODAY()</f>
        <v>361</v>
      </c>
      <c r="Z92" s="15">
        <f>IF(ISBLANK(Table210[[#This Row],[Roster Received By]]),1,0)</f>
        <v>1</v>
      </c>
      <c r="AA92" s="15">
        <f ca="1">IF(Table210[[#This Row],[Start Date]]&gt;TODAY(),1,)</f>
        <v>1</v>
      </c>
    </row>
    <row r="93" spans="1:27" s="106" customFormat="1" ht="14.25" customHeight="1" x14ac:dyDescent="0.25">
      <c r="A93" s="62"/>
      <c r="B93" s="99" t="s">
        <v>40</v>
      </c>
      <c r="C93" s="100" t="s">
        <v>239</v>
      </c>
      <c r="D93" s="100" t="s">
        <v>240</v>
      </c>
      <c r="E93" s="65"/>
      <c r="F93" s="102">
        <v>45915</v>
      </c>
      <c r="G93" s="102">
        <v>45919</v>
      </c>
      <c r="H93" s="105"/>
      <c r="I93" s="105">
        <v>0.54166666666666663</v>
      </c>
      <c r="J93" s="102"/>
      <c r="K93" s="102"/>
      <c r="L93" s="102"/>
      <c r="M93" s="102"/>
      <c r="N93" s="102"/>
      <c r="O93" s="99" t="s">
        <v>110</v>
      </c>
      <c r="P93" s="99"/>
      <c r="Q93" s="15">
        <v>100</v>
      </c>
      <c r="R93" s="228">
        <v>5</v>
      </c>
      <c r="S93" s="15"/>
      <c r="T93" s="103"/>
      <c r="U93" s="15"/>
      <c r="V93" s="15"/>
      <c r="W93" s="15"/>
      <c r="X93" s="99"/>
      <c r="Y93" s="71">
        <f ca="1">Table210[[#This Row],[End Date]]+2-TODAY()</f>
        <v>389</v>
      </c>
      <c r="Z93" s="15">
        <f>IF(ISBLANK(Table210[[#This Row],[Roster Received By]]),1,0)</f>
        <v>1</v>
      </c>
      <c r="AA93" s="15">
        <f ca="1">IF(Table210[[#This Row],[Start Date]]&gt;TODAY(),1,)</f>
        <v>1</v>
      </c>
    </row>
    <row r="94" spans="1:27" s="106" customFormat="1" ht="14.25" customHeight="1" x14ac:dyDescent="0.25">
      <c r="A94" s="62"/>
      <c r="B94" s="99" t="s">
        <v>54</v>
      </c>
      <c r="C94" s="100" t="s">
        <v>249</v>
      </c>
      <c r="D94" s="100" t="s">
        <v>250</v>
      </c>
      <c r="E94" s="99"/>
      <c r="F94" s="102">
        <v>45614</v>
      </c>
      <c r="G94" s="102">
        <v>45618</v>
      </c>
      <c r="H94" s="105"/>
      <c r="I94" s="105">
        <v>0.54166666666666663</v>
      </c>
      <c r="J94" s="102"/>
      <c r="K94" s="102"/>
      <c r="L94" s="102"/>
      <c r="M94" s="102"/>
      <c r="N94" s="102"/>
      <c r="O94" s="99" t="s">
        <v>192</v>
      </c>
      <c r="P94" s="99"/>
      <c r="Q94" s="103">
        <v>25</v>
      </c>
      <c r="R94" s="356">
        <v>2</v>
      </c>
      <c r="S94" s="103"/>
      <c r="T94" s="103"/>
      <c r="U94" s="15"/>
      <c r="V94" s="15"/>
      <c r="W94" s="100"/>
      <c r="X94" s="99"/>
      <c r="Y94" s="71">
        <f ca="1">Table210[[#This Row],[End Date]]+2-TODAY()</f>
        <v>88</v>
      </c>
      <c r="Z94" s="15">
        <f>IF(ISBLANK(Table210[[#This Row],[Roster Received By]]),1,0)</f>
        <v>1</v>
      </c>
      <c r="AA94" s="15">
        <f ca="1">IF(Table210[[#This Row],[Start Date]]&gt;TODAY(),1,)</f>
        <v>1</v>
      </c>
    </row>
    <row r="95" spans="1:27" s="139" customFormat="1" ht="14.25" customHeight="1" x14ac:dyDescent="0.25">
      <c r="A95" s="62"/>
      <c r="B95" s="99" t="s">
        <v>54</v>
      </c>
      <c r="C95" s="100" t="s">
        <v>249</v>
      </c>
      <c r="D95" s="100" t="s">
        <v>250</v>
      </c>
      <c r="E95" s="99"/>
      <c r="F95" s="102">
        <v>45691</v>
      </c>
      <c r="G95" s="102">
        <v>45695</v>
      </c>
      <c r="H95" s="108"/>
      <c r="I95" s="108">
        <v>0.54166666666666663</v>
      </c>
      <c r="J95" s="102"/>
      <c r="K95" s="102"/>
      <c r="L95" s="102"/>
      <c r="M95" s="102"/>
      <c r="N95" s="102"/>
      <c r="O95" s="99" t="s">
        <v>192</v>
      </c>
      <c r="P95" s="99"/>
      <c r="Q95" s="103">
        <v>25</v>
      </c>
      <c r="R95" s="356">
        <v>2</v>
      </c>
      <c r="S95" s="103"/>
      <c r="T95" s="103"/>
      <c r="U95" s="15"/>
      <c r="V95" s="15"/>
      <c r="W95" s="15"/>
      <c r="X95" s="99"/>
      <c r="Y95" s="71">
        <f ca="1">Table210[[#This Row],[End Date]]+2-TODAY()</f>
        <v>165</v>
      </c>
      <c r="Z95" s="15">
        <f>IF(ISBLANK(Table210[[#This Row],[Roster Received By]]),1,0)</f>
        <v>1</v>
      </c>
      <c r="AA95" s="15">
        <f ca="1">IF(Table210[[#This Row],[Start Date]]&gt;TODAY(),1,)</f>
        <v>1</v>
      </c>
    </row>
    <row r="96" spans="1:27" s="106" customFormat="1" ht="14.25" customHeight="1" x14ac:dyDescent="0.25">
      <c r="A96" s="62"/>
      <c r="B96" s="99" t="s">
        <v>54</v>
      </c>
      <c r="C96" s="100" t="s">
        <v>249</v>
      </c>
      <c r="D96" s="100" t="s">
        <v>250</v>
      </c>
      <c r="E96" s="99"/>
      <c r="F96" s="102">
        <v>45789</v>
      </c>
      <c r="G96" s="102">
        <v>45793</v>
      </c>
      <c r="H96" s="105"/>
      <c r="I96" s="105">
        <v>0.54166666666666663</v>
      </c>
      <c r="J96" s="102"/>
      <c r="K96" s="102"/>
      <c r="L96" s="102"/>
      <c r="M96" s="102"/>
      <c r="N96" s="102"/>
      <c r="O96" s="99" t="s">
        <v>192</v>
      </c>
      <c r="P96" s="99"/>
      <c r="Q96" s="103">
        <v>25</v>
      </c>
      <c r="R96" s="356">
        <v>2</v>
      </c>
      <c r="S96" s="103"/>
      <c r="T96" s="103"/>
      <c r="U96" s="15"/>
      <c r="V96" s="15"/>
      <c r="W96" s="15"/>
      <c r="X96" s="99"/>
      <c r="Y96" s="71">
        <f ca="1">Table210[[#This Row],[End Date]]+2-TODAY()</f>
        <v>263</v>
      </c>
      <c r="Z96" s="15">
        <f>IF(ISBLANK(Table210[[#This Row],[Roster Received By]]),1,0)</f>
        <v>1</v>
      </c>
      <c r="AA96" s="15">
        <f ca="1">IF(Table210[[#This Row],[Start Date]]&gt;TODAY(),1,)</f>
        <v>1</v>
      </c>
    </row>
    <row r="97" spans="1:27" s="106" customFormat="1" ht="14.25" customHeight="1" x14ac:dyDescent="0.25">
      <c r="A97" s="62"/>
      <c r="B97" s="99" t="s">
        <v>54</v>
      </c>
      <c r="C97" s="100" t="s">
        <v>249</v>
      </c>
      <c r="D97" s="100" t="s">
        <v>250</v>
      </c>
      <c r="E97" s="99"/>
      <c r="F97" s="102">
        <v>45880</v>
      </c>
      <c r="G97" s="102">
        <v>45884</v>
      </c>
      <c r="H97" s="108"/>
      <c r="I97" s="108">
        <v>0.54166666666666663</v>
      </c>
      <c r="J97" s="102"/>
      <c r="K97" s="102"/>
      <c r="L97" s="102"/>
      <c r="M97" s="102"/>
      <c r="N97" s="102"/>
      <c r="O97" s="99" t="s">
        <v>192</v>
      </c>
      <c r="P97" s="99"/>
      <c r="Q97" s="103">
        <v>25</v>
      </c>
      <c r="R97" s="356">
        <v>2</v>
      </c>
      <c r="S97" s="103"/>
      <c r="T97" s="103"/>
      <c r="U97" s="15"/>
      <c r="V97" s="15"/>
      <c r="W97" s="100"/>
      <c r="X97" s="99"/>
      <c r="Y97" s="71">
        <f ca="1">Table210[[#This Row],[End Date]]+2-TODAY()</f>
        <v>354</v>
      </c>
      <c r="Z97" s="15">
        <f>IF(ISBLANK(Table210[[#This Row],[Roster Received By]]),1,0)</f>
        <v>1</v>
      </c>
      <c r="AA97" s="15">
        <f ca="1">IF(Table210[[#This Row],[Start Date]]&gt;TODAY(),1,)</f>
        <v>1</v>
      </c>
    </row>
    <row r="98" spans="1:27" s="106" customFormat="1" ht="14.25" customHeight="1" x14ac:dyDescent="0.25">
      <c r="A98" s="169" t="s">
        <v>62</v>
      </c>
      <c r="B98" s="169">
        <f>SUBTOTAL(103,Table210[Course Title])</f>
        <v>94</v>
      </c>
      <c r="C98" s="169"/>
      <c r="D98" s="169"/>
      <c r="E98" s="169"/>
      <c r="F98" s="170"/>
      <c r="G98" s="170"/>
      <c r="H98" s="169"/>
      <c r="I98" s="169"/>
      <c r="J98" s="169"/>
      <c r="K98" s="169"/>
      <c r="L98" s="169"/>
      <c r="M98" s="169"/>
      <c r="N98" s="169"/>
      <c r="O98" s="169"/>
      <c r="P98" s="169"/>
      <c r="Q98" s="171">
        <f>SUBTOTAL(109,Q4:Q97)</f>
        <v>4130</v>
      </c>
      <c r="R98" s="171">
        <f>SUBTOTAL(109,Table210[Course Length (Days)])</f>
        <v>340</v>
      </c>
      <c r="S98" s="171">
        <f>SUBTOTAL(109,S4:S97)</f>
        <v>0</v>
      </c>
      <c r="T98" s="171">
        <f>SUBTOTAL(109,T4:T97)</f>
        <v>0</v>
      </c>
      <c r="U98" s="171">
        <f>SUBTOTAL(109,U4:U97)</f>
        <v>0</v>
      </c>
      <c r="V98" s="171">
        <f>SUBTOTAL(109,V4:V97)</f>
        <v>0</v>
      </c>
      <c r="W98" s="171">
        <f>SUBTOTAL(109,W4:W97)</f>
        <v>0</v>
      </c>
      <c r="X98" s="169">
        <f>SUBTOTAL(103,Table210[Roster Received By])</f>
        <v>0</v>
      </c>
      <c r="Y98" s="172"/>
      <c r="Z98" s="169"/>
      <c r="AA98" s="169"/>
    </row>
    <row r="99" spans="1:27" s="106" customFormat="1" ht="14.25" customHeight="1" x14ac:dyDescent="0.25">
      <c r="A99" s="9"/>
      <c r="B99" s="10"/>
      <c r="C99" s="2"/>
      <c r="D99" s="12"/>
      <c r="E99" s="10"/>
      <c r="F99" s="11"/>
      <c r="G99" s="11"/>
      <c r="H99" s="36"/>
      <c r="I99" s="36"/>
      <c r="J99" s="36"/>
      <c r="K99" s="36"/>
      <c r="L99" s="36"/>
      <c r="M99" s="36"/>
      <c r="N99" s="36"/>
      <c r="O99" s="10"/>
      <c r="P99" s="10"/>
      <c r="Q99" s="9"/>
      <c r="R99" s="9"/>
      <c r="S99" s="13"/>
      <c r="T99" s="35"/>
      <c r="U99" s="35"/>
      <c r="V99" s="35"/>
      <c r="W99" s="35"/>
      <c r="X99" s="9"/>
      <c r="Y99" s="35"/>
      <c r="Z99" s="9"/>
      <c r="AA99" s="9"/>
    </row>
    <row r="100" spans="1:27" s="135" customFormat="1" ht="14.25" customHeight="1" x14ac:dyDescent="0.25">
      <c r="A100" s="9"/>
      <c r="B100" s="10"/>
      <c r="C100" s="2"/>
      <c r="D100" s="12"/>
      <c r="E100" s="10"/>
      <c r="F100" s="11"/>
      <c r="G100" s="11"/>
      <c r="H100" s="36"/>
      <c r="I100" s="36"/>
      <c r="J100" s="36"/>
      <c r="K100" s="36"/>
      <c r="L100" s="36"/>
      <c r="M100" s="36"/>
      <c r="N100" s="36"/>
      <c r="O100" s="10"/>
      <c r="P100" s="10"/>
      <c r="Q100" s="9"/>
      <c r="R100" s="9"/>
      <c r="S100" s="13"/>
      <c r="T100" s="35"/>
      <c r="U100" s="35"/>
      <c r="V100" s="35"/>
      <c r="W100" s="35"/>
      <c r="X100" s="9"/>
      <c r="Y100" s="35"/>
      <c r="Z100" s="9"/>
      <c r="AA100" s="9"/>
    </row>
    <row r="101" spans="1:27" s="106" customFormat="1" ht="14.25" customHeight="1" x14ac:dyDescent="0.25">
      <c r="A101" s="9"/>
      <c r="B101" s="10"/>
      <c r="C101" s="2"/>
      <c r="D101" s="12"/>
      <c r="E101" s="10"/>
      <c r="F101" s="11"/>
      <c r="G101" s="11"/>
      <c r="H101" s="36"/>
      <c r="I101" s="36"/>
      <c r="J101" s="36"/>
      <c r="K101" s="36"/>
      <c r="L101" s="36"/>
      <c r="M101" s="36"/>
      <c r="N101" s="36"/>
      <c r="O101" s="10"/>
      <c r="P101" s="10"/>
      <c r="Q101" s="9"/>
      <c r="R101" s="9"/>
      <c r="S101" s="13"/>
      <c r="T101" s="35"/>
      <c r="U101" s="35"/>
      <c r="V101" s="35"/>
      <c r="W101" s="35"/>
      <c r="X101" s="9"/>
      <c r="Y101" s="35"/>
      <c r="Z101" s="9"/>
      <c r="AA101" s="9"/>
    </row>
    <row r="102" spans="1:27" s="106" customFormat="1" ht="14.25" customHeight="1" x14ac:dyDescent="0.25">
      <c r="A102" s="9"/>
      <c r="B102" s="10"/>
      <c r="C102" s="2"/>
      <c r="D102" s="12"/>
      <c r="E102" s="10"/>
      <c r="F102" s="11"/>
      <c r="G102" s="11"/>
      <c r="H102" s="36"/>
      <c r="I102" s="36"/>
      <c r="J102" s="36"/>
      <c r="K102" s="36"/>
      <c r="L102" s="36"/>
      <c r="M102" s="36"/>
      <c r="N102" s="36"/>
      <c r="O102" s="10"/>
      <c r="P102" s="10"/>
      <c r="Q102" s="9"/>
      <c r="R102" s="9"/>
      <c r="S102" s="13"/>
      <c r="T102" s="35"/>
      <c r="U102" s="35"/>
      <c r="V102" s="35"/>
      <c r="W102" s="35"/>
      <c r="X102" s="9"/>
      <c r="Y102" s="35"/>
      <c r="Z102" s="9"/>
      <c r="AA102" s="9"/>
    </row>
    <row r="103" spans="1:27" s="106" customFormat="1" ht="14.25" customHeight="1" x14ac:dyDescent="0.25">
      <c r="A103" s="9"/>
      <c r="B103" s="10"/>
      <c r="C103" s="2"/>
      <c r="D103" s="12"/>
      <c r="E103" s="10"/>
      <c r="F103" s="11"/>
      <c r="G103" s="11"/>
      <c r="H103" s="36"/>
      <c r="I103" s="36"/>
      <c r="J103" s="36"/>
      <c r="K103" s="36"/>
      <c r="L103" s="36"/>
      <c r="M103" s="36"/>
      <c r="N103" s="36"/>
      <c r="O103" s="10"/>
      <c r="P103" s="10"/>
      <c r="Q103" s="9"/>
      <c r="R103" s="9"/>
      <c r="S103" s="13"/>
      <c r="T103" s="35"/>
      <c r="U103" s="35"/>
      <c r="V103" s="35"/>
      <c r="W103" s="35"/>
      <c r="X103" s="9"/>
      <c r="Y103" s="35"/>
      <c r="Z103" s="9"/>
      <c r="AA103" s="9"/>
    </row>
    <row r="104" spans="1:27" s="106" customFormat="1" ht="14.25" customHeight="1" x14ac:dyDescent="0.25">
      <c r="A104" s="9"/>
      <c r="B104" s="10"/>
      <c r="C104" s="2"/>
      <c r="D104" s="12"/>
      <c r="E104" s="10"/>
      <c r="F104" s="11"/>
      <c r="G104" s="11"/>
      <c r="H104" s="36"/>
      <c r="I104" s="36"/>
      <c r="J104" s="36"/>
      <c r="K104" s="36"/>
      <c r="L104" s="36"/>
      <c r="M104" s="36"/>
      <c r="N104" s="36"/>
      <c r="O104" s="10"/>
      <c r="P104" s="10"/>
      <c r="Q104" s="9"/>
      <c r="R104" s="9"/>
      <c r="S104" s="13"/>
      <c r="T104" s="35"/>
      <c r="U104" s="35"/>
      <c r="V104" s="35"/>
      <c r="W104" s="35"/>
      <c r="X104" s="9"/>
      <c r="Y104" s="35"/>
      <c r="Z104" s="9"/>
      <c r="AA104" s="9"/>
    </row>
    <row r="105" spans="1:27" s="135" customFormat="1" x14ac:dyDescent="0.25">
      <c r="A105" s="9"/>
      <c r="B105" s="10"/>
      <c r="C105" s="2"/>
      <c r="D105" s="12"/>
      <c r="E105" s="10"/>
      <c r="F105" s="11"/>
      <c r="G105" s="11"/>
      <c r="H105" s="36"/>
      <c r="I105" s="36"/>
      <c r="J105" s="36"/>
      <c r="K105" s="36"/>
      <c r="L105" s="36"/>
      <c r="M105" s="36"/>
      <c r="N105" s="36"/>
      <c r="O105" s="10"/>
      <c r="P105" s="10"/>
      <c r="Q105" s="9"/>
      <c r="R105" s="9"/>
      <c r="S105" s="13"/>
      <c r="T105" s="35"/>
      <c r="U105" s="35"/>
      <c r="V105" s="35"/>
      <c r="W105" s="35"/>
      <c r="X105" s="9"/>
      <c r="Y105" s="35"/>
      <c r="Z105" s="9"/>
      <c r="AA105" s="9"/>
    </row>
    <row r="106" spans="1:27" s="106" customFormat="1" ht="14.25" customHeight="1" x14ac:dyDescent="0.25">
      <c r="A106" s="9"/>
      <c r="B106" s="10"/>
      <c r="C106" s="2"/>
      <c r="D106" s="12"/>
      <c r="E106" s="10"/>
      <c r="F106" s="11"/>
      <c r="G106" s="11"/>
      <c r="H106" s="36"/>
      <c r="I106" s="36"/>
      <c r="J106" s="36"/>
      <c r="K106" s="36"/>
      <c r="L106" s="36"/>
      <c r="M106" s="36"/>
      <c r="N106" s="36"/>
      <c r="O106" s="10"/>
      <c r="P106" s="10"/>
      <c r="Q106" s="9"/>
      <c r="R106" s="9"/>
      <c r="S106" s="13"/>
      <c r="T106" s="35"/>
      <c r="U106" s="35"/>
      <c r="V106" s="35"/>
      <c r="W106" s="35"/>
      <c r="X106" s="9"/>
      <c r="Y106" s="35"/>
      <c r="Z106" s="9"/>
      <c r="AA106" s="9"/>
    </row>
    <row r="107" spans="1:27" s="135" customFormat="1" ht="14.25" customHeight="1" x14ac:dyDescent="0.25">
      <c r="A107" s="9"/>
      <c r="B107" s="10"/>
      <c r="C107" s="2"/>
      <c r="D107" s="12"/>
      <c r="E107" s="10"/>
      <c r="F107" s="11"/>
      <c r="G107" s="11"/>
      <c r="H107" s="36"/>
      <c r="I107" s="36"/>
      <c r="J107" s="36"/>
      <c r="K107" s="36"/>
      <c r="L107" s="36"/>
      <c r="M107" s="36"/>
      <c r="N107" s="36"/>
      <c r="O107" s="10"/>
      <c r="P107" s="10"/>
      <c r="Q107" s="9"/>
      <c r="R107" s="9"/>
      <c r="S107" s="13"/>
      <c r="T107" s="35"/>
      <c r="U107" s="35"/>
      <c r="V107" s="35"/>
      <c r="W107" s="35"/>
      <c r="X107" s="9"/>
      <c r="Y107" s="35"/>
      <c r="Z107" s="9"/>
      <c r="AA107" s="9"/>
    </row>
    <row r="108" spans="1:27" s="106" customFormat="1" ht="16.5" customHeight="1" x14ac:dyDescent="0.25">
      <c r="A108" s="9"/>
      <c r="B108" s="10"/>
      <c r="C108" s="2"/>
      <c r="D108" s="12"/>
      <c r="E108" s="10"/>
      <c r="F108" s="11"/>
      <c r="G108" s="11"/>
      <c r="H108" s="36"/>
      <c r="I108" s="36"/>
      <c r="J108" s="36"/>
      <c r="K108" s="36"/>
      <c r="L108" s="36"/>
      <c r="M108" s="36"/>
      <c r="N108" s="36"/>
      <c r="O108" s="10"/>
      <c r="P108" s="10"/>
      <c r="Q108" s="9"/>
      <c r="R108" s="9"/>
      <c r="S108" s="13"/>
      <c r="T108" s="35"/>
      <c r="U108" s="35"/>
      <c r="V108" s="35"/>
      <c r="W108" s="35"/>
      <c r="X108" s="9"/>
      <c r="Y108" s="35"/>
      <c r="Z108" s="9"/>
      <c r="AA108" s="9"/>
    </row>
    <row r="109" spans="1:27" s="106" customFormat="1" ht="14.25" customHeight="1" x14ac:dyDescent="0.25">
      <c r="A109" s="9"/>
      <c r="B109" s="10"/>
      <c r="C109" s="2"/>
      <c r="D109" s="12"/>
      <c r="E109" s="10"/>
      <c r="F109" s="11"/>
      <c r="G109" s="11"/>
      <c r="H109" s="36"/>
      <c r="I109" s="36"/>
      <c r="J109" s="36"/>
      <c r="K109" s="36"/>
      <c r="L109" s="36"/>
      <c r="M109" s="36"/>
      <c r="N109" s="36"/>
      <c r="O109" s="10"/>
      <c r="P109" s="10"/>
      <c r="Q109" s="9"/>
      <c r="R109" s="9"/>
      <c r="S109" s="13"/>
      <c r="T109" s="35"/>
      <c r="U109" s="35"/>
      <c r="V109" s="35"/>
      <c r="W109" s="35"/>
      <c r="X109" s="9"/>
      <c r="Y109" s="35"/>
      <c r="Z109" s="9"/>
      <c r="AA109" s="9"/>
    </row>
    <row r="110" spans="1:27" s="106" customFormat="1" ht="14.25" customHeight="1" x14ac:dyDescent="0.25">
      <c r="A110" s="9"/>
      <c r="B110" s="10"/>
      <c r="C110" s="2"/>
      <c r="D110" s="12"/>
      <c r="E110" s="10"/>
      <c r="F110" s="11"/>
      <c r="G110" s="11"/>
      <c r="H110" s="36"/>
      <c r="I110" s="36"/>
      <c r="J110" s="36"/>
      <c r="K110" s="36"/>
      <c r="L110" s="36"/>
      <c r="M110" s="36"/>
      <c r="N110" s="36"/>
      <c r="O110" s="10"/>
      <c r="P110" s="10"/>
      <c r="Q110" s="9"/>
      <c r="R110" s="9"/>
      <c r="S110" s="13"/>
      <c r="T110" s="35"/>
      <c r="U110" s="35"/>
      <c r="V110" s="35"/>
      <c r="W110" s="35"/>
      <c r="X110" s="9"/>
      <c r="Y110" s="35"/>
      <c r="Z110" s="9"/>
      <c r="AA110" s="9"/>
    </row>
    <row r="111" spans="1:27" s="106" customFormat="1" ht="14.25" customHeight="1" x14ac:dyDescent="0.25">
      <c r="A111" s="9"/>
      <c r="B111" s="10"/>
      <c r="C111" s="2"/>
      <c r="D111" s="12"/>
      <c r="E111" s="10"/>
      <c r="F111" s="11"/>
      <c r="G111" s="11"/>
      <c r="H111" s="36"/>
      <c r="I111" s="36"/>
      <c r="J111" s="36"/>
      <c r="K111" s="36"/>
      <c r="L111" s="36"/>
      <c r="M111" s="36"/>
      <c r="N111" s="36"/>
      <c r="O111" s="10"/>
      <c r="P111" s="10"/>
      <c r="Q111" s="9"/>
      <c r="R111" s="9"/>
      <c r="S111" s="13"/>
      <c r="T111" s="35"/>
      <c r="U111" s="35"/>
      <c r="V111" s="35"/>
      <c r="W111" s="35"/>
      <c r="X111" s="9"/>
      <c r="Y111" s="35"/>
      <c r="Z111" s="9"/>
      <c r="AA111" s="9"/>
    </row>
    <row r="112" spans="1:27" s="106" customFormat="1" ht="14.25" customHeight="1" x14ac:dyDescent="0.25">
      <c r="A112" s="9"/>
      <c r="B112" s="10"/>
      <c r="C112" s="2"/>
      <c r="D112" s="12"/>
      <c r="E112" s="10"/>
      <c r="F112" s="11"/>
      <c r="G112" s="11"/>
      <c r="H112" s="36"/>
      <c r="I112" s="36"/>
      <c r="J112" s="36"/>
      <c r="K112" s="36"/>
      <c r="L112" s="36"/>
      <c r="M112" s="36"/>
      <c r="N112" s="36"/>
      <c r="O112" s="10"/>
      <c r="P112" s="10"/>
      <c r="Q112" s="9"/>
      <c r="R112" s="9"/>
      <c r="S112" s="13"/>
      <c r="T112" s="35"/>
      <c r="U112" s="35"/>
      <c r="V112" s="35"/>
      <c r="W112" s="35"/>
      <c r="X112" s="9"/>
      <c r="Y112" s="35"/>
      <c r="Z112" s="9"/>
      <c r="AA112" s="9"/>
    </row>
    <row r="113" spans="1:27" s="106" customFormat="1" ht="14.25" customHeight="1" x14ac:dyDescent="0.25">
      <c r="A113" s="9"/>
      <c r="B113" s="10"/>
      <c r="C113" s="2"/>
      <c r="D113" s="12"/>
      <c r="E113" s="10"/>
      <c r="F113" s="11"/>
      <c r="G113" s="11"/>
      <c r="H113" s="36"/>
      <c r="I113" s="36"/>
      <c r="J113" s="36"/>
      <c r="K113" s="36"/>
      <c r="L113" s="36"/>
      <c r="M113" s="36"/>
      <c r="N113" s="36"/>
      <c r="O113" s="10"/>
      <c r="P113" s="10"/>
      <c r="Q113" s="9"/>
      <c r="R113" s="9"/>
      <c r="S113" s="13"/>
      <c r="T113" s="35"/>
      <c r="U113" s="35"/>
      <c r="V113" s="35"/>
      <c r="W113" s="35"/>
      <c r="X113" s="9"/>
      <c r="Y113" s="35"/>
      <c r="Z113" s="9"/>
      <c r="AA113" s="9"/>
    </row>
    <row r="114" spans="1:27" s="106" customFormat="1" ht="14.25" customHeight="1" x14ac:dyDescent="0.25">
      <c r="A114" s="9"/>
      <c r="B114" s="10"/>
      <c r="C114" s="2"/>
      <c r="D114" s="12"/>
      <c r="E114" s="10"/>
      <c r="F114" s="11"/>
      <c r="G114" s="11"/>
      <c r="H114" s="36"/>
      <c r="I114" s="36"/>
      <c r="J114" s="36"/>
      <c r="K114" s="36"/>
      <c r="L114" s="36"/>
      <c r="M114" s="36"/>
      <c r="N114" s="36"/>
      <c r="O114" s="10"/>
      <c r="P114" s="10"/>
      <c r="Q114" s="9"/>
      <c r="R114" s="9"/>
      <c r="S114" s="13"/>
      <c r="T114" s="35"/>
      <c r="U114" s="35"/>
      <c r="V114" s="35"/>
      <c r="W114" s="35"/>
      <c r="X114" s="9"/>
      <c r="Y114" s="35"/>
      <c r="Z114" s="9"/>
      <c r="AA114" s="9"/>
    </row>
    <row r="115" spans="1:27" s="135" customFormat="1" x14ac:dyDescent="0.25">
      <c r="A115" s="9"/>
      <c r="B115" s="10"/>
      <c r="C115" s="2"/>
      <c r="D115" s="12"/>
      <c r="E115" s="10"/>
      <c r="F115" s="11"/>
      <c r="G115" s="11"/>
      <c r="H115" s="36"/>
      <c r="I115" s="36"/>
      <c r="J115" s="36"/>
      <c r="K115" s="36"/>
      <c r="L115" s="36"/>
      <c r="M115" s="36"/>
      <c r="N115" s="36"/>
      <c r="O115" s="10"/>
      <c r="P115" s="10"/>
      <c r="Q115" s="9"/>
      <c r="R115" s="9"/>
      <c r="S115" s="13"/>
      <c r="T115" s="35"/>
      <c r="U115" s="35"/>
      <c r="V115" s="35"/>
      <c r="W115" s="35"/>
      <c r="X115" s="9"/>
      <c r="Y115" s="35"/>
      <c r="Z115" s="9"/>
      <c r="AA115" s="9"/>
    </row>
    <row r="116" spans="1:27" s="135" customFormat="1" x14ac:dyDescent="0.25">
      <c r="A116" s="9"/>
      <c r="B116" s="10"/>
      <c r="C116" s="2"/>
      <c r="D116" s="12"/>
      <c r="E116" s="10"/>
      <c r="F116" s="11"/>
      <c r="G116" s="11"/>
      <c r="H116" s="36"/>
      <c r="I116" s="36"/>
      <c r="J116" s="36"/>
      <c r="K116" s="36"/>
      <c r="L116" s="36"/>
      <c r="M116" s="36"/>
      <c r="N116" s="36"/>
      <c r="O116" s="10"/>
      <c r="P116" s="10"/>
      <c r="Q116" s="9"/>
      <c r="R116" s="9"/>
      <c r="S116" s="13"/>
      <c r="T116" s="35"/>
      <c r="U116" s="35"/>
      <c r="V116" s="35"/>
      <c r="W116" s="35"/>
      <c r="X116" s="9"/>
      <c r="Y116" s="35"/>
      <c r="Z116" s="9"/>
      <c r="AA116" s="9"/>
    </row>
    <row r="117" spans="1:27" s="135" customFormat="1" x14ac:dyDescent="0.25">
      <c r="A117" s="9"/>
      <c r="B117" s="10"/>
      <c r="C117" s="2"/>
      <c r="D117" s="12"/>
      <c r="E117" s="10"/>
      <c r="F117" s="11"/>
      <c r="G117" s="11"/>
      <c r="H117" s="36"/>
      <c r="I117" s="36"/>
      <c r="J117" s="36"/>
      <c r="K117" s="36"/>
      <c r="L117" s="36"/>
      <c r="M117" s="36"/>
      <c r="N117" s="36"/>
      <c r="O117" s="10"/>
      <c r="P117" s="10"/>
      <c r="Q117" s="9"/>
      <c r="R117" s="9"/>
      <c r="S117" s="13"/>
      <c r="T117" s="35"/>
      <c r="U117" s="35"/>
      <c r="V117" s="35"/>
      <c r="W117" s="35"/>
      <c r="X117" s="9"/>
      <c r="Y117" s="35"/>
      <c r="Z117" s="9"/>
      <c r="AA117" s="9"/>
    </row>
    <row r="118" spans="1:27" s="106" customFormat="1" ht="14.25" customHeight="1" x14ac:dyDescent="0.25">
      <c r="A118" s="9"/>
      <c r="B118" s="10"/>
      <c r="C118" s="2"/>
      <c r="D118" s="12"/>
      <c r="E118" s="10"/>
      <c r="F118" s="11"/>
      <c r="G118" s="11"/>
      <c r="H118" s="36"/>
      <c r="I118" s="36"/>
      <c r="J118" s="36"/>
      <c r="K118" s="36"/>
      <c r="L118" s="36"/>
      <c r="M118" s="36"/>
      <c r="N118" s="36"/>
      <c r="O118" s="10"/>
      <c r="P118" s="10"/>
      <c r="Q118" s="9"/>
      <c r="R118" s="9"/>
      <c r="S118" s="13"/>
      <c r="T118" s="35"/>
      <c r="U118" s="35"/>
      <c r="V118" s="35"/>
      <c r="W118" s="35"/>
      <c r="X118" s="9"/>
      <c r="Y118" s="35"/>
      <c r="Z118" s="9"/>
      <c r="AA118" s="9"/>
    </row>
    <row r="119" spans="1:27" s="106" customFormat="1" ht="16.5" customHeight="1" x14ac:dyDescent="0.25">
      <c r="A119" s="9"/>
      <c r="B119" s="10"/>
      <c r="C119" s="2"/>
      <c r="D119" s="12"/>
      <c r="E119" s="10"/>
      <c r="F119" s="11"/>
      <c r="G119" s="11"/>
      <c r="H119" s="36"/>
      <c r="I119" s="36"/>
      <c r="J119" s="36"/>
      <c r="K119" s="36"/>
      <c r="L119" s="36"/>
      <c r="M119" s="36"/>
      <c r="N119" s="36"/>
      <c r="O119" s="10"/>
      <c r="P119" s="10"/>
      <c r="Q119" s="9"/>
      <c r="R119" s="9"/>
      <c r="S119" s="13"/>
      <c r="T119" s="35"/>
      <c r="U119" s="35"/>
      <c r="V119" s="35"/>
      <c r="W119" s="35"/>
      <c r="X119" s="9"/>
      <c r="Y119" s="35"/>
      <c r="Z119" s="9"/>
      <c r="AA119" s="9"/>
    </row>
    <row r="120" spans="1:27" s="106" customFormat="1" ht="14.25" customHeight="1" x14ac:dyDescent="0.25">
      <c r="A120" s="9"/>
      <c r="B120" s="10"/>
      <c r="C120" s="2"/>
      <c r="D120" s="12"/>
      <c r="E120" s="10"/>
      <c r="F120" s="11"/>
      <c r="G120" s="11"/>
      <c r="H120" s="36"/>
      <c r="I120" s="36"/>
      <c r="J120" s="36"/>
      <c r="K120" s="36"/>
      <c r="L120" s="36"/>
      <c r="M120" s="36"/>
      <c r="N120" s="36"/>
      <c r="O120" s="10"/>
      <c r="P120" s="10"/>
      <c r="Q120" s="9"/>
      <c r="R120" s="9"/>
      <c r="S120" s="13"/>
      <c r="T120" s="35"/>
      <c r="U120" s="35"/>
      <c r="V120" s="35"/>
      <c r="W120" s="35"/>
      <c r="X120" s="9"/>
      <c r="Y120" s="35"/>
      <c r="Z120" s="9"/>
      <c r="AA120" s="9"/>
    </row>
    <row r="121" spans="1:27" s="106" customFormat="1" ht="14.25" customHeight="1" x14ac:dyDescent="0.25">
      <c r="A121" s="9"/>
      <c r="B121" s="10"/>
      <c r="C121" s="2"/>
      <c r="D121" s="12"/>
      <c r="E121" s="10"/>
      <c r="F121" s="11"/>
      <c r="G121" s="11"/>
      <c r="H121" s="36"/>
      <c r="I121" s="36"/>
      <c r="J121" s="36"/>
      <c r="K121" s="36"/>
      <c r="L121" s="36"/>
      <c r="M121" s="36"/>
      <c r="N121" s="36"/>
      <c r="O121" s="10"/>
      <c r="P121" s="10"/>
      <c r="Q121" s="9"/>
      <c r="R121" s="9"/>
      <c r="S121" s="13"/>
      <c r="T121" s="35"/>
      <c r="U121" s="35"/>
      <c r="V121" s="35"/>
      <c r="W121" s="35"/>
      <c r="X121" s="9"/>
      <c r="Y121" s="35"/>
      <c r="Z121" s="9"/>
      <c r="AA121" s="9"/>
    </row>
    <row r="122" spans="1:27" s="136" customFormat="1" ht="14.25" customHeight="1" x14ac:dyDescent="0.25">
      <c r="A122" s="9"/>
      <c r="B122" s="10"/>
      <c r="C122" s="2"/>
      <c r="D122" s="12"/>
      <c r="E122" s="10"/>
      <c r="F122" s="11"/>
      <c r="G122" s="11"/>
      <c r="H122" s="36"/>
      <c r="I122" s="36"/>
      <c r="J122" s="36"/>
      <c r="K122" s="36"/>
      <c r="L122" s="36"/>
      <c r="M122" s="36"/>
      <c r="N122" s="36"/>
      <c r="O122" s="10"/>
      <c r="P122" s="10"/>
      <c r="Q122" s="9"/>
      <c r="R122" s="9"/>
      <c r="S122" s="13"/>
      <c r="T122" s="35"/>
      <c r="U122" s="35"/>
      <c r="V122" s="35"/>
      <c r="W122" s="35"/>
      <c r="X122" s="9"/>
      <c r="Y122" s="35"/>
      <c r="Z122" s="9"/>
      <c r="AA122" s="9"/>
    </row>
    <row r="123" spans="1:27" s="106" customFormat="1" ht="14.25" customHeight="1" x14ac:dyDescent="0.25">
      <c r="A123" s="9"/>
      <c r="B123" s="10"/>
      <c r="C123" s="2"/>
      <c r="D123" s="12"/>
      <c r="E123" s="10"/>
      <c r="F123" s="11"/>
      <c r="G123" s="11"/>
      <c r="H123" s="36"/>
      <c r="I123" s="36"/>
      <c r="J123" s="36"/>
      <c r="K123" s="36"/>
      <c r="L123" s="36"/>
      <c r="M123" s="36"/>
      <c r="N123" s="36"/>
      <c r="O123" s="10"/>
      <c r="P123" s="10"/>
      <c r="Q123" s="9"/>
      <c r="R123" s="9"/>
      <c r="S123" s="13"/>
      <c r="T123" s="35"/>
      <c r="U123" s="35"/>
      <c r="V123" s="35"/>
      <c r="W123" s="35"/>
      <c r="X123" s="9"/>
      <c r="Y123" s="35"/>
      <c r="Z123" s="9"/>
      <c r="AA123" s="9"/>
    </row>
    <row r="124" spans="1:27" s="106" customFormat="1" ht="14.25" customHeight="1" x14ac:dyDescent="0.25">
      <c r="A124" s="9"/>
      <c r="B124" s="10"/>
      <c r="C124" s="2"/>
      <c r="D124" s="12"/>
      <c r="E124" s="10"/>
      <c r="F124" s="11"/>
      <c r="G124" s="11"/>
      <c r="H124" s="36"/>
      <c r="I124" s="36"/>
      <c r="J124" s="36"/>
      <c r="K124" s="36"/>
      <c r="L124" s="36"/>
      <c r="M124" s="36"/>
      <c r="N124" s="36"/>
      <c r="O124" s="10"/>
      <c r="P124" s="10"/>
      <c r="Q124" s="9"/>
      <c r="R124" s="9"/>
      <c r="S124" s="13"/>
      <c r="T124" s="35"/>
      <c r="U124" s="35"/>
      <c r="V124" s="35"/>
      <c r="W124" s="35"/>
      <c r="X124" s="9"/>
      <c r="Y124" s="35"/>
      <c r="Z124" s="9"/>
      <c r="AA124" s="9"/>
    </row>
    <row r="125" spans="1:27" s="106" customFormat="1" ht="14.25" customHeight="1" x14ac:dyDescent="0.25">
      <c r="A125" s="9"/>
      <c r="B125" s="10"/>
      <c r="C125" s="2"/>
      <c r="D125" s="12"/>
      <c r="E125" s="10"/>
      <c r="F125" s="11"/>
      <c r="G125" s="11"/>
      <c r="H125" s="36"/>
      <c r="I125" s="36"/>
      <c r="J125" s="36"/>
      <c r="K125" s="36"/>
      <c r="L125" s="36"/>
      <c r="M125" s="36"/>
      <c r="N125" s="36"/>
      <c r="O125" s="10"/>
      <c r="P125" s="10"/>
      <c r="Q125" s="9"/>
      <c r="R125" s="9"/>
      <c r="S125" s="13"/>
      <c r="T125" s="35"/>
      <c r="U125" s="35"/>
      <c r="V125" s="35"/>
      <c r="W125" s="35"/>
      <c r="X125" s="9"/>
      <c r="Y125" s="35"/>
      <c r="Z125" s="9"/>
      <c r="AA125" s="9"/>
    </row>
    <row r="126" spans="1:27" s="106" customFormat="1" ht="14.25" customHeight="1" x14ac:dyDescent="0.25">
      <c r="A126" s="9"/>
      <c r="B126" s="10"/>
      <c r="C126" s="2"/>
      <c r="D126" s="12"/>
      <c r="E126" s="10"/>
      <c r="F126" s="11"/>
      <c r="G126" s="11"/>
      <c r="H126" s="36"/>
      <c r="I126" s="36"/>
      <c r="J126" s="36"/>
      <c r="K126" s="36"/>
      <c r="L126" s="36"/>
      <c r="M126" s="36"/>
      <c r="N126" s="36"/>
      <c r="O126" s="10"/>
      <c r="P126" s="10"/>
      <c r="Q126" s="9"/>
      <c r="R126" s="9"/>
      <c r="S126" s="13"/>
      <c r="T126" s="35"/>
      <c r="U126" s="35"/>
      <c r="V126" s="35"/>
      <c r="W126" s="35"/>
      <c r="X126" s="9"/>
      <c r="Y126" s="35"/>
      <c r="Z126" s="9"/>
      <c r="AA126" s="9"/>
    </row>
    <row r="127" spans="1:27" s="106" customFormat="1" ht="14.25" customHeight="1" x14ac:dyDescent="0.25">
      <c r="A127" s="9"/>
      <c r="B127" s="10"/>
      <c r="C127" s="2"/>
      <c r="D127" s="12"/>
      <c r="E127" s="10"/>
      <c r="F127" s="11"/>
      <c r="G127" s="11"/>
      <c r="H127" s="36"/>
      <c r="I127" s="36"/>
      <c r="J127" s="36"/>
      <c r="K127" s="36"/>
      <c r="L127" s="36"/>
      <c r="M127" s="36"/>
      <c r="N127" s="36"/>
      <c r="O127" s="10"/>
      <c r="P127" s="10"/>
      <c r="Q127" s="9"/>
      <c r="R127" s="9"/>
      <c r="S127" s="13"/>
      <c r="T127" s="35"/>
      <c r="U127" s="35"/>
      <c r="V127" s="35"/>
      <c r="W127" s="35"/>
      <c r="X127" s="9"/>
      <c r="Y127" s="35"/>
      <c r="Z127" s="9"/>
      <c r="AA127" s="9"/>
    </row>
    <row r="128" spans="1:27" s="106" customFormat="1" ht="14.25" customHeight="1" x14ac:dyDescent="0.25">
      <c r="A128" s="9"/>
      <c r="B128" s="10"/>
      <c r="C128" s="2"/>
      <c r="D128" s="12"/>
      <c r="E128" s="10"/>
      <c r="F128" s="11"/>
      <c r="G128" s="11"/>
      <c r="H128" s="36"/>
      <c r="I128" s="36"/>
      <c r="J128" s="36"/>
      <c r="K128" s="36"/>
      <c r="L128" s="36"/>
      <c r="M128" s="36"/>
      <c r="N128" s="36"/>
      <c r="O128" s="10"/>
      <c r="P128" s="10"/>
      <c r="Q128" s="9"/>
      <c r="R128" s="9"/>
      <c r="S128" s="13"/>
      <c r="T128" s="35"/>
      <c r="U128" s="35"/>
      <c r="V128" s="35"/>
      <c r="W128" s="35"/>
      <c r="X128" s="9"/>
      <c r="Y128" s="35"/>
      <c r="Z128" s="9"/>
      <c r="AA128" s="9"/>
    </row>
    <row r="129" spans="1:27" s="106" customFormat="1" ht="14.25" customHeight="1" x14ac:dyDescent="0.25">
      <c r="A129" s="9"/>
      <c r="B129" s="10"/>
      <c r="C129" s="2"/>
      <c r="D129" s="12"/>
      <c r="E129" s="10"/>
      <c r="F129" s="11"/>
      <c r="G129" s="11"/>
      <c r="H129" s="36"/>
      <c r="I129" s="36"/>
      <c r="J129" s="36"/>
      <c r="K129" s="36"/>
      <c r="L129" s="36"/>
      <c r="M129" s="36"/>
      <c r="N129" s="36"/>
      <c r="O129" s="10"/>
      <c r="P129" s="10"/>
      <c r="Q129" s="9"/>
      <c r="R129" s="9"/>
      <c r="S129" s="13"/>
      <c r="T129" s="35"/>
      <c r="U129" s="35"/>
      <c r="V129" s="35"/>
      <c r="W129" s="35"/>
      <c r="X129" s="9"/>
      <c r="Y129" s="35"/>
      <c r="Z129" s="9"/>
      <c r="AA129" s="9"/>
    </row>
    <row r="130" spans="1:27" s="106" customFormat="1" ht="14.25" customHeight="1" x14ac:dyDescent="0.25">
      <c r="A130" s="9"/>
      <c r="B130" s="10"/>
      <c r="C130" s="2"/>
      <c r="D130" s="12"/>
      <c r="E130" s="10"/>
      <c r="F130" s="11"/>
      <c r="G130" s="11"/>
      <c r="H130" s="36"/>
      <c r="I130" s="36"/>
      <c r="J130" s="36"/>
      <c r="K130" s="36"/>
      <c r="L130" s="36"/>
      <c r="M130" s="36"/>
      <c r="N130" s="36"/>
      <c r="O130" s="10"/>
      <c r="P130" s="10"/>
      <c r="Q130" s="9"/>
      <c r="R130" s="9"/>
      <c r="S130" s="13"/>
      <c r="T130" s="35"/>
      <c r="U130" s="35"/>
      <c r="V130" s="35"/>
      <c r="W130" s="35"/>
      <c r="X130" s="9"/>
      <c r="Y130" s="35"/>
      <c r="Z130" s="9"/>
      <c r="AA130" s="9"/>
    </row>
    <row r="131" spans="1:27" s="135" customFormat="1" ht="14.25" customHeight="1" x14ac:dyDescent="0.25">
      <c r="A131" s="9"/>
      <c r="B131" s="10"/>
      <c r="C131" s="2"/>
      <c r="D131" s="12"/>
      <c r="E131" s="10"/>
      <c r="F131" s="11"/>
      <c r="G131" s="11"/>
      <c r="H131" s="36"/>
      <c r="I131" s="36"/>
      <c r="J131" s="36"/>
      <c r="K131" s="36"/>
      <c r="L131" s="36"/>
      <c r="M131" s="36"/>
      <c r="N131" s="36"/>
      <c r="O131" s="10"/>
      <c r="P131" s="10"/>
      <c r="Q131" s="9"/>
      <c r="R131" s="9"/>
      <c r="S131" s="13"/>
      <c r="T131" s="35"/>
      <c r="U131" s="35"/>
      <c r="V131" s="35"/>
      <c r="W131" s="35"/>
      <c r="X131" s="9"/>
      <c r="Y131" s="35"/>
      <c r="Z131" s="9"/>
      <c r="AA131" s="9"/>
    </row>
    <row r="132" spans="1:27" s="106" customFormat="1" ht="14.25" customHeight="1" x14ac:dyDescent="0.25">
      <c r="A132" s="9"/>
      <c r="B132" s="10"/>
      <c r="C132" s="2"/>
      <c r="D132" s="12"/>
      <c r="E132" s="10"/>
      <c r="F132" s="11"/>
      <c r="G132" s="11"/>
      <c r="H132" s="36"/>
      <c r="I132" s="36"/>
      <c r="J132" s="36"/>
      <c r="K132" s="36"/>
      <c r="L132" s="36"/>
      <c r="M132" s="36"/>
      <c r="N132" s="36"/>
      <c r="O132" s="10"/>
      <c r="P132" s="10"/>
      <c r="Q132" s="9"/>
      <c r="R132" s="9"/>
      <c r="S132" s="13"/>
      <c r="T132" s="35"/>
      <c r="U132" s="35"/>
      <c r="V132" s="35"/>
      <c r="W132" s="35"/>
      <c r="X132" s="9"/>
      <c r="Y132" s="35"/>
      <c r="Z132" s="9"/>
      <c r="AA132" s="9"/>
    </row>
    <row r="133" spans="1:27" s="106" customFormat="1" ht="14.25" customHeight="1" x14ac:dyDescent="0.25">
      <c r="A133" s="9"/>
      <c r="B133" s="10"/>
      <c r="C133" s="2"/>
      <c r="D133" s="12"/>
      <c r="E133" s="10"/>
      <c r="F133" s="11"/>
      <c r="G133" s="11"/>
      <c r="H133" s="36"/>
      <c r="I133" s="36"/>
      <c r="J133" s="36"/>
      <c r="K133" s="36"/>
      <c r="L133" s="36"/>
      <c r="M133" s="36"/>
      <c r="N133" s="36"/>
      <c r="O133" s="10"/>
      <c r="P133" s="10"/>
      <c r="Q133" s="9"/>
      <c r="R133" s="9"/>
      <c r="S133" s="13"/>
      <c r="T133" s="35"/>
      <c r="U133" s="35"/>
      <c r="V133" s="35"/>
      <c r="W133" s="35"/>
      <c r="X133" s="9"/>
      <c r="Y133" s="35"/>
      <c r="Z133" s="9"/>
      <c r="AA133" s="9"/>
    </row>
    <row r="134" spans="1:27" s="106" customFormat="1" ht="14.25" customHeight="1" x14ac:dyDescent="0.25">
      <c r="A134" s="9"/>
      <c r="B134" s="10"/>
      <c r="C134" s="2"/>
      <c r="D134" s="12"/>
      <c r="E134" s="10"/>
      <c r="F134" s="11"/>
      <c r="G134" s="11"/>
      <c r="H134" s="36"/>
      <c r="I134" s="36"/>
      <c r="J134" s="36"/>
      <c r="K134" s="36"/>
      <c r="L134" s="36"/>
      <c r="M134" s="36"/>
      <c r="N134" s="36"/>
      <c r="O134" s="10"/>
      <c r="P134" s="10"/>
      <c r="Q134" s="9"/>
      <c r="R134" s="9"/>
      <c r="S134" s="13"/>
      <c r="T134" s="35"/>
      <c r="U134" s="35"/>
      <c r="V134" s="35"/>
      <c r="W134" s="35"/>
      <c r="X134" s="9"/>
      <c r="Y134" s="35"/>
      <c r="Z134" s="9"/>
      <c r="AA134" s="9"/>
    </row>
    <row r="135" spans="1:27" s="106" customFormat="1" ht="14.25" customHeight="1" x14ac:dyDescent="0.25">
      <c r="A135" s="9"/>
      <c r="B135" s="10"/>
      <c r="C135" s="2"/>
      <c r="D135" s="12"/>
      <c r="E135" s="10"/>
      <c r="F135" s="11"/>
      <c r="G135" s="11"/>
      <c r="H135" s="36"/>
      <c r="I135" s="36"/>
      <c r="J135" s="36"/>
      <c r="K135" s="36"/>
      <c r="L135" s="36"/>
      <c r="M135" s="36"/>
      <c r="N135" s="36"/>
      <c r="O135" s="10"/>
      <c r="P135" s="10"/>
      <c r="Q135" s="9"/>
      <c r="R135" s="9"/>
      <c r="S135" s="13"/>
      <c r="T135" s="35"/>
      <c r="U135" s="35"/>
      <c r="V135" s="35"/>
      <c r="W135" s="35"/>
      <c r="X135" s="9"/>
      <c r="Y135" s="35"/>
      <c r="Z135" s="9"/>
      <c r="AA135" s="9"/>
    </row>
    <row r="136" spans="1:27" s="106" customFormat="1" ht="14.25" customHeight="1" x14ac:dyDescent="0.25">
      <c r="A136" s="9"/>
      <c r="B136" s="10"/>
      <c r="C136" s="2"/>
      <c r="D136" s="12"/>
      <c r="E136" s="10"/>
      <c r="F136" s="11"/>
      <c r="G136" s="11"/>
      <c r="H136" s="36"/>
      <c r="I136" s="36"/>
      <c r="J136" s="36"/>
      <c r="K136" s="36"/>
      <c r="L136" s="36"/>
      <c r="M136" s="36"/>
      <c r="N136" s="36"/>
      <c r="O136" s="10"/>
      <c r="P136" s="10"/>
      <c r="Q136" s="9"/>
      <c r="R136" s="9"/>
      <c r="S136" s="13"/>
      <c r="T136" s="35"/>
      <c r="U136" s="35"/>
      <c r="V136" s="35"/>
      <c r="W136" s="35"/>
      <c r="X136" s="9"/>
      <c r="Y136" s="35"/>
      <c r="Z136" s="9"/>
      <c r="AA136" s="9"/>
    </row>
    <row r="137" spans="1:27" s="106" customFormat="1" ht="14.25" customHeight="1" x14ac:dyDescent="0.25">
      <c r="A137" s="9"/>
      <c r="B137" s="10"/>
      <c r="C137" s="2"/>
      <c r="D137" s="12"/>
      <c r="E137" s="10"/>
      <c r="F137" s="11"/>
      <c r="G137" s="11"/>
      <c r="H137" s="36"/>
      <c r="I137" s="36"/>
      <c r="J137" s="36"/>
      <c r="K137" s="36"/>
      <c r="L137" s="36"/>
      <c r="M137" s="36"/>
      <c r="N137" s="36"/>
      <c r="O137" s="10"/>
      <c r="P137" s="10"/>
      <c r="Q137" s="9"/>
      <c r="R137" s="9"/>
      <c r="S137" s="13"/>
      <c r="T137" s="35"/>
      <c r="U137" s="35"/>
      <c r="V137" s="35"/>
      <c r="W137" s="35"/>
      <c r="X137" s="9"/>
      <c r="Y137" s="35"/>
      <c r="Z137" s="9"/>
      <c r="AA137" s="9"/>
    </row>
    <row r="138" spans="1:27" s="106" customFormat="1" ht="14.25" customHeight="1" x14ac:dyDescent="0.25">
      <c r="A138" s="9"/>
      <c r="B138" s="10"/>
      <c r="C138" s="2"/>
      <c r="D138" s="12"/>
      <c r="E138" s="10"/>
      <c r="F138" s="11"/>
      <c r="G138" s="11"/>
      <c r="H138" s="36"/>
      <c r="I138" s="36"/>
      <c r="J138" s="36"/>
      <c r="K138" s="36"/>
      <c r="L138" s="36"/>
      <c r="M138" s="36"/>
      <c r="N138" s="36"/>
      <c r="O138" s="10"/>
      <c r="P138" s="10"/>
      <c r="Q138" s="9"/>
      <c r="R138" s="9"/>
      <c r="S138" s="13"/>
      <c r="T138" s="35"/>
      <c r="U138" s="35"/>
      <c r="V138" s="35"/>
      <c r="W138" s="35"/>
      <c r="X138" s="9"/>
      <c r="Y138" s="35"/>
      <c r="Z138" s="9"/>
      <c r="AA138" s="9"/>
    </row>
    <row r="139" spans="1:27" s="106" customFormat="1" ht="14.25" customHeight="1" x14ac:dyDescent="0.25">
      <c r="A139" s="9"/>
      <c r="B139" s="10"/>
      <c r="C139" s="2"/>
      <c r="D139" s="12"/>
      <c r="E139" s="10"/>
      <c r="F139" s="11"/>
      <c r="G139" s="11"/>
      <c r="H139" s="36"/>
      <c r="I139" s="36"/>
      <c r="J139" s="36"/>
      <c r="K139" s="36"/>
      <c r="L139" s="36"/>
      <c r="M139" s="36"/>
      <c r="N139" s="36"/>
      <c r="O139" s="10"/>
      <c r="P139" s="10"/>
      <c r="Q139" s="9"/>
      <c r="R139" s="9"/>
      <c r="S139" s="13"/>
      <c r="T139" s="35"/>
      <c r="U139" s="35"/>
      <c r="V139" s="35"/>
      <c r="W139" s="35"/>
      <c r="X139" s="9"/>
      <c r="Y139" s="35"/>
      <c r="Z139" s="9"/>
      <c r="AA139" s="9"/>
    </row>
    <row r="140" spans="1:27" s="106" customFormat="1" ht="14.25" customHeight="1" x14ac:dyDescent="0.25">
      <c r="A140" s="9"/>
      <c r="B140" s="10"/>
      <c r="C140" s="2"/>
      <c r="D140" s="12"/>
      <c r="E140" s="10"/>
      <c r="F140" s="11"/>
      <c r="G140" s="11"/>
      <c r="H140" s="36"/>
      <c r="I140" s="36"/>
      <c r="J140" s="36"/>
      <c r="K140" s="36"/>
      <c r="L140" s="36"/>
      <c r="M140" s="36"/>
      <c r="N140" s="36"/>
      <c r="O140" s="10"/>
      <c r="P140" s="10"/>
      <c r="Q140" s="9"/>
      <c r="R140" s="9"/>
      <c r="S140" s="13"/>
      <c r="T140" s="35"/>
      <c r="U140" s="35"/>
      <c r="V140" s="35"/>
      <c r="W140" s="35"/>
      <c r="X140" s="9"/>
      <c r="Y140" s="35"/>
      <c r="Z140" s="9"/>
      <c r="AA140" s="9"/>
    </row>
    <row r="141" spans="1:27" s="106" customFormat="1" ht="14.25" customHeight="1" x14ac:dyDescent="0.25">
      <c r="A141" s="9"/>
      <c r="B141" s="10"/>
      <c r="C141" s="2"/>
      <c r="D141" s="12"/>
      <c r="E141" s="10"/>
      <c r="F141" s="11"/>
      <c r="G141" s="11"/>
      <c r="H141" s="36"/>
      <c r="I141" s="36"/>
      <c r="J141" s="36"/>
      <c r="K141" s="36"/>
      <c r="L141" s="36"/>
      <c r="M141" s="36"/>
      <c r="N141" s="36"/>
      <c r="O141" s="10"/>
      <c r="P141" s="10"/>
      <c r="Q141" s="9"/>
      <c r="R141" s="9"/>
      <c r="S141" s="13"/>
      <c r="T141" s="35"/>
      <c r="U141" s="35"/>
      <c r="V141" s="35"/>
      <c r="W141" s="35"/>
      <c r="X141" s="9"/>
      <c r="Y141" s="35"/>
      <c r="Z141" s="9"/>
      <c r="AA141" s="9"/>
    </row>
    <row r="142" spans="1:27" s="106" customFormat="1" ht="14.25" customHeight="1" x14ac:dyDescent="0.25">
      <c r="A142" s="9"/>
      <c r="B142" s="10"/>
      <c r="C142" s="2"/>
      <c r="D142" s="12"/>
      <c r="E142" s="10"/>
      <c r="F142" s="11"/>
      <c r="G142" s="11"/>
      <c r="H142" s="36"/>
      <c r="I142" s="36"/>
      <c r="J142" s="36"/>
      <c r="K142" s="36"/>
      <c r="L142" s="36"/>
      <c r="M142" s="36"/>
      <c r="N142" s="36"/>
      <c r="O142" s="10"/>
      <c r="P142" s="10"/>
      <c r="Q142" s="9"/>
      <c r="R142" s="9"/>
      <c r="S142" s="13"/>
      <c r="T142" s="35"/>
      <c r="U142" s="35"/>
      <c r="V142" s="35"/>
      <c r="W142" s="35"/>
      <c r="X142" s="9"/>
      <c r="Y142" s="35"/>
      <c r="Z142" s="9"/>
      <c r="AA142" s="9"/>
    </row>
    <row r="143" spans="1:27" s="106" customFormat="1" ht="14.25" customHeight="1" x14ac:dyDescent="0.25">
      <c r="A143" s="9"/>
      <c r="B143" s="10"/>
      <c r="C143" s="2"/>
      <c r="D143" s="12"/>
      <c r="E143" s="10"/>
      <c r="F143" s="11"/>
      <c r="G143" s="11"/>
      <c r="H143" s="36"/>
      <c r="I143" s="36"/>
      <c r="J143" s="36"/>
      <c r="K143" s="36"/>
      <c r="L143" s="36"/>
      <c r="M143" s="36"/>
      <c r="N143" s="36"/>
      <c r="O143" s="10"/>
      <c r="P143" s="10"/>
      <c r="Q143" s="9"/>
      <c r="R143" s="9"/>
      <c r="S143" s="13"/>
      <c r="T143" s="35"/>
      <c r="U143" s="35"/>
      <c r="V143" s="35"/>
      <c r="W143" s="35"/>
      <c r="X143" s="9"/>
      <c r="Y143" s="35"/>
      <c r="Z143" s="9"/>
      <c r="AA143" s="9"/>
    </row>
    <row r="144" spans="1:27" s="106" customFormat="1" ht="14.25" customHeight="1" x14ac:dyDescent="0.25">
      <c r="A144" s="9"/>
      <c r="B144" s="10"/>
      <c r="C144" s="2"/>
      <c r="D144" s="12"/>
      <c r="E144" s="10"/>
      <c r="F144" s="11"/>
      <c r="G144" s="11"/>
      <c r="H144" s="36"/>
      <c r="I144" s="36"/>
      <c r="J144" s="36"/>
      <c r="K144" s="36"/>
      <c r="L144" s="36"/>
      <c r="M144" s="36"/>
      <c r="N144" s="36"/>
      <c r="O144" s="10"/>
      <c r="P144" s="10"/>
      <c r="Q144" s="9"/>
      <c r="R144" s="9"/>
      <c r="S144" s="13"/>
      <c r="T144" s="35"/>
      <c r="U144" s="35"/>
      <c r="V144" s="35"/>
      <c r="W144" s="35"/>
      <c r="X144" s="9"/>
      <c r="Y144" s="35"/>
      <c r="Z144" s="9"/>
      <c r="AA144" s="9"/>
    </row>
    <row r="145" spans="1:27" s="106" customFormat="1" ht="14.25" customHeight="1" x14ac:dyDescent="0.25">
      <c r="A145" s="9"/>
      <c r="B145" s="10"/>
      <c r="C145" s="2"/>
      <c r="D145" s="12"/>
      <c r="E145" s="10"/>
      <c r="F145" s="11"/>
      <c r="G145" s="11"/>
      <c r="H145" s="36"/>
      <c r="I145" s="36"/>
      <c r="J145" s="36"/>
      <c r="K145" s="36"/>
      <c r="L145" s="36"/>
      <c r="M145" s="36"/>
      <c r="N145" s="36"/>
      <c r="O145" s="10"/>
      <c r="P145" s="10"/>
      <c r="Q145" s="9"/>
      <c r="R145" s="9"/>
      <c r="S145" s="13"/>
      <c r="T145" s="35"/>
      <c r="U145" s="35"/>
      <c r="V145" s="35"/>
      <c r="W145" s="35"/>
      <c r="X145" s="9"/>
      <c r="Y145" s="35"/>
      <c r="Z145" s="9"/>
      <c r="AA145" s="9"/>
    </row>
    <row r="146" spans="1:27" s="106" customFormat="1" ht="14.25" customHeight="1" x14ac:dyDescent="0.25">
      <c r="A146" s="9"/>
      <c r="B146" s="10"/>
      <c r="C146" s="2"/>
      <c r="D146" s="12"/>
      <c r="E146" s="10"/>
      <c r="F146" s="11"/>
      <c r="G146" s="11"/>
      <c r="H146" s="36"/>
      <c r="I146" s="36"/>
      <c r="J146" s="36"/>
      <c r="K146" s="36"/>
      <c r="L146" s="36"/>
      <c r="M146" s="36"/>
      <c r="N146" s="36"/>
      <c r="O146" s="10"/>
      <c r="P146" s="10"/>
      <c r="Q146" s="9"/>
      <c r="R146" s="9"/>
      <c r="S146" s="13"/>
      <c r="T146" s="35"/>
      <c r="U146" s="35"/>
      <c r="V146" s="35"/>
      <c r="W146" s="35"/>
      <c r="X146" s="9"/>
      <c r="Y146" s="35"/>
      <c r="Z146" s="9"/>
      <c r="AA146" s="9"/>
    </row>
    <row r="147" spans="1:27" s="106" customFormat="1" ht="14.25" customHeight="1" x14ac:dyDescent="0.25">
      <c r="A147" s="9"/>
      <c r="B147" s="10"/>
      <c r="C147" s="2"/>
      <c r="D147" s="12"/>
      <c r="E147" s="10"/>
      <c r="F147" s="11"/>
      <c r="G147" s="11"/>
      <c r="H147" s="36"/>
      <c r="I147" s="36"/>
      <c r="J147" s="36"/>
      <c r="K147" s="36"/>
      <c r="L147" s="36"/>
      <c r="M147" s="36"/>
      <c r="N147" s="36"/>
      <c r="O147" s="10"/>
      <c r="P147" s="10"/>
      <c r="Q147" s="9"/>
      <c r="R147" s="9"/>
      <c r="S147" s="13"/>
      <c r="T147" s="35"/>
      <c r="U147" s="35"/>
      <c r="V147" s="35"/>
      <c r="W147" s="35"/>
      <c r="X147" s="9"/>
      <c r="Y147" s="35"/>
      <c r="Z147" s="9"/>
      <c r="AA147" s="9"/>
    </row>
    <row r="148" spans="1:27" s="106" customFormat="1" ht="14.25" customHeight="1" x14ac:dyDescent="0.25">
      <c r="A148" s="9"/>
      <c r="B148" s="10"/>
      <c r="C148" s="2"/>
      <c r="D148" s="12"/>
      <c r="E148" s="10"/>
      <c r="F148" s="11"/>
      <c r="G148" s="11"/>
      <c r="H148" s="36"/>
      <c r="I148" s="36"/>
      <c r="J148" s="36"/>
      <c r="K148" s="36"/>
      <c r="L148" s="36"/>
      <c r="M148" s="36"/>
      <c r="N148" s="36"/>
      <c r="O148" s="10"/>
      <c r="P148" s="10"/>
      <c r="Q148" s="9"/>
      <c r="R148" s="9"/>
      <c r="S148" s="13"/>
      <c r="T148" s="35"/>
      <c r="U148" s="35"/>
      <c r="V148" s="35"/>
      <c r="W148" s="35"/>
      <c r="X148" s="9"/>
      <c r="Y148" s="35"/>
      <c r="Z148" s="9"/>
      <c r="AA148" s="9"/>
    </row>
    <row r="149" spans="1:27" s="106" customFormat="1" ht="14.25" customHeight="1" x14ac:dyDescent="0.25">
      <c r="A149" s="9"/>
      <c r="B149" s="10"/>
      <c r="C149" s="2"/>
      <c r="D149" s="12"/>
      <c r="E149" s="10"/>
      <c r="F149" s="11"/>
      <c r="G149" s="11"/>
      <c r="H149" s="36"/>
      <c r="I149" s="36"/>
      <c r="J149" s="36"/>
      <c r="K149" s="36"/>
      <c r="L149" s="36"/>
      <c r="M149" s="36"/>
      <c r="N149" s="36"/>
      <c r="O149" s="10"/>
      <c r="P149" s="10"/>
      <c r="Q149" s="9"/>
      <c r="R149" s="9"/>
      <c r="S149" s="13"/>
      <c r="T149" s="35"/>
      <c r="U149" s="35"/>
      <c r="V149" s="35"/>
      <c r="W149" s="35"/>
      <c r="X149" s="9"/>
      <c r="Y149" s="35"/>
      <c r="Z149" s="9"/>
      <c r="AA149" s="9"/>
    </row>
    <row r="150" spans="1:27" s="135" customFormat="1" x14ac:dyDescent="0.25">
      <c r="A150" s="9"/>
      <c r="B150" s="10"/>
      <c r="C150" s="2"/>
      <c r="D150" s="12"/>
      <c r="E150" s="10"/>
      <c r="F150" s="11"/>
      <c r="G150" s="11"/>
      <c r="H150" s="36"/>
      <c r="I150" s="36"/>
      <c r="J150" s="36"/>
      <c r="K150" s="36"/>
      <c r="L150" s="36"/>
      <c r="M150" s="36"/>
      <c r="N150" s="36"/>
      <c r="O150" s="10"/>
      <c r="P150" s="10"/>
      <c r="Q150" s="9"/>
      <c r="R150" s="9"/>
      <c r="S150" s="13"/>
      <c r="T150" s="35"/>
      <c r="U150" s="35"/>
      <c r="V150" s="35"/>
      <c r="W150" s="35"/>
      <c r="X150" s="9"/>
      <c r="Y150" s="35"/>
      <c r="Z150" s="9"/>
      <c r="AA150" s="9"/>
    </row>
    <row r="151" spans="1:27" s="106" customFormat="1" ht="14.25" customHeight="1" x14ac:dyDescent="0.25">
      <c r="A151" s="9"/>
      <c r="B151" s="10"/>
      <c r="C151" s="2"/>
      <c r="D151" s="12"/>
      <c r="E151" s="10"/>
      <c r="F151" s="11"/>
      <c r="G151" s="11"/>
      <c r="H151" s="36"/>
      <c r="I151" s="36"/>
      <c r="J151" s="36"/>
      <c r="K151" s="36"/>
      <c r="L151" s="36"/>
      <c r="M151" s="36"/>
      <c r="N151" s="36"/>
      <c r="O151" s="10"/>
      <c r="P151" s="10"/>
      <c r="Q151" s="9"/>
      <c r="R151" s="9"/>
      <c r="S151" s="13"/>
      <c r="T151" s="35"/>
      <c r="U151" s="35"/>
      <c r="V151" s="35"/>
      <c r="W151" s="35"/>
      <c r="X151" s="9"/>
      <c r="Y151" s="35"/>
      <c r="Z151" s="9"/>
      <c r="AA151" s="9"/>
    </row>
    <row r="152" spans="1:27" s="106" customFormat="1" ht="14.25" customHeight="1" x14ac:dyDescent="0.25">
      <c r="A152" s="9"/>
      <c r="B152" s="10"/>
      <c r="C152" s="2"/>
      <c r="D152" s="12"/>
      <c r="E152" s="10"/>
      <c r="F152" s="11"/>
      <c r="G152" s="11"/>
      <c r="H152" s="36"/>
      <c r="I152" s="36"/>
      <c r="J152" s="36"/>
      <c r="K152" s="36"/>
      <c r="L152" s="36"/>
      <c r="M152" s="36"/>
      <c r="N152" s="36"/>
      <c r="O152" s="10"/>
      <c r="P152" s="10"/>
      <c r="Q152" s="9"/>
      <c r="R152" s="9"/>
      <c r="S152" s="13"/>
      <c r="T152" s="35"/>
      <c r="U152" s="35"/>
      <c r="V152" s="35"/>
      <c r="W152" s="35"/>
      <c r="X152" s="9"/>
      <c r="Y152" s="35"/>
      <c r="Z152" s="9"/>
      <c r="AA152" s="9"/>
    </row>
    <row r="153" spans="1:27" s="106" customFormat="1" ht="14.25" customHeight="1" x14ac:dyDescent="0.25">
      <c r="A153" s="9"/>
      <c r="B153" s="10"/>
      <c r="C153" s="2"/>
      <c r="D153" s="12"/>
      <c r="E153" s="10"/>
      <c r="F153" s="11"/>
      <c r="G153" s="11"/>
      <c r="H153" s="36"/>
      <c r="I153" s="36"/>
      <c r="J153" s="36"/>
      <c r="K153" s="36"/>
      <c r="L153" s="36"/>
      <c r="M153" s="36"/>
      <c r="N153" s="36"/>
      <c r="O153" s="10"/>
      <c r="P153" s="10"/>
      <c r="Q153" s="9"/>
      <c r="R153" s="9"/>
      <c r="S153" s="13"/>
      <c r="T153" s="35"/>
      <c r="U153" s="35"/>
      <c r="V153" s="35"/>
      <c r="W153" s="35"/>
      <c r="X153" s="9"/>
      <c r="Y153" s="35"/>
      <c r="Z153" s="9"/>
      <c r="AA153" s="9"/>
    </row>
    <row r="154" spans="1:27" s="106" customFormat="1" ht="14.25" customHeight="1" x14ac:dyDescent="0.25">
      <c r="A154" s="9"/>
      <c r="B154" s="10"/>
      <c r="C154" s="2"/>
      <c r="D154" s="12"/>
      <c r="E154" s="10"/>
      <c r="F154" s="11"/>
      <c r="G154" s="11"/>
      <c r="H154" s="36"/>
      <c r="I154" s="36"/>
      <c r="J154" s="36"/>
      <c r="K154" s="36"/>
      <c r="L154" s="36"/>
      <c r="M154" s="36"/>
      <c r="N154" s="36"/>
      <c r="O154" s="10"/>
      <c r="P154" s="10"/>
      <c r="Q154" s="9"/>
      <c r="R154" s="9"/>
      <c r="S154" s="13"/>
      <c r="T154" s="35"/>
      <c r="U154" s="35"/>
      <c r="V154" s="35"/>
      <c r="W154" s="35"/>
      <c r="X154" s="9"/>
      <c r="Y154" s="35"/>
      <c r="Z154" s="9"/>
      <c r="AA154" s="9"/>
    </row>
    <row r="155" spans="1:27" s="106" customFormat="1" ht="14.25" customHeight="1" x14ac:dyDescent="0.25">
      <c r="A155" s="9"/>
      <c r="B155" s="10"/>
      <c r="C155" s="2"/>
      <c r="D155" s="12"/>
      <c r="E155" s="10"/>
      <c r="F155" s="11"/>
      <c r="G155" s="11"/>
      <c r="H155" s="36"/>
      <c r="I155" s="36"/>
      <c r="J155" s="36"/>
      <c r="K155" s="36"/>
      <c r="L155" s="36"/>
      <c r="M155" s="36"/>
      <c r="N155" s="36"/>
      <c r="O155" s="10"/>
      <c r="P155" s="10"/>
      <c r="Q155" s="9"/>
      <c r="R155" s="9"/>
      <c r="S155" s="13"/>
      <c r="T155" s="35"/>
      <c r="U155" s="35"/>
      <c r="V155" s="35"/>
      <c r="W155" s="35"/>
      <c r="X155" s="9"/>
      <c r="Y155" s="35"/>
      <c r="Z155" s="9"/>
      <c r="AA155" s="9"/>
    </row>
    <row r="156" spans="1:27" s="106" customFormat="1" ht="14.25" customHeight="1" x14ac:dyDescent="0.25">
      <c r="A156" s="9"/>
      <c r="B156" s="10"/>
      <c r="C156" s="2"/>
      <c r="D156" s="12"/>
      <c r="E156" s="10"/>
      <c r="F156" s="11"/>
      <c r="G156" s="11"/>
      <c r="H156" s="36"/>
      <c r="I156" s="36"/>
      <c r="J156" s="36"/>
      <c r="K156" s="36"/>
      <c r="L156" s="36"/>
      <c r="M156" s="36"/>
      <c r="N156" s="36"/>
      <c r="O156" s="10"/>
      <c r="P156" s="10"/>
      <c r="Q156" s="9"/>
      <c r="R156" s="9"/>
      <c r="S156" s="13"/>
      <c r="T156" s="35"/>
      <c r="U156" s="35"/>
      <c r="V156" s="35"/>
      <c r="W156" s="35"/>
      <c r="X156" s="9"/>
      <c r="Y156" s="35"/>
      <c r="Z156" s="9"/>
      <c r="AA156" s="9"/>
    </row>
    <row r="157" spans="1:27" s="106" customFormat="1" ht="14.25" customHeight="1" x14ac:dyDescent="0.25">
      <c r="A157" s="9"/>
      <c r="B157" s="10"/>
      <c r="C157" s="2"/>
      <c r="D157" s="12"/>
      <c r="E157" s="10"/>
      <c r="F157" s="11"/>
      <c r="G157" s="11"/>
      <c r="H157" s="36"/>
      <c r="I157" s="36"/>
      <c r="J157" s="36"/>
      <c r="K157" s="36"/>
      <c r="L157" s="36"/>
      <c r="M157" s="36"/>
      <c r="N157" s="36"/>
      <c r="O157" s="10"/>
      <c r="P157" s="10"/>
      <c r="Q157" s="9"/>
      <c r="R157" s="9"/>
      <c r="S157" s="13"/>
      <c r="T157" s="35"/>
      <c r="U157" s="35"/>
      <c r="V157" s="35"/>
      <c r="W157" s="35"/>
      <c r="X157" s="9"/>
      <c r="Y157" s="35"/>
      <c r="Z157" s="9"/>
      <c r="AA157" s="9"/>
    </row>
    <row r="158" spans="1:27" s="62" customFormat="1" x14ac:dyDescent="0.25">
      <c r="A158" s="9"/>
      <c r="B158" s="10"/>
      <c r="C158" s="2"/>
      <c r="D158" s="12"/>
      <c r="E158" s="10"/>
      <c r="F158" s="11"/>
      <c r="G158" s="11"/>
      <c r="H158" s="36"/>
      <c r="I158" s="36"/>
      <c r="J158" s="36"/>
      <c r="K158" s="36"/>
      <c r="L158" s="36"/>
      <c r="M158" s="36"/>
      <c r="N158" s="36"/>
      <c r="O158" s="10"/>
      <c r="P158" s="10"/>
      <c r="Q158" s="9"/>
      <c r="R158" s="9"/>
      <c r="S158" s="13"/>
      <c r="T158" s="35"/>
      <c r="U158" s="35"/>
      <c r="V158" s="35"/>
      <c r="W158" s="35"/>
      <c r="X158" s="9"/>
      <c r="Y158" s="35"/>
      <c r="Z158" s="9"/>
      <c r="AA158" s="9"/>
    </row>
    <row r="159" spans="1:27" s="135" customFormat="1" ht="14.25" customHeight="1" x14ac:dyDescent="0.25">
      <c r="A159" s="9"/>
      <c r="B159" s="10"/>
      <c r="C159" s="2"/>
      <c r="D159" s="12"/>
      <c r="E159" s="10"/>
      <c r="F159" s="11"/>
      <c r="G159" s="11"/>
      <c r="H159" s="36"/>
      <c r="I159" s="36"/>
      <c r="J159" s="36"/>
      <c r="K159" s="36"/>
      <c r="L159" s="36"/>
      <c r="M159" s="36"/>
      <c r="N159" s="36"/>
      <c r="O159" s="10"/>
      <c r="P159" s="10"/>
      <c r="Q159" s="9"/>
      <c r="R159" s="9"/>
      <c r="S159" s="13"/>
      <c r="T159" s="35"/>
      <c r="U159" s="35"/>
      <c r="V159" s="35"/>
      <c r="W159" s="35"/>
      <c r="X159" s="9"/>
      <c r="Y159" s="35"/>
      <c r="Z159" s="9"/>
      <c r="AA159" s="9"/>
    </row>
    <row r="160" spans="1:27" s="135" customFormat="1" ht="14.25" customHeight="1" x14ac:dyDescent="0.25">
      <c r="A160" s="9"/>
      <c r="B160" s="10"/>
      <c r="C160" s="2"/>
      <c r="D160" s="12"/>
      <c r="E160" s="10"/>
      <c r="F160" s="11"/>
      <c r="G160" s="11"/>
      <c r="H160" s="36"/>
      <c r="I160" s="36"/>
      <c r="J160" s="36"/>
      <c r="K160" s="36"/>
      <c r="L160" s="36"/>
      <c r="M160" s="36"/>
      <c r="N160" s="36"/>
      <c r="O160" s="10"/>
      <c r="P160" s="10"/>
      <c r="Q160" s="9"/>
      <c r="R160" s="9"/>
      <c r="S160" s="13"/>
      <c r="T160" s="35"/>
      <c r="U160" s="35"/>
      <c r="V160" s="35"/>
      <c r="W160" s="35"/>
      <c r="X160" s="9"/>
      <c r="Y160" s="35"/>
      <c r="Z160" s="9"/>
      <c r="AA160" s="9"/>
    </row>
    <row r="161" spans="1:27" s="135" customFormat="1" ht="16.5" customHeight="1" x14ac:dyDescent="0.25">
      <c r="A161" s="9"/>
      <c r="B161" s="10"/>
      <c r="C161" s="2"/>
      <c r="D161" s="12"/>
      <c r="E161" s="10"/>
      <c r="F161" s="11"/>
      <c r="G161" s="11"/>
      <c r="H161" s="36"/>
      <c r="I161" s="36"/>
      <c r="J161" s="36"/>
      <c r="K161" s="36"/>
      <c r="L161" s="36"/>
      <c r="M161" s="36"/>
      <c r="N161" s="36"/>
      <c r="O161" s="10"/>
      <c r="P161" s="10"/>
      <c r="Q161" s="9"/>
      <c r="R161" s="9"/>
      <c r="S161" s="13"/>
      <c r="T161" s="35"/>
      <c r="U161" s="35"/>
      <c r="V161" s="35"/>
      <c r="W161" s="35"/>
      <c r="X161" s="9"/>
      <c r="Y161" s="35"/>
      <c r="Z161" s="9"/>
      <c r="AA161" s="9"/>
    </row>
    <row r="162" spans="1:27" s="106" customFormat="1" ht="16.5" customHeight="1" x14ac:dyDescent="0.25">
      <c r="A162" s="9"/>
      <c r="B162" s="10"/>
      <c r="C162" s="2"/>
      <c r="D162" s="12"/>
      <c r="E162" s="10"/>
      <c r="F162" s="11"/>
      <c r="G162" s="11"/>
      <c r="H162" s="36"/>
      <c r="I162" s="36"/>
      <c r="J162" s="36"/>
      <c r="K162" s="36"/>
      <c r="L162" s="36"/>
      <c r="M162" s="36"/>
      <c r="N162" s="36"/>
      <c r="O162" s="10"/>
      <c r="P162" s="10"/>
      <c r="Q162" s="9"/>
      <c r="R162" s="9"/>
      <c r="S162" s="13"/>
      <c r="T162" s="35"/>
      <c r="U162" s="35"/>
      <c r="V162" s="35"/>
      <c r="W162" s="35"/>
      <c r="X162" s="9"/>
      <c r="Y162" s="35"/>
      <c r="Z162" s="9"/>
      <c r="AA162" s="9"/>
    </row>
    <row r="163" spans="1:27" s="106" customFormat="1" ht="16.5" customHeight="1" x14ac:dyDescent="0.25">
      <c r="A163" s="9"/>
      <c r="B163" s="10"/>
      <c r="C163" s="2"/>
      <c r="D163" s="12"/>
      <c r="E163" s="10"/>
      <c r="F163" s="11"/>
      <c r="G163" s="11"/>
      <c r="H163" s="36"/>
      <c r="I163" s="36"/>
      <c r="J163" s="36"/>
      <c r="K163" s="36"/>
      <c r="L163" s="36"/>
      <c r="M163" s="36"/>
      <c r="N163" s="36"/>
      <c r="O163" s="10"/>
      <c r="P163" s="10"/>
      <c r="Q163" s="9"/>
      <c r="R163" s="9"/>
      <c r="S163" s="13"/>
      <c r="T163" s="35"/>
      <c r="U163" s="35"/>
      <c r="V163" s="35"/>
      <c r="W163" s="35"/>
      <c r="X163" s="9"/>
      <c r="Y163" s="35"/>
      <c r="Z163" s="9"/>
      <c r="AA163" s="9"/>
    </row>
    <row r="164" spans="1:27" s="106" customFormat="1" ht="14.25" customHeight="1" x14ac:dyDescent="0.25">
      <c r="A164" s="9"/>
      <c r="B164" s="10"/>
      <c r="C164" s="2"/>
      <c r="D164" s="12"/>
      <c r="E164" s="10"/>
      <c r="F164" s="11"/>
      <c r="G164" s="11"/>
      <c r="H164" s="36"/>
      <c r="I164" s="36"/>
      <c r="J164" s="36"/>
      <c r="K164" s="36"/>
      <c r="L164" s="36"/>
      <c r="M164" s="36"/>
      <c r="N164" s="36"/>
      <c r="O164" s="10"/>
      <c r="P164" s="10"/>
      <c r="Q164" s="9"/>
      <c r="R164" s="9"/>
      <c r="S164" s="13"/>
      <c r="T164" s="35"/>
      <c r="U164" s="35"/>
      <c r="V164" s="35"/>
      <c r="W164" s="35"/>
      <c r="X164" s="9"/>
      <c r="Y164" s="35"/>
      <c r="Z164" s="9"/>
      <c r="AA164" s="9"/>
    </row>
    <row r="165" spans="1:27" s="106" customFormat="1" ht="14.25" customHeight="1" x14ac:dyDescent="0.25">
      <c r="A165" s="9"/>
      <c r="B165" s="10"/>
      <c r="C165" s="2"/>
      <c r="D165" s="12"/>
      <c r="E165" s="10"/>
      <c r="F165" s="11"/>
      <c r="G165" s="11"/>
      <c r="H165" s="36"/>
      <c r="I165" s="36"/>
      <c r="J165" s="36"/>
      <c r="K165" s="36"/>
      <c r="L165" s="36"/>
      <c r="M165" s="36"/>
      <c r="N165" s="36"/>
      <c r="O165" s="10"/>
      <c r="P165" s="10"/>
      <c r="Q165" s="9"/>
      <c r="R165" s="9"/>
      <c r="S165" s="13"/>
      <c r="T165" s="35"/>
      <c r="U165" s="35"/>
      <c r="V165" s="35"/>
      <c r="W165" s="35"/>
      <c r="X165" s="9"/>
      <c r="Y165" s="35"/>
      <c r="Z165" s="9"/>
      <c r="AA165" s="9"/>
    </row>
    <row r="166" spans="1:27" s="106" customFormat="1" ht="14.25" customHeight="1" x14ac:dyDescent="0.25">
      <c r="A166" s="9"/>
      <c r="B166" s="10"/>
      <c r="C166" s="2"/>
      <c r="D166" s="12"/>
      <c r="E166" s="10"/>
      <c r="F166" s="11"/>
      <c r="G166" s="11"/>
      <c r="H166" s="36"/>
      <c r="I166" s="36"/>
      <c r="J166" s="36"/>
      <c r="K166" s="36"/>
      <c r="L166" s="36"/>
      <c r="M166" s="36"/>
      <c r="N166" s="36"/>
      <c r="O166" s="10"/>
      <c r="P166" s="10"/>
      <c r="Q166" s="9"/>
      <c r="R166" s="9"/>
      <c r="S166" s="13"/>
      <c r="T166" s="35"/>
      <c r="U166" s="35"/>
      <c r="V166" s="35"/>
      <c r="W166" s="35"/>
      <c r="X166" s="9"/>
      <c r="Y166" s="35"/>
      <c r="Z166" s="9"/>
      <c r="AA166" s="9"/>
    </row>
    <row r="167" spans="1:27" s="106" customFormat="1" ht="14.25" customHeight="1" x14ac:dyDescent="0.25">
      <c r="A167" s="9"/>
      <c r="B167" s="10"/>
      <c r="C167" s="2"/>
      <c r="D167" s="12"/>
      <c r="E167" s="10"/>
      <c r="F167" s="11"/>
      <c r="G167" s="11"/>
      <c r="H167" s="36"/>
      <c r="I167" s="36"/>
      <c r="J167" s="36"/>
      <c r="K167" s="36"/>
      <c r="L167" s="36"/>
      <c r="M167" s="36"/>
      <c r="N167" s="36"/>
      <c r="O167" s="10"/>
      <c r="P167" s="10"/>
      <c r="Q167" s="9"/>
      <c r="R167" s="9"/>
      <c r="S167" s="13"/>
      <c r="T167" s="35"/>
      <c r="U167" s="35"/>
      <c r="V167" s="35"/>
      <c r="W167" s="35"/>
      <c r="X167" s="9"/>
      <c r="Y167" s="35"/>
      <c r="Z167" s="9"/>
      <c r="AA167" s="9"/>
    </row>
    <row r="168" spans="1:27" s="106" customFormat="1" ht="14.25" customHeight="1" x14ac:dyDescent="0.25">
      <c r="A168" s="9"/>
      <c r="B168" s="10"/>
      <c r="C168" s="2"/>
      <c r="D168" s="12"/>
      <c r="E168" s="10"/>
      <c r="F168" s="11"/>
      <c r="G168" s="11"/>
      <c r="H168" s="36"/>
      <c r="I168" s="36"/>
      <c r="J168" s="36"/>
      <c r="K168" s="36"/>
      <c r="L168" s="36"/>
      <c r="M168" s="36"/>
      <c r="N168" s="36"/>
      <c r="O168" s="10"/>
      <c r="P168" s="10"/>
      <c r="Q168" s="9"/>
      <c r="R168" s="9"/>
      <c r="S168" s="13"/>
      <c r="T168" s="35"/>
      <c r="U168" s="35"/>
      <c r="V168" s="35"/>
      <c r="W168" s="35"/>
      <c r="X168" s="9"/>
      <c r="Y168" s="35"/>
      <c r="Z168" s="9"/>
      <c r="AA168" s="9"/>
    </row>
    <row r="169" spans="1:27" s="106" customFormat="1" ht="16.5" customHeight="1" x14ac:dyDescent="0.25">
      <c r="A169" s="9"/>
      <c r="B169" s="10"/>
      <c r="C169" s="2"/>
      <c r="D169" s="12"/>
      <c r="E169" s="10"/>
      <c r="F169" s="11"/>
      <c r="G169" s="11"/>
      <c r="H169" s="36"/>
      <c r="I169" s="36"/>
      <c r="J169" s="36"/>
      <c r="K169" s="36"/>
      <c r="L169" s="36"/>
      <c r="M169" s="36"/>
      <c r="N169" s="36"/>
      <c r="O169" s="10"/>
      <c r="P169" s="10"/>
      <c r="Q169" s="9"/>
      <c r="R169" s="9"/>
      <c r="S169" s="13"/>
      <c r="T169" s="35"/>
      <c r="U169" s="35"/>
      <c r="V169" s="35"/>
      <c r="W169" s="35"/>
      <c r="X169" s="9"/>
      <c r="Y169" s="35"/>
      <c r="Z169" s="9"/>
      <c r="AA169" s="9"/>
    </row>
    <row r="170" spans="1:27" s="106" customFormat="1" ht="14.25" customHeight="1" x14ac:dyDescent="0.25">
      <c r="A170" s="9"/>
      <c r="B170" s="10"/>
      <c r="C170" s="2"/>
      <c r="D170" s="12"/>
      <c r="E170" s="10"/>
      <c r="F170" s="11"/>
      <c r="G170" s="11"/>
      <c r="H170" s="36"/>
      <c r="I170" s="36"/>
      <c r="J170" s="36"/>
      <c r="K170" s="36"/>
      <c r="L170" s="36"/>
      <c r="M170" s="36"/>
      <c r="N170" s="36"/>
      <c r="O170" s="10"/>
      <c r="P170" s="10"/>
      <c r="Q170" s="9"/>
      <c r="R170" s="9"/>
      <c r="S170" s="13"/>
      <c r="T170" s="35"/>
      <c r="U170" s="35"/>
      <c r="V170" s="35"/>
      <c r="W170" s="35"/>
      <c r="X170" s="9"/>
      <c r="Y170" s="35"/>
      <c r="Z170" s="9"/>
      <c r="AA170" s="9"/>
    </row>
    <row r="171" spans="1:27" s="106" customFormat="1" ht="14.25" customHeight="1" x14ac:dyDescent="0.25">
      <c r="A171" s="9"/>
      <c r="B171" s="10"/>
      <c r="C171" s="2"/>
      <c r="D171" s="12"/>
      <c r="E171" s="10"/>
      <c r="F171" s="11"/>
      <c r="G171" s="11"/>
      <c r="H171" s="36"/>
      <c r="I171" s="36"/>
      <c r="J171" s="36"/>
      <c r="K171" s="36"/>
      <c r="L171" s="36"/>
      <c r="M171" s="36"/>
      <c r="N171" s="36"/>
      <c r="O171" s="10"/>
      <c r="P171" s="10"/>
      <c r="Q171" s="9"/>
      <c r="R171" s="9"/>
      <c r="S171" s="13"/>
      <c r="T171" s="35"/>
      <c r="U171" s="35"/>
      <c r="V171" s="35"/>
      <c r="W171" s="35"/>
      <c r="X171" s="9"/>
      <c r="Y171" s="35"/>
      <c r="Z171" s="9"/>
      <c r="AA171" s="9"/>
    </row>
    <row r="172" spans="1:27" s="106" customFormat="1" ht="14.25" customHeight="1" x14ac:dyDescent="0.25">
      <c r="A172" s="9"/>
      <c r="B172" s="10"/>
      <c r="C172" s="2"/>
      <c r="D172" s="12"/>
      <c r="E172" s="10"/>
      <c r="F172" s="11"/>
      <c r="G172" s="11"/>
      <c r="H172" s="36"/>
      <c r="I172" s="36"/>
      <c r="J172" s="36"/>
      <c r="K172" s="36"/>
      <c r="L172" s="36"/>
      <c r="M172" s="36"/>
      <c r="N172" s="36"/>
      <c r="O172" s="10"/>
      <c r="P172" s="10"/>
      <c r="Q172" s="9"/>
      <c r="R172" s="9"/>
      <c r="S172" s="13"/>
      <c r="T172" s="35"/>
      <c r="U172" s="35"/>
      <c r="V172" s="35"/>
      <c r="W172" s="35"/>
      <c r="X172" s="9"/>
      <c r="Y172" s="35"/>
      <c r="Z172" s="9"/>
      <c r="AA172" s="9"/>
    </row>
    <row r="173" spans="1:27" s="106" customFormat="1" ht="14.25" customHeight="1" x14ac:dyDescent="0.25">
      <c r="A173" s="9"/>
      <c r="B173" s="10"/>
      <c r="C173" s="2"/>
      <c r="D173" s="12"/>
      <c r="E173" s="10"/>
      <c r="F173" s="11"/>
      <c r="G173" s="11"/>
      <c r="H173" s="36"/>
      <c r="I173" s="36"/>
      <c r="J173" s="36"/>
      <c r="K173" s="36"/>
      <c r="L173" s="36"/>
      <c r="M173" s="36"/>
      <c r="N173" s="36"/>
      <c r="O173" s="10"/>
      <c r="P173" s="10"/>
      <c r="Q173" s="9"/>
      <c r="R173" s="9"/>
      <c r="S173" s="13"/>
      <c r="T173" s="35"/>
      <c r="U173" s="35"/>
      <c r="V173" s="35"/>
      <c r="W173" s="35"/>
      <c r="X173" s="9"/>
      <c r="Y173" s="35"/>
      <c r="Z173" s="9"/>
      <c r="AA173" s="9"/>
    </row>
    <row r="174" spans="1:27" s="135" customFormat="1" x14ac:dyDescent="0.25">
      <c r="A174" s="9"/>
      <c r="B174" s="10"/>
      <c r="C174" s="2"/>
      <c r="D174" s="12"/>
      <c r="E174" s="10"/>
      <c r="F174" s="11"/>
      <c r="G174" s="11"/>
      <c r="H174" s="36"/>
      <c r="I174" s="36"/>
      <c r="J174" s="36"/>
      <c r="K174" s="36"/>
      <c r="L174" s="36"/>
      <c r="M174" s="36"/>
      <c r="N174" s="36"/>
      <c r="O174" s="10"/>
      <c r="P174" s="10"/>
      <c r="Q174" s="9"/>
      <c r="R174" s="9"/>
      <c r="S174" s="13"/>
      <c r="T174" s="35"/>
      <c r="U174" s="35"/>
      <c r="V174" s="35"/>
      <c r="W174" s="35"/>
      <c r="X174" s="9"/>
      <c r="Y174" s="35"/>
      <c r="Z174" s="9"/>
      <c r="AA174" s="9"/>
    </row>
    <row r="175" spans="1:27" s="106" customFormat="1" ht="14.25" customHeight="1" x14ac:dyDescent="0.25">
      <c r="A175" s="9"/>
      <c r="B175" s="10"/>
      <c r="C175" s="2"/>
      <c r="D175" s="12"/>
      <c r="E175" s="10"/>
      <c r="F175" s="11"/>
      <c r="G175" s="11"/>
      <c r="H175" s="36"/>
      <c r="I175" s="36"/>
      <c r="J175" s="36"/>
      <c r="K175" s="36"/>
      <c r="L175" s="36"/>
      <c r="M175" s="36"/>
      <c r="N175" s="36"/>
      <c r="O175" s="10"/>
      <c r="P175" s="10"/>
      <c r="Q175" s="9"/>
      <c r="R175" s="9"/>
      <c r="S175" s="13"/>
      <c r="T175" s="35"/>
      <c r="U175" s="35"/>
      <c r="V175" s="35"/>
      <c r="W175" s="35"/>
      <c r="X175" s="9"/>
      <c r="Y175" s="35"/>
      <c r="Z175" s="9"/>
      <c r="AA175" s="9"/>
    </row>
    <row r="176" spans="1:27" s="62" customFormat="1" x14ac:dyDescent="0.25">
      <c r="A176" s="9"/>
      <c r="B176" s="10"/>
      <c r="C176" s="2"/>
      <c r="D176" s="12"/>
      <c r="E176" s="10"/>
      <c r="F176" s="11"/>
      <c r="G176" s="11"/>
      <c r="H176" s="36"/>
      <c r="I176" s="36"/>
      <c r="J176" s="36"/>
      <c r="K176" s="36"/>
      <c r="L176" s="36"/>
      <c r="M176" s="36"/>
      <c r="N176" s="36"/>
      <c r="O176" s="10"/>
      <c r="P176" s="10"/>
      <c r="Q176" s="9"/>
      <c r="R176" s="9"/>
      <c r="S176" s="13"/>
      <c r="T176" s="35"/>
      <c r="U176" s="35"/>
      <c r="V176" s="35"/>
      <c r="W176" s="35"/>
      <c r="X176" s="9"/>
      <c r="Y176" s="35"/>
      <c r="Z176" s="9"/>
      <c r="AA176" s="9"/>
    </row>
    <row r="177" spans="1:27" s="62" customFormat="1" x14ac:dyDescent="0.25">
      <c r="A177" s="9"/>
      <c r="B177" s="10"/>
      <c r="C177" s="2"/>
      <c r="D177" s="12"/>
      <c r="E177" s="10"/>
      <c r="F177" s="11"/>
      <c r="G177" s="11"/>
      <c r="H177" s="36"/>
      <c r="I177" s="36"/>
      <c r="J177" s="36"/>
      <c r="K177" s="36"/>
      <c r="L177" s="36"/>
      <c r="M177" s="36"/>
      <c r="N177" s="36"/>
      <c r="O177" s="10"/>
      <c r="P177" s="10"/>
      <c r="Q177" s="9"/>
      <c r="R177" s="9"/>
      <c r="S177" s="13"/>
      <c r="T177" s="35"/>
      <c r="U177" s="35"/>
      <c r="V177" s="35"/>
      <c r="W177" s="35"/>
      <c r="X177" s="9"/>
      <c r="Y177" s="35"/>
      <c r="Z177" s="9"/>
      <c r="AA177" s="9"/>
    </row>
    <row r="178" spans="1:27" s="62" customFormat="1" x14ac:dyDescent="0.25">
      <c r="A178" s="9"/>
      <c r="B178" s="10"/>
      <c r="C178" s="2"/>
      <c r="D178" s="12"/>
      <c r="E178" s="10"/>
      <c r="F178" s="11"/>
      <c r="G178" s="11"/>
      <c r="H178" s="36"/>
      <c r="I178" s="36"/>
      <c r="J178" s="36"/>
      <c r="K178" s="36"/>
      <c r="L178" s="36"/>
      <c r="M178" s="36"/>
      <c r="N178" s="36"/>
      <c r="O178" s="10"/>
      <c r="P178" s="10"/>
      <c r="Q178" s="9"/>
      <c r="R178" s="9"/>
      <c r="S178" s="13"/>
      <c r="T178" s="35"/>
      <c r="U178" s="35"/>
      <c r="V178" s="35"/>
      <c r="W178" s="35"/>
      <c r="X178" s="9"/>
      <c r="Y178" s="35"/>
      <c r="Z178" s="9"/>
      <c r="AA178" s="9"/>
    </row>
    <row r="179" spans="1:27" s="62" customFormat="1" x14ac:dyDescent="0.25">
      <c r="A179" s="9"/>
      <c r="B179" s="10"/>
      <c r="C179" s="2"/>
      <c r="D179" s="12"/>
      <c r="E179" s="10"/>
      <c r="F179" s="11"/>
      <c r="G179" s="11"/>
      <c r="H179" s="36"/>
      <c r="I179" s="36"/>
      <c r="J179" s="36"/>
      <c r="K179" s="36"/>
      <c r="L179" s="36"/>
      <c r="M179" s="36"/>
      <c r="N179" s="36"/>
      <c r="O179" s="10"/>
      <c r="P179" s="10"/>
      <c r="Q179" s="9"/>
      <c r="R179" s="9"/>
      <c r="S179" s="13"/>
      <c r="T179" s="35"/>
      <c r="U179" s="35"/>
      <c r="V179" s="35"/>
      <c r="W179" s="35"/>
      <c r="X179" s="9"/>
      <c r="Y179" s="35"/>
      <c r="Z179" s="9"/>
      <c r="AA179" s="9"/>
    </row>
    <row r="180" spans="1:27" s="62" customFormat="1" x14ac:dyDescent="0.25">
      <c r="A180" s="9"/>
      <c r="B180" s="10"/>
      <c r="C180" s="2"/>
      <c r="D180" s="12"/>
      <c r="E180" s="10"/>
      <c r="F180" s="11"/>
      <c r="G180" s="11"/>
      <c r="H180" s="36"/>
      <c r="I180" s="36"/>
      <c r="J180" s="36"/>
      <c r="K180" s="36"/>
      <c r="L180" s="36"/>
      <c r="M180" s="36"/>
      <c r="N180" s="36"/>
      <c r="O180" s="10"/>
      <c r="P180" s="10"/>
      <c r="Q180" s="9"/>
      <c r="R180" s="9"/>
      <c r="S180" s="13"/>
      <c r="T180" s="35"/>
      <c r="U180" s="35"/>
      <c r="V180" s="35"/>
      <c r="W180" s="35"/>
      <c r="X180" s="9"/>
      <c r="Y180" s="35"/>
      <c r="Z180" s="9"/>
      <c r="AA180" s="9"/>
    </row>
    <row r="181" spans="1:27" s="62" customFormat="1" x14ac:dyDescent="0.25">
      <c r="A181" s="9"/>
      <c r="B181" s="10"/>
      <c r="C181" s="2"/>
      <c r="D181" s="12"/>
      <c r="E181" s="10"/>
      <c r="F181" s="11"/>
      <c r="G181" s="11"/>
      <c r="H181" s="36"/>
      <c r="I181" s="36"/>
      <c r="J181" s="36"/>
      <c r="K181" s="36"/>
      <c r="L181" s="36"/>
      <c r="M181" s="36"/>
      <c r="N181" s="36"/>
      <c r="O181" s="10"/>
      <c r="P181" s="10"/>
      <c r="Q181" s="9"/>
      <c r="R181" s="9"/>
      <c r="S181" s="13"/>
      <c r="T181" s="35"/>
      <c r="U181" s="35"/>
      <c r="V181" s="35"/>
      <c r="W181" s="35"/>
      <c r="X181" s="9"/>
      <c r="Y181" s="35"/>
      <c r="Z181" s="9"/>
      <c r="AA181" s="9"/>
    </row>
    <row r="182" spans="1:27" s="62" customFormat="1" ht="15" customHeight="1" x14ac:dyDescent="0.25">
      <c r="A182" s="9"/>
      <c r="B182" s="10"/>
      <c r="C182" s="2"/>
      <c r="D182" s="12"/>
      <c r="E182" s="10"/>
      <c r="F182" s="11"/>
      <c r="G182" s="11"/>
      <c r="H182" s="36"/>
      <c r="I182" s="36"/>
      <c r="J182" s="36"/>
      <c r="K182" s="36"/>
      <c r="L182" s="36"/>
      <c r="M182" s="36"/>
      <c r="N182" s="36"/>
      <c r="O182" s="10"/>
      <c r="P182" s="10"/>
      <c r="Q182" s="9"/>
      <c r="R182" s="9"/>
      <c r="S182" s="13"/>
      <c r="T182" s="35"/>
      <c r="U182" s="35"/>
      <c r="V182" s="35"/>
      <c r="W182" s="35"/>
      <c r="X182" s="9"/>
      <c r="Y182" s="35"/>
      <c r="Z182" s="9"/>
      <c r="AA182" s="9"/>
    </row>
    <row r="183" spans="1:27" s="62" customFormat="1" x14ac:dyDescent="0.25">
      <c r="A183" s="9"/>
      <c r="B183" s="10"/>
      <c r="C183" s="2"/>
      <c r="D183" s="12"/>
      <c r="E183" s="10"/>
      <c r="F183" s="11"/>
      <c r="G183" s="11"/>
      <c r="H183" s="36"/>
      <c r="I183" s="36"/>
      <c r="J183" s="36"/>
      <c r="K183" s="36"/>
      <c r="L183" s="36"/>
      <c r="M183" s="36"/>
      <c r="N183" s="36"/>
      <c r="O183" s="10"/>
      <c r="P183" s="10"/>
      <c r="Q183" s="9"/>
      <c r="R183" s="9"/>
      <c r="S183" s="13"/>
      <c r="T183" s="35"/>
      <c r="U183" s="35"/>
      <c r="V183" s="35"/>
      <c r="W183" s="35"/>
      <c r="X183" s="9"/>
      <c r="Y183" s="35"/>
      <c r="Z183" s="9"/>
      <c r="AA183" s="9"/>
    </row>
    <row r="184" spans="1:27" s="62" customFormat="1" x14ac:dyDescent="0.25">
      <c r="A184" s="9"/>
      <c r="B184" s="10"/>
      <c r="C184" s="2"/>
      <c r="D184" s="12"/>
      <c r="E184" s="10"/>
      <c r="F184" s="11"/>
      <c r="G184" s="11"/>
      <c r="H184" s="36"/>
      <c r="I184" s="36"/>
      <c r="J184" s="36"/>
      <c r="K184" s="36"/>
      <c r="L184" s="36"/>
      <c r="M184" s="36"/>
      <c r="N184" s="36"/>
      <c r="O184" s="10"/>
      <c r="P184" s="10"/>
      <c r="Q184" s="9"/>
      <c r="R184" s="9"/>
      <c r="S184" s="13"/>
      <c r="T184" s="35"/>
      <c r="U184" s="35"/>
      <c r="V184" s="35"/>
      <c r="W184" s="35"/>
      <c r="X184" s="9"/>
      <c r="Y184" s="35"/>
      <c r="Z184" s="9"/>
      <c r="AA184" s="9"/>
    </row>
    <row r="185" spans="1:27" s="62" customFormat="1" x14ac:dyDescent="0.25">
      <c r="A185" s="9"/>
      <c r="B185" s="10"/>
      <c r="C185" s="2"/>
      <c r="D185" s="12"/>
      <c r="E185" s="10"/>
      <c r="F185" s="11"/>
      <c r="G185" s="11"/>
      <c r="H185" s="36"/>
      <c r="I185" s="36"/>
      <c r="J185" s="36"/>
      <c r="K185" s="36"/>
      <c r="L185" s="36"/>
      <c r="M185" s="36"/>
      <c r="N185" s="36"/>
      <c r="O185" s="10"/>
      <c r="P185" s="10"/>
      <c r="Q185" s="9"/>
      <c r="R185" s="9"/>
      <c r="S185" s="13"/>
      <c r="T185" s="35"/>
      <c r="U185" s="35"/>
      <c r="V185" s="35"/>
      <c r="W185" s="35"/>
      <c r="X185" s="9"/>
      <c r="Y185" s="35"/>
      <c r="Z185" s="9"/>
      <c r="AA185" s="9"/>
    </row>
    <row r="186" spans="1:27" s="62" customFormat="1" x14ac:dyDescent="0.25">
      <c r="A186" s="9"/>
      <c r="B186" s="10"/>
      <c r="C186" s="2"/>
      <c r="D186" s="12"/>
      <c r="E186" s="10"/>
      <c r="F186" s="11"/>
      <c r="G186" s="11"/>
      <c r="H186" s="36"/>
      <c r="I186" s="36"/>
      <c r="J186" s="36"/>
      <c r="K186" s="36"/>
      <c r="L186" s="36"/>
      <c r="M186" s="36"/>
      <c r="N186" s="36"/>
      <c r="O186" s="10"/>
      <c r="P186" s="10"/>
      <c r="Q186" s="9"/>
      <c r="R186" s="9"/>
      <c r="S186" s="13"/>
      <c r="T186" s="35"/>
      <c r="U186" s="35"/>
      <c r="V186" s="35"/>
      <c r="W186" s="35"/>
      <c r="X186" s="9"/>
      <c r="Y186" s="35"/>
      <c r="Z186" s="9"/>
      <c r="AA186" s="9"/>
    </row>
    <row r="187" spans="1:27" s="62" customFormat="1" x14ac:dyDescent="0.25">
      <c r="A187" s="9"/>
      <c r="B187" s="10"/>
      <c r="C187" s="2"/>
      <c r="D187" s="12"/>
      <c r="E187" s="10"/>
      <c r="F187" s="11"/>
      <c r="G187" s="11"/>
      <c r="H187" s="36"/>
      <c r="I187" s="36"/>
      <c r="J187" s="36"/>
      <c r="K187" s="36"/>
      <c r="L187" s="36"/>
      <c r="M187" s="36"/>
      <c r="N187" s="36"/>
      <c r="O187" s="10"/>
      <c r="P187" s="10"/>
      <c r="Q187" s="9"/>
      <c r="R187" s="9"/>
      <c r="S187" s="13"/>
      <c r="T187" s="35"/>
      <c r="U187" s="35"/>
      <c r="V187" s="35"/>
      <c r="W187" s="35"/>
      <c r="X187" s="9"/>
      <c r="Y187" s="35"/>
      <c r="Z187" s="9"/>
      <c r="AA187" s="9"/>
    </row>
    <row r="188" spans="1:27" s="62" customFormat="1" x14ac:dyDescent="0.25">
      <c r="A188" s="9"/>
      <c r="B188" s="10"/>
      <c r="C188" s="2"/>
      <c r="D188" s="12"/>
      <c r="E188" s="10"/>
      <c r="F188" s="11"/>
      <c r="G188" s="11"/>
      <c r="H188" s="36"/>
      <c r="I188" s="36"/>
      <c r="J188" s="36"/>
      <c r="K188" s="36"/>
      <c r="L188" s="36"/>
      <c r="M188" s="36"/>
      <c r="N188" s="36"/>
      <c r="O188" s="10"/>
      <c r="P188" s="10"/>
      <c r="Q188" s="9"/>
      <c r="R188" s="9"/>
      <c r="S188" s="13"/>
      <c r="T188" s="35"/>
      <c r="U188" s="35"/>
      <c r="V188" s="35"/>
      <c r="W188" s="35"/>
      <c r="X188" s="9"/>
      <c r="Y188" s="35"/>
      <c r="Z188" s="9"/>
      <c r="AA188" s="9"/>
    </row>
    <row r="189" spans="1:27" s="62" customFormat="1" x14ac:dyDescent="0.25">
      <c r="A189" s="9"/>
      <c r="B189" s="10"/>
      <c r="C189" s="2"/>
      <c r="D189" s="12"/>
      <c r="E189" s="10"/>
      <c r="F189" s="11"/>
      <c r="G189" s="11"/>
      <c r="H189" s="36"/>
      <c r="I189" s="36"/>
      <c r="J189" s="36"/>
      <c r="K189" s="36"/>
      <c r="L189" s="36"/>
      <c r="M189" s="36"/>
      <c r="N189" s="36"/>
      <c r="O189" s="10"/>
      <c r="P189" s="10"/>
      <c r="Q189" s="9"/>
      <c r="R189" s="9"/>
      <c r="S189" s="13"/>
      <c r="T189" s="35"/>
      <c r="U189" s="35"/>
      <c r="V189" s="35"/>
      <c r="W189" s="35"/>
      <c r="X189" s="9"/>
      <c r="Y189" s="35"/>
      <c r="Z189" s="9"/>
      <c r="AA189" s="9"/>
    </row>
    <row r="190" spans="1:27" s="62" customFormat="1" x14ac:dyDescent="0.25">
      <c r="A190" s="9"/>
      <c r="B190" s="10"/>
      <c r="C190" s="2"/>
      <c r="D190" s="12"/>
      <c r="E190" s="10"/>
      <c r="F190" s="11"/>
      <c r="G190" s="11"/>
      <c r="H190" s="36"/>
      <c r="I190" s="36"/>
      <c r="J190" s="36"/>
      <c r="K190" s="36"/>
      <c r="L190" s="36"/>
      <c r="M190" s="36"/>
      <c r="N190" s="36"/>
      <c r="O190" s="10"/>
      <c r="P190" s="10"/>
      <c r="Q190" s="9"/>
      <c r="R190" s="9"/>
      <c r="S190" s="13"/>
      <c r="T190" s="35"/>
      <c r="U190" s="35"/>
      <c r="V190" s="35"/>
      <c r="W190" s="35"/>
      <c r="X190" s="9"/>
      <c r="Y190" s="35"/>
      <c r="Z190" s="9"/>
      <c r="AA190" s="9"/>
    </row>
    <row r="191" spans="1:27" s="62" customFormat="1" x14ac:dyDescent="0.25">
      <c r="A191" s="9"/>
      <c r="B191" s="10"/>
      <c r="C191" s="2"/>
      <c r="D191" s="12"/>
      <c r="E191" s="10"/>
      <c r="F191" s="11"/>
      <c r="G191" s="11"/>
      <c r="H191" s="36"/>
      <c r="I191" s="36"/>
      <c r="J191" s="36"/>
      <c r="K191" s="36"/>
      <c r="L191" s="36"/>
      <c r="M191" s="36"/>
      <c r="N191" s="36"/>
      <c r="O191" s="10"/>
      <c r="P191" s="10"/>
      <c r="Q191" s="9"/>
      <c r="R191" s="9"/>
      <c r="S191" s="13"/>
      <c r="T191" s="35"/>
      <c r="U191" s="35"/>
      <c r="V191" s="35"/>
      <c r="W191" s="35"/>
      <c r="X191" s="9"/>
      <c r="Y191" s="35"/>
      <c r="Z191" s="9"/>
      <c r="AA191" s="9"/>
    </row>
    <row r="192" spans="1:27" s="62" customFormat="1" x14ac:dyDescent="0.25">
      <c r="A192" s="9"/>
      <c r="B192" s="10"/>
      <c r="C192" s="2"/>
      <c r="D192" s="12"/>
      <c r="E192" s="10"/>
      <c r="F192" s="11"/>
      <c r="G192" s="11"/>
      <c r="H192" s="36"/>
      <c r="I192" s="36"/>
      <c r="J192" s="36"/>
      <c r="K192" s="36"/>
      <c r="L192" s="36"/>
      <c r="M192" s="36"/>
      <c r="N192" s="36"/>
      <c r="O192" s="10"/>
      <c r="P192" s="10"/>
      <c r="Q192" s="9"/>
      <c r="R192" s="9"/>
      <c r="S192" s="13"/>
      <c r="T192" s="35"/>
      <c r="U192" s="35"/>
      <c r="V192" s="35"/>
      <c r="W192" s="35"/>
      <c r="X192" s="9"/>
      <c r="Y192" s="35"/>
      <c r="Z192" s="9"/>
      <c r="AA192" s="9"/>
    </row>
    <row r="193" spans="1:27" s="62" customFormat="1" x14ac:dyDescent="0.25">
      <c r="A193" s="9"/>
      <c r="B193" s="10"/>
      <c r="C193" s="2"/>
      <c r="D193" s="12"/>
      <c r="E193" s="10"/>
      <c r="F193" s="11"/>
      <c r="G193" s="11"/>
      <c r="H193" s="36"/>
      <c r="I193" s="36"/>
      <c r="J193" s="36"/>
      <c r="K193" s="36"/>
      <c r="L193" s="36"/>
      <c r="M193" s="36"/>
      <c r="N193" s="36"/>
      <c r="O193" s="10"/>
      <c r="P193" s="10"/>
      <c r="Q193" s="9"/>
      <c r="R193" s="9"/>
      <c r="S193" s="13"/>
      <c r="T193" s="35"/>
      <c r="U193" s="35"/>
      <c r="V193" s="35"/>
      <c r="W193" s="35"/>
      <c r="X193" s="9"/>
      <c r="Y193" s="35"/>
      <c r="Z193" s="9"/>
      <c r="AA193" s="9"/>
    </row>
    <row r="194" spans="1:27" s="62" customFormat="1" x14ac:dyDescent="0.25">
      <c r="A194" s="9"/>
      <c r="B194" s="10"/>
      <c r="C194" s="2"/>
      <c r="D194" s="12"/>
      <c r="E194" s="10"/>
      <c r="F194" s="11"/>
      <c r="G194" s="11"/>
      <c r="H194" s="36"/>
      <c r="I194" s="36"/>
      <c r="J194" s="36"/>
      <c r="K194" s="36"/>
      <c r="L194" s="36"/>
      <c r="M194" s="36"/>
      <c r="N194" s="36"/>
      <c r="O194" s="10"/>
      <c r="P194" s="10"/>
      <c r="Q194" s="9"/>
      <c r="R194" s="9"/>
      <c r="S194" s="13"/>
      <c r="T194" s="35"/>
      <c r="U194" s="35"/>
      <c r="V194" s="35"/>
      <c r="W194" s="35"/>
      <c r="X194" s="9"/>
      <c r="Y194" s="35"/>
      <c r="Z194" s="9"/>
      <c r="AA194" s="9"/>
    </row>
    <row r="195" spans="1:27" s="62" customFormat="1" x14ac:dyDescent="0.25">
      <c r="A195" s="9"/>
      <c r="B195" s="10"/>
      <c r="C195" s="2"/>
      <c r="D195" s="12"/>
      <c r="E195" s="10"/>
      <c r="F195" s="11"/>
      <c r="G195" s="11"/>
      <c r="H195" s="36"/>
      <c r="I195" s="36"/>
      <c r="J195" s="36"/>
      <c r="K195" s="36"/>
      <c r="L195" s="36"/>
      <c r="M195" s="36"/>
      <c r="N195" s="36"/>
      <c r="O195" s="10"/>
      <c r="P195" s="10"/>
      <c r="Q195" s="9"/>
      <c r="R195" s="9"/>
      <c r="S195" s="13"/>
      <c r="T195" s="35"/>
      <c r="U195" s="35"/>
      <c r="V195" s="35"/>
      <c r="W195" s="35"/>
      <c r="X195" s="9"/>
      <c r="Y195" s="35"/>
      <c r="Z195" s="9"/>
      <c r="AA195" s="9"/>
    </row>
    <row r="196" spans="1:27" s="62" customFormat="1" x14ac:dyDescent="0.25">
      <c r="A196" s="9"/>
      <c r="B196" s="10"/>
      <c r="C196" s="2"/>
      <c r="D196" s="12"/>
      <c r="E196" s="10"/>
      <c r="F196" s="11"/>
      <c r="G196" s="11"/>
      <c r="H196" s="36"/>
      <c r="I196" s="36"/>
      <c r="J196" s="36"/>
      <c r="K196" s="36"/>
      <c r="L196" s="36"/>
      <c r="M196" s="36"/>
      <c r="N196" s="36"/>
      <c r="O196" s="10"/>
      <c r="P196" s="10"/>
      <c r="Q196" s="9"/>
      <c r="R196" s="9"/>
      <c r="S196" s="13"/>
      <c r="T196" s="35"/>
      <c r="U196" s="35"/>
      <c r="V196" s="35"/>
      <c r="W196" s="35"/>
      <c r="X196" s="9"/>
      <c r="Y196" s="35"/>
      <c r="Z196" s="9"/>
      <c r="AA196" s="9"/>
    </row>
    <row r="197" spans="1:27" s="62" customFormat="1" x14ac:dyDescent="0.25">
      <c r="A197" s="9"/>
      <c r="B197" s="10"/>
      <c r="C197" s="2"/>
      <c r="D197" s="12"/>
      <c r="E197" s="10"/>
      <c r="F197" s="11"/>
      <c r="G197" s="11"/>
      <c r="H197" s="36"/>
      <c r="I197" s="36"/>
      <c r="J197" s="36"/>
      <c r="K197" s="36"/>
      <c r="L197" s="36"/>
      <c r="M197" s="36"/>
      <c r="N197" s="36"/>
      <c r="O197" s="10"/>
      <c r="P197" s="10"/>
      <c r="Q197" s="9"/>
      <c r="R197" s="9"/>
      <c r="S197" s="13"/>
      <c r="T197" s="35"/>
      <c r="U197" s="35"/>
      <c r="V197" s="35"/>
      <c r="W197" s="35"/>
      <c r="X197" s="9"/>
      <c r="Y197" s="35"/>
      <c r="Z197" s="9"/>
      <c r="AA197" s="9"/>
    </row>
    <row r="198" spans="1:27" s="62" customFormat="1" x14ac:dyDescent="0.25">
      <c r="A198" s="9"/>
      <c r="B198" s="10"/>
      <c r="C198" s="2"/>
      <c r="D198" s="12"/>
      <c r="E198" s="10"/>
      <c r="F198" s="11"/>
      <c r="G198" s="11"/>
      <c r="H198" s="36"/>
      <c r="I198" s="36"/>
      <c r="J198" s="36"/>
      <c r="K198" s="36"/>
      <c r="L198" s="36"/>
      <c r="M198" s="36"/>
      <c r="N198" s="36"/>
      <c r="O198" s="10"/>
      <c r="P198" s="10"/>
      <c r="Q198" s="9"/>
      <c r="R198" s="9"/>
      <c r="S198" s="13"/>
      <c r="T198" s="35"/>
      <c r="U198" s="35"/>
      <c r="V198" s="35"/>
      <c r="W198" s="35"/>
      <c r="X198" s="9"/>
      <c r="Y198" s="35"/>
      <c r="Z198" s="9"/>
      <c r="AA198" s="9"/>
    </row>
    <row r="199" spans="1:27" s="62" customFormat="1" x14ac:dyDescent="0.25">
      <c r="A199" s="9"/>
      <c r="B199" s="10"/>
      <c r="C199" s="2"/>
      <c r="D199" s="12"/>
      <c r="E199" s="10"/>
      <c r="F199" s="11"/>
      <c r="G199" s="11"/>
      <c r="H199" s="36"/>
      <c r="I199" s="36"/>
      <c r="J199" s="36"/>
      <c r="K199" s="36"/>
      <c r="L199" s="36"/>
      <c r="M199" s="36"/>
      <c r="N199" s="36"/>
      <c r="O199" s="10"/>
      <c r="P199" s="10"/>
      <c r="Q199" s="9"/>
      <c r="R199" s="9"/>
      <c r="S199" s="13"/>
      <c r="T199" s="35"/>
      <c r="U199" s="35"/>
      <c r="V199" s="35"/>
      <c r="W199" s="35"/>
      <c r="X199" s="9"/>
      <c r="Y199" s="35"/>
      <c r="Z199" s="9"/>
      <c r="AA199" s="9"/>
    </row>
    <row r="200" spans="1:27" s="62" customFormat="1" x14ac:dyDescent="0.25">
      <c r="A200" s="9"/>
      <c r="B200" s="10"/>
      <c r="C200" s="2"/>
      <c r="D200" s="12"/>
      <c r="E200" s="10"/>
      <c r="F200" s="11"/>
      <c r="G200" s="11"/>
      <c r="H200" s="36"/>
      <c r="I200" s="36"/>
      <c r="J200" s="36"/>
      <c r="K200" s="36"/>
      <c r="L200" s="36"/>
      <c r="M200" s="36"/>
      <c r="N200" s="36"/>
      <c r="O200" s="10"/>
      <c r="P200" s="10"/>
      <c r="Q200" s="9"/>
      <c r="R200" s="9"/>
      <c r="S200" s="13"/>
      <c r="T200" s="35"/>
      <c r="U200" s="35"/>
      <c r="V200" s="35"/>
      <c r="W200" s="35"/>
      <c r="X200" s="9"/>
      <c r="Y200" s="35"/>
      <c r="Z200" s="9"/>
      <c r="AA200" s="9"/>
    </row>
    <row r="201" spans="1:27" s="62" customFormat="1" x14ac:dyDescent="0.25">
      <c r="A201" s="9"/>
      <c r="B201" s="10"/>
      <c r="C201" s="2"/>
      <c r="D201" s="12"/>
      <c r="E201" s="10"/>
      <c r="F201" s="11"/>
      <c r="G201" s="11"/>
      <c r="H201" s="36"/>
      <c r="I201" s="36"/>
      <c r="J201" s="36"/>
      <c r="K201" s="36"/>
      <c r="L201" s="36"/>
      <c r="M201" s="36"/>
      <c r="N201" s="36"/>
      <c r="O201" s="10"/>
      <c r="P201" s="10"/>
      <c r="Q201" s="9"/>
      <c r="R201" s="9"/>
      <c r="S201" s="13"/>
      <c r="T201" s="35"/>
      <c r="U201" s="35"/>
      <c r="V201" s="35"/>
      <c r="W201" s="35"/>
      <c r="X201" s="9"/>
      <c r="Y201" s="35"/>
      <c r="Z201" s="9"/>
      <c r="AA201" s="9"/>
    </row>
    <row r="202" spans="1:27" s="62" customFormat="1" x14ac:dyDescent="0.25">
      <c r="A202" s="9"/>
      <c r="B202" s="10"/>
      <c r="C202" s="2"/>
      <c r="D202" s="12"/>
      <c r="E202" s="10"/>
      <c r="F202" s="11"/>
      <c r="G202" s="11"/>
      <c r="H202" s="36"/>
      <c r="I202" s="36"/>
      <c r="J202" s="36"/>
      <c r="K202" s="36"/>
      <c r="L202" s="36"/>
      <c r="M202" s="36"/>
      <c r="N202" s="36"/>
      <c r="O202" s="10"/>
      <c r="P202" s="10"/>
      <c r="Q202" s="9"/>
      <c r="R202" s="9"/>
      <c r="S202" s="13"/>
      <c r="T202" s="35"/>
      <c r="U202" s="35"/>
      <c r="V202" s="35"/>
      <c r="W202" s="35"/>
      <c r="X202" s="9"/>
      <c r="Y202" s="35"/>
      <c r="Z202" s="9"/>
      <c r="AA202" s="9"/>
    </row>
    <row r="203" spans="1:27" s="16" customFormat="1" ht="14.25" customHeight="1" x14ac:dyDescent="0.25">
      <c r="A203" s="9"/>
      <c r="B203" s="10"/>
      <c r="C203" s="2"/>
      <c r="D203" s="12"/>
      <c r="E203" s="10"/>
      <c r="F203" s="11"/>
      <c r="G203" s="11"/>
      <c r="H203" s="36"/>
      <c r="I203" s="36"/>
      <c r="J203" s="36"/>
      <c r="K203" s="36"/>
      <c r="L203" s="36"/>
      <c r="M203" s="36"/>
      <c r="N203" s="36"/>
      <c r="O203" s="10"/>
      <c r="P203" s="10"/>
      <c r="Q203" s="9"/>
      <c r="R203" s="9"/>
      <c r="S203" s="13"/>
      <c r="T203" s="35"/>
      <c r="U203" s="35"/>
      <c r="V203" s="35"/>
      <c r="W203" s="35"/>
      <c r="X203" s="9"/>
      <c r="Y203" s="35"/>
      <c r="Z203" s="9"/>
      <c r="AA203" s="9"/>
    </row>
    <row r="204" spans="1:27" s="62" customFormat="1" ht="15" customHeight="1" x14ac:dyDescent="0.25">
      <c r="A204" s="9"/>
      <c r="B204" s="10"/>
      <c r="C204" s="2"/>
      <c r="D204" s="12"/>
      <c r="E204" s="10"/>
      <c r="F204" s="11"/>
      <c r="G204" s="11"/>
      <c r="H204" s="36"/>
      <c r="I204" s="36"/>
      <c r="J204" s="36"/>
      <c r="K204" s="36"/>
      <c r="L204" s="36"/>
      <c r="M204" s="36"/>
      <c r="N204" s="36"/>
      <c r="O204" s="10"/>
      <c r="P204" s="10"/>
      <c r="Q204" s="9"/>
      <c r="R204" s="9"/>
      <c r="S204" s="13"/>
      <c r="T204" s="35"/>
      <c r="U204" s="35"/>
      <c r="V204" s="35"/>
      <c r="W204" s="35"/>
      <c r="X204" s="9"/>
      <c r="Y204" s="35"/>
      <c r="Z204" s="9"/>
      <c r="AA204" s="9"/>
    </row>
    <row r="205" spans="1:27" s="62" customFormat="1" x14ac:dyDescent="0.25">
      <c r="A205" s="9"/>
      <c r="B205" s="10"/>
      <c r="C205" s="2"/>
      <c r="D205" s="12"/>
      <c r="E205" s="10"/>
      <c r="F205" s="11"/>
      <c r="G205" s="11"/>
      <c r="H205" s="36"/>
      <c r="I205" s="36"/>
      <c r="J205" s="36"/>
      <c r="K205" s="36"/>
      <c r="L205" s="36"/>
      <c r="M205" s="36"/>
      <c r="N205" s="36"/>
      <c r="O205" s="10"/>
      <c r="P205" s="10"/>
      <c r="Q205" s="9"/>
      <c r="R205" s="9"/>
      <c r="S205" s="13"/>
      <c r="T205" s="35"/>
      <c r="U205" s="35"/>
      <c r="V205" s="35"/>
      <c r="W205" s="35"/>
      <c r="X205" s="9"/>
      <c r="Y205" s="35"/>
      <c r="Z205" s="9"/>
      <c r="AA205" s="9"/>
    </row>
    <row r="206" spans="1:27" s="62" customFormat="1" x14ac:dyDescent="0.25">
      <c r="A206" s="9"/>
      <c r="B206" s="10"/>
      <c r="C206" s="2"/>
      <c r="D206" s="12"/>
      <c r="E206" s="10"/>
      <c r="F206" s="11"/>
      <c r="G206" s="11"/>
      <c r="H206" s="36"/>
      <c r="I206" s="36"/>
      <c r="J206" s="36"/>
      <c r="K206" s="36"/>
      <c r="L206" s="36"/>
      <c r="M206" s="36"/>
      <c r="N206" s="36"/>
      <c r="O206" s="10"/>
      <c r="P206" s="10"/>
      <c r="Q206" s="9"/>
      <c r="R206" s="9"/>
      <c r="S206" s="13"/>
      <c r="T206" s="35"/>
      <c r="U206" s="35"/>
      <c r="V206" s="35"/>
      <c r="W206" s="35"/>
      <c r="X206" s="9"/>
      <c r="Y206" s="35"/>
      <c r="Z206" s="9"/>
      <c r="AA206" s="9"/>
    </row>
    <row r="207" spans="1:27" s="62" customFormat="1" x14ac:dyDescent="0.25">
      <c r="A207" s="9"/>
      <c r="B207" s="10"/>
      <c r="C207" s="2"/>
      <c r="D207" s="12"/>
      <c r="E207" s="10"/>
      <c r="F207" s="11"/>
      <c r="G207" s="11"/>
      <c r="H207" s="36"/>
      <c r="I207" s="36"/>
      <c r="J207" s="36"/>
      <c r="K207" s="36"/>
      <c r="L207" s="36"/>
      <c r="M207" s="36"/>
      <c r="N207" s="36"/>
      <c r="O207" s="10"/>
      <c r="P207" s="10"/>
      <c r="Q207" s="9"/>
      <c r="R207" s="9"/>
      <c r="S207" s="13"/>
      <c r="T207" s="35"/>
      <c r="U207" s="35"/>
      <c r="V207" s="35"/>
      <c r="W207" s="35"/>
      <c r="X207" s="9"/>
      <c r="Y207" s="35"/>
      <c r="Z207" s="9"/>
      <c r="AA207" s="9"/>
    </row>
    <row r="208" spans="1:27" s="62" customFormat="1" x14ac:dyDescent="0.25">
      <c r="A208" s="9"/>
      <c r="B208" s="10"/>
      <c r="C208" s="2"/>
      <c r="D208" s="12"/>
      <c r="E208" s="10"/>
      <c r="F208" s="11"/>
      <c r="G208" s="11"/>
      <c r="H208" s="36"/>
      <c r="I208" s="36"/>
      <c r="J208" s="36"/>
      <c r="K208" s="36"/>
      <c r="L208" s="36"/>
      <c r="M208" s="36"/>
      <c r="N208" s="36"/>
      <c r="O208" s="10"/>
      <c r="P208" s="10"/>
      <c r="Q208" s="9"/>
      <c r="R208" s="9"/>
      <c r="S208" s="13"/>
      <c r="T208" s="35"/>
      <c r="U208" s="35"/>
      <c r="V208" s="35"/>
      <c r="W208" s="35"/>
      <c r="X208" s="9"/>
      <c r="Y208" s="35"/>
      <c r="Z208" s="9"/>
      <c r="AA208" s="9"/>
    </row>
    <row r="209" spans="1:27" s="62" customFormat="1" x14ac:dyDescent="0.25">
      <c r="A209" s="9"/>
      <c r="B209" s="10"/>
      <c r="C209" s="2"/>
      <c r="D209" s="12"/>
      <c r="E209" s="10"/>
      <c r="F209" s="11"/>
      <c r="G209" s="11"/>
      <c r="H209" s="36"/>
      <c r="I209" s="36"/>
      <c r="J209" s="36"/>
      <c r="K209" s="36"/>
      <c r="L209" s="36"/>
      <c r="M209" s="36"/>
      <c r="N209" s="36"/>
      <c r="O209" s="10"/>
      <c r="P209" s="10"/>
      <c r="Q209" s="9"/>
      <c r="R209" s="9"/>
      <c r="S209" s="13"/>
      <c r="T209" s="35"/>
      <c r="U209" s="35"/>
      <c r="V209" s="35"/>
      <c r="W209" s="35"/>
      <c r="X209" s="9"/>
      <c r="Y209" s="35"/>
      <c r="Z209" s="9"/>
      <c r="AA209" s="9"/>
    </row>
    <row r="210" spans="1:27" s="62" customFormat="1" x14ac:dyDescent="0.25">
      <c r="A210" s="9"/>
      <c r="B210" s="10"/>
      <c r="C210" s="2"/>
      <c r="D210" s="12"/>
      <c r="E210" s="10"/>
      <c r="F210" s="11"/>
      <c r="G210" s="11"/>
      <c r="H210" s="36"/>
      <c r="I210" s="36"/>
      <c r="J210" s="36"/>
      <c r="K210" s="36"/>
      <c r="L210" s="36"/>
      <c r="M210" s="36"/>
      <c r="N210" s="36"/>
      <c r="O210" s="10"/>
      <c r="P210" s="10"/>
      <c r="Q210" s="9"/>
      <c r="R210" s="9"/>
      <c r="S210" s="13"/>
      <c r="T210" s="35"/>
      <c r="U210" s="35"/>
      <c r="V210" s="35"/>
      <c r="W210" s="35"/>
      <c r="X210" s="9"/>
      <c r="Y210" s="35"/>
      <c r="Z210" s="9"/>
      <c r="AA210" s="9"/>
    </row>
    <row r="211" spans="1:27" s="62" customFormat="1" x14ac:dyDescent="0.25">
      <c r="A211" s="9"/>
      <c r="B211" s="10"/>
      <c r="C211" s="2"/>
      <c r="D211" s="12"/>
      <c r="E211" s="10"/>
      <c r="F211" s="11"/>
      <c r="G211" s="11"/>
      <c r="H211" s="36"/>
      <c r="I211" s="36"/>
      <c r="J211" s="36"/>
      <c r="K211" s="36"/>
      <c r="L211" s="36"/>
      <c r="M211" s="36"/>
      <c r="N211" s="36"/>
      <c r="O211" s="10"/>
      <c r="P211" s="10"/>
      <c r="Q211" s="9"/>
      <c r="R211" s="9"/>
      <c r="S211" s="13"/>
      <c r="T211" s="35"/>
      <c r="U211" s="35"/>
      <c r="V211" s="35"/>
      <c r="W211" s="35"/>
      <c r="X211" s="9"/>
      <c r="Y211" s="35"/>
      <c r="Z211" s="9"/>
      <c r="AA211" s="9"/>
    </row>
    <row r="212" spans="1:27" s="62" customFormat="1" x14ac:dyDescent="0.25">
      <c r="A212" s="9"/>
      <c r="B212" s="10"/>
      <c r="C212" s="2"/>
      <c r="D212" s="12"/>
      <c r="E212" s="10"/>
      <c r="F212" s="11"/>
      <c r="G212" s="11"/>
      <c r="H212" s="36"/>
      <c r="I212" s="36"/>
      <c r="J212" s="36"/>
      <c r="K212" s="36"/>
      <c r="L212" s="36"/>
      <c r="M212" s="36"/>
      <c r="N212" s="36"/>
      <c r="O212" s="10"/>
      <c r="P212" s="10"/>
      <c r="Q212" s="9"/>
      <c r="R212" s="9"/>
      <c r="S212" s="13"/>
      <c r="T212" s="35"/>
      <c r="U212" s="35"/>
      <c r="V212" s="35"/>
      <c r="W212" s="35"/>
      <c r="X212" s="9"/>
      <c r="Y212" s="35"/>
      <c r="Z212" s="9"/>
      <c r="AA212" s="9"/>
    </row>
    <row r="213" spans="1:27" s="62" customFormat="1" x14ac:dyDescent="0.25">
      <c r="A213" s="9"/>
      <c r="B213" s="10"/>
      <c r="C213" s="2"/>
      <c r="D213" s="12"/>
      <c r="E213" s="10"/>
      <c r="F213" s="11"/>
      <c r="G213" s="11"/>
      <c r="H213" s="36"/>
      <c r="I213" s="36"/>
      <c r="J213" s="36"/>
      <c r="K213" s="36"/>
      <c r="L213" s="36"/>
      <c r="M213" s="36"/>
      <c r="N213" s="36"/>
      <c r="O213" s="10"/>
      <c r="P213" s="10"/>
      <c r="Q213" s="9"/>
      <c r="R213" s="9"/>
      <c r="S213" s="13"/>
      <c r="T213" s="35"/>
      <c r="U213" s="35"/>
      <c r="V213" s="35"/>
      <c r="W213" s="35"/>
      <c r="X213" s="9"/>
      <c r="Y213" s="35"/>
      <c r="Z213" s="9"/>
      <c r="AA213" s="9"/>
    </row>
    <row r="214" spans="1:27" s="62" customFormat="1" x14ac:dyDescent="0.25">
      <c r="A214" s="9"/>
      <c r="B214" s="10"/>
      <c r="C214" s="2"/>
      <c r="D214" s="12"/>
      <c r="E214" s="10"/>
      <c r="F214" s="11"/>
      <c r="G214" s="11"/>
      <c r="H214" s="36"/>
      <c r="I214" s="36"/>
      <c r="J214" s="36"/>
      <c r="K214" s="36"/>
      <c r="L214" s="36"/>
      <c r="M214" s="36"/>
      <c r="N214" s="36"/>
      <c r="O214" s="10"/>
      <c r="P214" s="10"/>
      <c r="Q214" s="9"/>
      <c r="R214" s="9"/>
      <c r="S214" s="13"/>
      <c r="T214" s="35"/>
      <c r="U214" s="35"/>
      <c r="V214" s="35"/>
      <c r="W214" s="35"/>
      <c r="X214" s="9"/>
      <c r="Y214" s="35"/>
      <c r="Z214" s="9"/>
      <c r="AA214" s="9"/>
    </row>
    <row r="215" spans="1:27" s="62" customFormat="1" x14ac:dyDescent="0.25">
      <c r="A215" s="9"/>
      <c r="B215" s="10"/>
      <c r="C215" s="2"/>
      <c r="D215" s="12"/>
      <c r="E215" s="10"/>
      <c r="F215" s="11"/>
      <c r="G215" s="11"/>
      <c r="H215" s="36"/>
      <c r="I215" s="36"/>
      <c r="J215" s="36"/>
      <c r="K215" s="36"/>
      <c r="L215" s="36"/>
      <c r="M215" s="36"/>
      <c r="N215" s="36"/>
      <c r="O215" s="10"/>
      <c r="P215" s="10"/>
      <c r="Q215" s="9"/>
      <c r="R215" s="9"/>
      <c r="S215" s="13"/>
      <c r="T215" s="35"/>
      <c r="U215" s="35"/>
      <c r="V215" s="35"/>
      <c r="W215" s="35"/>
      <c r="X215" s="9"/>
      <c r="Y215" s="35"/>
      <c r="Z215" s="9"/>
      <c r="AA215" s="9"/>
    </row>
    <row r="216" spans="1:27" s="62" customFormat="1" x14ac:dyDescent="0.25">
      <c r="A216" s="9"/>
      <c r="B216" s="10"/>
      <c r="C216" s="2"/>
      <c r="D216" s="12"/>
      <c r="E216" s="10"/>
      <c r="F216" s="11"/>
      <c r="G216" s="11"/>
      <c r="H216" s="36"/>
      <c r="I216" s="36"/>
      <c r="J216" s="36"/>
      <c r="K216" s="36"/>
      <c r="L216" s="36"/>
      <c r="M216" s="36"/>
      <c r="N216" s="36"/>
      <c r="O216" s="10"/>
      <c r="P216" s="10"/>
      <c r="Q216" s="9"/>
      <c r="R216" s="9"/>
      <c r="S216" s="13"/>
      <c r="T216" s="35"/>
      <c r="U216" s="35"/>
      <c r="V216" s="35"/>
      <c r="W216" s="35"/>
      <c r="X216" s="9"/>
      <c r="Y216" s="35"/>
      <c r="Z216" s="9"/>
      <c r="AA216" s="9"/>
    </row>
    <row r="217" spans="1:27" s="62" customFormat="1" x14ac:dyDescent="0.25">
      <c r="A217" s="9"/>
      <c r="B217" s="10"/>
      <c r="C217" s="2"/>
      <c r="D217" s="12"/>
      <c r="E217" s="10"/>
      <c r="F217" s="11"/>
      <c r="G217" s="11"/>
      <c r="H217" s="36"/>
      <c r="I217" s="36"/>
      <c r="J217" s="36"/>
      <c r="K217" s="36"/>
      <c r="L217" s="36"/>
      <c r="M217" s="36"/>
      <c r="N217" s="36"/>
      <c r="O217" s="10"/>
      <c r="P217" s="10"/>
      <c r="Q217" s="9"/>
      <c r="R217" s="9"/>
      <c r="S217" s="13"/>
      <c r="T217" s="35"/>
      <c r="U217" s="35"/>
      <c r="V217" s="35"/>
      <c r="W217" s="35"/>
      <c r="X217" s="9"/>
      <c r="Y217" s="35"/>
      <c r="Z217" s="9"/>
      <c r="AA217" s="9"/>
    </row>
    <row r="218" spans="1:27" s="62" customFormat="1" x14ac:dyDescent="0.25">
      <c r="A218" s="9"/>
      <c r="B218" s="10"/>
      <c r="C218" s="2"/>
      <c r="D218" s="12"/>
      <c r="E218" s="10"/>
      <c r="F218" s="11"/>
      <c r="G218" s="11"/>
      <c r="H218" s="36"/>
      <c r="I218" s="36"/>
      <c r="J218" s="36"/>
      <c r="K218" s="36"/>
      <c r="L218" s="36"/>
      <c r="M218" s="36"/>
      <c r="N218" s="36"/>
      <c r="O218" s="10"/>
      <c r="P218" s="10"/>
      <c r="Q218" s="9"/>
      <c r="R218" s="9"/>
      <c r="S218" s="13"/>
      <c r="T218" s="35"/>
      <c r="U218" s="35"/>
      <c r="V218" s="35"/>
      <c r="W218" s="35"/>
      <c r="X218" s="9"/>
      <c r="Y218" s="35"/>
      <c r="Z218" s="9"/>
      <c r="AA218" s="9"/>
    </row>
    <row r="219" spans="1:27" s="62" customFormat="1" x14ac:dyDescent="0.25">
      <c r="A219" s="9"/>
      <c r="B219" s="10"/>
      <c r="C219" s="2"/>
      <c r="D219" s="12"/>
      <c r="E219" s="10"/>
      <c r="F219" s="11"/>
      <c r="G219" s="11"/>
      <c r="H219" s="36"/>
      <c r="I219" s="36"/>
      <c r="J219" s="36"/>
      <c r="K219" s="36"/>
      <c r="L219" s="36"/>
      <c r="M219" s="36"/>
      <c r="N219" s="36"/>
      <c r="O219" s="10"/>
      <c r="P219" s="10"/>
      <c r="Q219" s="9"/>
      <c r="R219" s="9"/>
      <c r="S219" s="13"/>
      <c r="T219" s="35"/>
      <c r="U219" s="35"/>
      <c r="V219" s="35"/>
      <c r="W219" s="35"/>
      <c r="X219" s="9"/>
      <c r="Y219" s="35"/>
      <c r="Z219" s="9"/>
      <c r="AA219" s="9"/>
    </row>
    <row r="220" spans="1:27" s="62" customFormat="1" x14ac:dyDescent="0.25">
      <c r="A220" s="9"/>
      <c r="B220" s="10"/>
      <c r="C220" s="2"/>
      <c r="D220" s="12"/>
      <c r="E220" s="10"/>
      <c r="F220" s="11"/>
      <c r="G220" s="11"/>
      <c r="H220" s="36"/>
      <c r="I220" s="36"/>
      <c r="J220" s="36"/>
      <c r="K220" s="36"/>
      <c r="L220" s="36"/>
      <c r="M220" s="36"/>
      <c r="N220" s="36"/>
      <c r="O220" s="10"/>
      <c r="P220" s="10"/>
      <c r="Q220" s="9"/>
      <c r="R220" s="9"/>
      <c r="S220" s="13"/>
      <c r="T220" s="35"/>
      <c r="U220" s="35"/>
      <c r="V220" s="35"/>
      <c r="W220" s="35"/>
      <c r="X220" s="9"/>
      <c r="Y220" s="35"/>
      <c r="Z220" s="9"/>
      <c r="AA220" s="9"/>
    </row>
    <row r="221" spans="1:27" s="62" customFormat="1" x14ac:dyDescent="0.25">
      <c r="A221" s="9"/>
      <c r="B221" s="10"/>
      <c r="C221" s="2"/>
      <c r="D221" s="12"/>
      <c r="E221" s="10"/>
      <c r="F221" s="11"/>
      <c r="G221" s="11"/>
      <c r="H221" s="36"/>
      <c r="I221" s="36"/>
      <c r="J221" s="36"/>
      <c r="K221" s="36"/>
      <c r="L221" s="36"/>
      <c r="M221" s="36"/>
      <c r="N221" s="36"/>
      <c r="O221" s="10"/>
      <c r="P221" s="10"/>
      <c r="Q221" s="9"/>
      <c r="R221" s="9"/>
      <c r="S221" s="13"/>
      <c r="T221" s="35"/>
      <c r="U221" s="35"/>
      <c r="V221" s="35"/>
      <c r="W221" s="35"/>
      <c r="X221" s="9"/>
      <c r="Y221" s="35"/>
      <c r="Z221" s="9"/>
      <c r="AA221" s="9"/>
    </row>
    <row r="222" spans="1:27" s="62" customFormat="1" x14ac:dyDescent="0.25">
      <c r="A222" s="9"/>
      <c r="B222" s="10"/>
      <c r="C222" s="2"/>
      <c r="D222" s="12"/>
      <c r="E222" s="10"/>
      <c r="F222" s="11"/>
      <c r="G222" s="11"/>
      <c r="H222" s="36"/>
      <c r="I222" s="36"/>
      <c r="J222" s="36"/>
      <c r="K222" s="36"/>
      <c r="L222" s="36"/>
      <c r="M222" s="36"/>
      <c r="N222" s="36"/>
      <c r="O222" s="10"/>
      <c r="P222" s="10"/>
      <c r="Q222" s="9"/>
      <c r="R222" s="9"/>
      <c r="S222" s="13"/>
      <c r="T222" s="35"/>
      <c r="U222" s="35"/>
      <c r="V222" s="35"/>
      <c r="W222" s="35"/>
      <c r="X222" s="9"/>
      <c r="Y222" s="35"/>
      <c r="Z222" s="9"/>
      <c r="AA222" s="9"/>
    </row>
    <row r="223" spans="1:27" s="62" customFormat="1" x14ac:dyDescent="0.25">
      <c r="A223" s="9"/>
      <c r="B223" s="10"/>
      <c r="C223" s="2"/>
      <c r="D223" s="12"/>
      <c r="E223" s="10"/>
      <c r="F223" s="11"/>
      <c r="G223" s="11"/>
      <c r="H223" s="36"/>
      <c r="I223" s="36"/>
      <c r="J223" s="36"/>
      <c r="K223" s="36"/>
      <c r="L223" s="36"/>
      <c r="M223" s="36"/>
      <c r="N223" s="36"/>
      <c r="O223" s="10"/>
      <c r="P223" s="10"/>
      <c r="Q223" s="9"/>
      <c r="R223" s="9"/>
      <c r="S223" s="13"/>
      <c r="T223" s="35"/>
      <c r="U223" s="35"/>
      <c r="V223" s="35"/>
      <c r="W223" s="35"/>
      <c r="X223" s="9"/>
      <c r="Y223" s="35"/>
      <c r="Z223" s="9"/>
      <c r="AA223" s="9"/>
    </row>
    <row r="224" spans="1:27" s="62" customFormat="1" x14ac:dyDescent="0.25">
      <c r="A224" s="9"/>
      <c r="B224" s="10"/>
      <c r="C224" s="2"/>
      <c r="D224" s="12"/>
      <c r="E224" s="10"/>
      <c r="F224" s="11"/>
      <c r="G224" s="11"/>
      <c r="H224" s="36"/>
      <c r="I224" s="36"/>
      <c r="J224" s="36"/>
      <c r="K224" s="36"/>
      <c r="L224" s="36"/>
      <c r="M224" s="36"/>
      <c r="N224" s="36"/>
      <c r="O224" s="10"/>
      <c r="P224" s="10"/>
      <c r="Q224" s="9"/>
      <c r="R224" s="9"/>
      <c r="S224" s="13"/>
      <c r="T224" s="35"/>
      <c r="U224" s="35"/>
      <c r="V224" s="35"/>
      <c r="W224" s="35"/>
      <c r="X224" s="9"/>
      <c r="Y224" s="35"/>
      <c r="Z224" s="9"/>
      <c r="AA224" s="9"/>
    </row>
    <row r="225" spans="1:27" s="62" customFormat="1" x14ac:dyDescent="0.25">
      <c r="A225" s="9"/>
      <c r="B225" s="10"/>
      <c r="C225" s="2"/>
      <c r="D225" s="12"/>
      <c r="E225" s="10"/>
      <c r="F225" s="11"/>
      <c r="G225" s="11"/>
      <c r="H225" s="36"/>
      <c r="I225" s="36"/>
      <c r="J225" s="36"/>
      <c r="K225" s="36"/>
      <c r="L225" s="36"/>
      <c r="M225" s="36"/>
      <c r="N225" s="36"/>
      <c r="O225" s="10"/>
      <c r="P225" s="10"/>
      <c r="Q225" s="9"/>
      <c r="R225" s="9"/>
      <c r="S225" s="13"/>
      <c r="T225" s="35"/>
      <c r="U225" s="35"/>
      <c r="V225" s="35"/>
      <c r="W225" s="35"/>
      <c r="X225" s="9"/>
      <c r="Y225" s="35"/>
      <c r="Z225" s="9"/>
      <c r="AA225" s="9"/>
    </row>
    <row r="226" spans="1:27" s="62" customFormat="1" x14ac:dyDescent="0.25">
      <c r="A226" s="9"/>
      <c r="B226" s="10"/>
      <c r="C226" s="2"/>
      <c r="D226" s="12"/>
      <c r="E226" s="10"/>
      <c r="F226" s="11"/>
      <c r="G226" s="11"/>
      <c r="H226" s="36"/>
      <c r="I226" s="36"/>
      <c r="J226" s="36"/>
      <c r="K226" s="36"/>
      <c r="L226" s="36"/>
      <c r="M226" s="36"/>
      <c r="N226" s="36"/>
      <c r="O226" s="10"/>
      <c r="P226" s="10"/>
      <c r="Q226" s="9"/>
      <c r="R226" s="9"/>
      <c r="S226" s="13"/>
      <c r="T226" s="35"/>
      <c r="U226" s="35"/>
      <c r="V226" s="35"/>
      <c r="W226" s="35"/>
      <c r="X226" s="9"/>
      <c r="Y226" s="35"/>
      <c r="Z226" s="9"/>
      <c r="AA226" s="9"/>
    </row>
    <row r="227" spans="1:27" s="62" customFormat="1" x14ac:dyDescent="0.25">
      <c r="A227" s="9"/>
      <c r="B227" s="10"/>
      <c r="C227" s="2"/>
      <c r="D227" s="12"/>
      <c r="E227" s="10"/>
      <c r="F227" s="11"/>
      <c r="G227" s="11"/>
      <c r="H227" s="36"/>
      <c r="I227" s="36"/>
      <c r="J227" s="36"/>
      <c r="K227" s="36"/>
      <c r="L227" s="36"/>
      <c r="M227" s="36"/>
      <c r="N227" s="36"/>
      <c r="O227" s="10"/>
      <c r="P227" s="10"/>
      <c r="Q227" s="9"/>
      <c r="R227" s="9"/>
      <c r="S227" s="13"/>
      <c r="T227" s="35"/>
      <c r="U227" s="35"/>
      <c r="V227" s="35"/>
      <c r="W227" s="35"/>
      <c r="X227" s="9"/>
      <c r="Y227" s="35"/>
      <c r="Z227" s="9"/>
      <c r="AA227" s="9"/>
    </row>
    <row r="228" spans="1:27" s="62" customFormat="1" x14ac:dyDescent="0.25">
      <c r="A228" s="9"/>
      <c r="B228" s="10"/>
      <c r="C228" s="2"/>
      <c r="D228" s="12"/>
      <c r="E228" s="10"/>
      <c r="F228" s="11"/>
      <c r="G228" s="11"/>
      <c r="H228" s="36"/>
      <c r="I228" s="36"/>
      <c r="J228" s="36"/>
      <c r="K228" s="36"/>
      <c r="L228" s="36"/>
      <c r="M228" s="36"/>
      <c r="N228" s="36"/>
      <c r="O228" s="10"/>
      <c r="P228" s="10"/>
      <c r="Q228" s="9"/>
      <c r="R228" s="9"/>
      <c r="S228" s="13"/>
      <c r="T228" s="35"/>
      <c r="U228" s="35"/>
      <c r="V228" s="35"/>
      <c r="W228" s="35"/>
      <c r="X228" s="9"/>
      <c r="Y228" s="35"/>
      <c r="Z228" s="9"/>
      <c r="AA228" s="9"/>
    </row>
    <row r="229" spans="1:27" s="62" customFormat="1" x14ac:dyDescent="0.25">
      <c r="A229" s="9"/>
      <c r="B229" s="10"/>
      <c r="C229" s="2"/>
      <c r="D229" s="12"/>
      <c r="E229" s="10"/>
      <c r="F229" s="11"/>
      <c r="G229" s="11"/>
      <c r="H229" s="36"/>
      <c r="I229" s="36"/>
      <c r="J229" s="36"/>
      <c r="K229" s="36"/>
      <c r="L229" s="36"/>
      <c r="M229" s="36"/>
      <c r="N229" s="36"/>
      <c r="O229" s="10"/>
      <c r="P229" s="10"/>
      <c r="Q229" s="9"/>
      <c r="R229" s="9"/>
      <c r="S229" s="13"/>
      <c r="T229" s="35"/>
      <c r="U229" s="35"/>
      <c r="V229" s="35"/>
      <c r="W229" s="35"/>
      <c r="X229" s="9"/>
      <c r="Y229" s="35"/>
      <c r="Z229" s="9"/>
      <c r="AA229" s="9"/>
    </row>
    <row r="230" spans="1:27" s="62" customFormat="1" x14ac:dyDescent="0.25">
      <c r="A230" s="9"/>
      <c r="B230" s="10"/>
      <c r="C230" s="2"/>
      <c r="D230" s="12"/>
      <c r="E230" s="10"/>
      <c r="F230" s="11"/>
      <c r="G230" s="11"/>
      <c r="H230" s="36"/>
      <c r="I230" s="36"/>
      <c r="J230" s="36"/>
      <c r="K230" s="36"/>
      <c r="L230" s="36"/>
      <c r="M230" s="36"/>
      <c r="N230" s="36"/>
      <c r="O230" s="10"/>
      <c r="P230" s="10"/>
      <c r="Q230" s="9"/>
      <c r="R230" s="9"/>
      <c r="S230" s="13"/>
      <c r="T230" s="35"/>
      <c r="U230" s="35"/>
      <c r="V230" s="35"/>
      <c r="W230" s="35"/>
      <c r="X230" s="9"/>
      <c r="Y230" s="35"/>
      <c r="Z230" s="9"/>
      <c r="AA230" s="9"/>
    </row>
    <row r="231" spans="1:27" s="62" customFormat="1" x14ac:dyDescent="0.25">
      <c r="A231" s="9"/>
      <c r="B231" s="10"/>
      <c r="C231" s="2"/>
      <c r="D231" s="12"/>
      <c r="E231" s="10"/>
      <c r="F231" s="11"/>
      <c r="G231" s="11"/>
      <c r="H231" s="36"/>
      <c r="I231" s="36"/>
      <c r="J231" s="36"/>
      <c r="K231" s="36"/>
      <c r="L231" s="36"/>
      <c r="M231" s="36"/>
      <c r="N231" s="36"/>
      <c r="O231" s="10"/>
      <c r="P231" s="10"/>
      <c r="Q231" s="9"/>
      <c r="R231" s="9"/>
      <c r="S231" s="13"/>
      <c r="T231" s="35"/>
      <c r="U231" s="35"/>
      <c r="V231" s="35"/>
      <c r="W231" s="35"/>
      <c r="X231" s="9"/>
      <c r="Y231" s="35"/>
      <c r="Z231" s="9"/>
      <c r="AA231" s="9"/>
    </row>
    <row r="232" spans="1:27" s="62" customFormat="1" x14ac:dyDescent="0.25">
      <c r="A232" s="9"/>
      <c r="B232" s="10"/>
      <c r="C232" s="2"/>
      <c r="D232" s="12"/>
      <c r="E232" s="10"/>
      <c r="F232" s="11"/>
      <c r="G232" s="11"/>
      <c r="H232" s="36"/>
      <c r="I232" s="36"/>
      <c r="J232" s="36"/>
      <c r="K232" s="36"/>
      <c r="L232" s="36"/>
      <c r="M232" s="36"/>
      <c r="N232" s="36"/>
      <c r="O232" s="10"/>
      <c r="P232" s="10"/>
      <c r="Q232" s="9"/>
      <c r="R232" s="9"/>
      <c r="S232" s="13"/>
      <c r="T232" s="35"/>
      <c r="U232" s="35"/>
      <c r="V232" s="35"/>
      <c r="W232" s="35"/>
      <c r="X232" s="9"/>
      <c r="Y232" s="35"/>
      <c r="Z232" s="9"/>
      <c r="AA232" s="9"/>
    </row>
    <row r="233" spans="1:27" s="62" customFormat="1" x14ac:dyDescent="0.25">
      <c r="A233" s="9"/>
      <c r="B233" s="10"/>
      <c r="C233" s="2"/>
      <c r="D233" s="12"/>
      <c r="E233" s="10"/>
      <c r="F233" s="11"/>
      <c r="G233" s="11"/>
      <c r="H233" s="36"/>
      <c r="I233" s="36"/>
      <c r="J233" s="36"/>
      <c r="K233" s="36"/>
      <c r="L233" s="36"/>
      <c r="M233" s="36"/>
      <c r="N233" s="36"/>
      <c r="O233" s="10"/>
      <c r="P233" s="10"/>
      <c r="Q233" s="9"/>
      <c r="R233" s="9"/>
      <c r="S233" s="13"/>
      <c r="T233" s="35"/>
      <c r="U233" s="35"/>
      <c r="V233" s="35"/>
      <c r="W233" s="35"/>
      <c r="X233" s="9"/>
      <c r="Y233" s="35"/>
      <c r="Z233" s="9"/>
      <c r="AA233" s="9"/>
    </row>
    <row r="234" spans="1:27" s="62" customFormat="1" x14ac:dyDescent="0.25">
      <c r="A234" s="9"/>
      <c r="B234" s="10"/>
      <c r="C234" s="2"/>
      <c r="D234" s="12"/>
      <c r="E234" s="10"/>
      <c r="F234" s="11"/>
      <c r="G234" s="11"/>
      <c r="H234" s="36"/>
      <c r="I234" s="36"/>
      <c r="J234" s="36"/>
      <c r="K234" s="36"/>
      <c r="L234" s="36"/>
      <c r="M234" s="36"/>
      <c r="N234" s="36"/>
      <c r="O234" s="10"/>
      <c r="P234" s="10"/>
      <c r="Q234" s="9"/>
      <c r="R234" s="9"/>
      <c r="S234" s="13"/>
      <c r="T234" s="35"/>
      <c r="U234" s="35"/>
      <c r="V234" s="35"/>
      <c r="W234" s="35"/>
      <c r="X234" s="9"/>
      <c r="Y234" s="35"/>
      <c r="Z234" s="9"/>
      <c r="AA234" s="9"/>
    </row>
    <row r="235" spans="1:27" s="62" customFormat="1" x14ac:dyDescent="0.25">
      <c r="A235" s="9"/>
      <c r="B235" s="10"/>
      <c r="C235" s="2"/>
      <c r="D235" s="12"/>
      <c r="E235" s="10"/>
      <c r="F235" s="11"/>
      <c r="G235" s="11"/>
      <c r="H235" s="36"/>
      <c r="I235" s="36"/>
      <c r="J235" s="36"/>
      <c r="K235" s="36"/>
      <c r="L235" s="36"/>
      <c r="M235" s="36"/>
      <c r="N235" s="36"/>
      <c r="O235" s="10"/>
      <c r="P235" s="10"/>
      <c r="Q235" s="9"/>
      <c r="R235" s="9"/>
      <c r="S235" s="13"/>
      <c r="T235" s="35"/>
      <c r="U235" s="35"/>
      <c r="V235" s="35"/>
      <c r="W235" s="35"/>
      <c r="X235" s="9"/>
      <c r="Y235" s="35"/>
      <c r="Z235" s="9"/>
      <c r="AA235" s="9"/>
    </row>
    <row r="236" spans="1:27" s="62" customFormat="1" x14ac:dyDescent="0.25">
      <c r="A236" s="9"/>
      <c r="B236" s="10"/>
      <c r="C236" s="2"/>
      <c r="D236" s="12"/>
      <c r="E236" s="10"/>
      <c r="F236" s="11"/>
      <c r="G236" s="11"/>
      <c r="H236" s="36"/>
      <c r="I236" s="36"/>
      <c r="J236" s="36"/>
      <c r="K236" s="36"/>
      <c r="L236" s="36"/>
      <c r="M236" s="36"/>
      <c r="N236" s="36"/>
      <c r="O236" s="10"/>
      <c r="P236" s="10"/>
      <c r="Q236" s="9"/>
      <c r="R236" s="9"/>
      <c r="S236" s="13"/>
      <c r="T236" s="35"/>
      <c r="U236" s="35"/>
      <c r="V236" s="35"/>
      <c r="W236" s="35"/>
      <c r="X236" s="9"/>
      <c r="Y236" s="35"/>
      <c r="Z236" s="9"/>
      <c r="AA236" s="9"/>
    </row>
    <row r="237" spans="1:27" s="62" customFormat="1" x14ac:dyDescent="0.25">
      <c r="A237" s="9"/>
      <c r="B237" s="10"/>
      <c r="C237" s="2"/>
      <c r="D237" s="12"/>
      <c r="E237" s="10"/>
      <c r="F237" s="11"/>
      <c r="G237" s="11"/>
      <c r="H237" s="36"/>
      <c r="I237" s="36"/>
      <c r="J237" s="36"/>
      <c r="K237" s="36"/>
      <c r="L237" s="36"/>
      <c r="M237" s="36"/>
      <c r="N237" s="36"/>
      <c r="O237" s="10"/>
      <c r="P237" s="10"/>
      <c r="Q237" s="9"/>
      <c r="R237" s="9"/>
      <c r="S237" s="13"/>
      <c r="T237" s="35"/>
      <c r="U237" s="35"/>
      <c r="V237" s="35"/>
      <c r="W237" s="35"/>
      <c r="X237" s="9"/>
      <c r="Y237" s="35"/>
      <c r="Z237" s="9"/>
      <c r="AA237" s="9"/>
    </row>
    <row r="238" spans="1:27" s="62" customFormat="1" x14ac:dyDescent="0.25">
      <c r="A238" s="9"/>
      <c r="B238" s="10"/>
      <c r="C238" s="2"/>
      <c r="D238" s="12"/>
      <c r="E238" s="10"/>
      <c r="F238" s="11"/>
      <c r="G238" s="11"/>
      <c r="H238" s="36"/>
      <c r="I238" s="36"/>
      <c r="J238" s="36"/>
      <c r="K238" s="36"/>
      <c r="L238" s="36"/>
      <c r="M238" s="36"/>
      <c r="N238" s="36"/>
      <c r="O238" s="10"/>
      <c r="P238" s="10"/>
      <c r="Q238" s="9"/>
      <c r="R238" s="9"/>
      <c r="S238" s="13"/>
      <c r="T238" s="35"/>
      <c r="U238" s="35"/>
      <c r="V238" s="35"/>
      <c r="W238" s="35"/>
      <c r="X238" s="9"/>
      <c r="Y238" s="35"/>
      <c r="Z238" s="9"/>
      <c r="AA238" s="9"/>
    </row>
    <row r="239" spans="1:27" s="62" customFormat="1" x14ac:dyDescent="0.25">
      <c r="A239" s="9"/>
      <c r="B239" s="10"/>
      <c r="C239" s="2"/>
      <c r="D239" s="12"/>
      <c r="E239" s="10"/>
      <c r="F239" s="11"/>
      <c r="G239" s="11"/>
      <c r="H239" s="36"/>
      <c r="I239" s="36"/>
      <c r="J239" s="36"/>
      <c r="K239" s="36"/>
      <c r="L239" s="36"/>
      <c r="M239" s="36"/>
      <c r="N239" s="36"/>
      <c r="O239" s="10"/>
      <c r="P239" s="10"/>
      <c r="Q239" s="9"/>
      <c r="R239" s="9"/>
      <c r="S239" s="13"/>
      <c r="T239" s="35"/>
      <c r="U239" s="35"/>
      <c r="V239" s="35"/>
      <c r="W239" s="35"/>
      <c r="X239" s="9"/>
      <c r="Y239" s="35"/>
      <c r="Z239" s="9"/>
      <c r="AA239" s="9"/>
    </row>
    <row r="240" spans="1:27" s="62" customFormat="1" x14ac:dyDescent="0.25">
      <c r="A240" s="9"/>
      <c r="B240" s="10"/>
      <c r="C240" s="2"/>
      <c r="D240" s="12"/>
      <c r="E240" s="10"/>
      <c r="F240" s="11"/>
      <c r="G240" s="11"/>
      <c r="H240" s="36"/>
      <c r="I240" s="36"/>
      <c r="J240" s="36"/>
      <c r="K240" s="36"/>
      <c r="L240" s="36"/>
      <c r="M240" s="36"/>
      <c r="N240" s="36"/>
      <c r="O240" s="10"/>
      <c r="P240" s="10"/>
      <c r="Q240" s="9"/>
      <c r="R240" s="9"/>
      <c r="S240" s="13"/>
      <c r="T240" s="35"/>
      <c r="U240" s="35"/>
      <c r="V240" s="35"/>
      <c r="W240" s="35"/>
      <c r="X240" s="9"/>
      <c r="Y240" s="35"/>
      <c r="Z240" s="9"/>
      <c r="AA240" s="9"/>
    </row>
    <row r="241" spans="1:27" s="62" customFormat="1" x14ac:dyDescent="0.25">
      <c r="A241" s="9"/>
      <c r="B241" s="10"/>
      <c r="C241" s="2"/>
      <c r="D241" s="12"/>
      <c r="E241" s="10"/>
      <c r="F241" s="11"/>
      <c r="G241" s="11"/>
      <c r="H241" s="36"/>
      <c r="I241" s="36"/>
      <c r="J241" s="36"/>
      <c r="K241" s="36"/>
      <c r="L241" s="36"/>
      <c r="M241" s="36"/>
      <c r="N241" s="36"/>
      <c r="O241" s="10"/>
      <c r="P241" s="10"/>
      <c r="Q241" s="9"/>
      <c r="R241" s="9"/>
      <c r="S241" s="13"/>
      <c r="T241" s="35"/>
      <c r="U241" s="35"/>
      <c r="V241" s="35"/>
      <c r="W241" s="35"/>
      <c r="X241" s="9"/>
      <c r="Y241" s="35"/>
      <c r="Z241" s="9"/>
      <c r="AA241" s="9"/>
    </row>
    <row r="242" spans="1:27" s="62" customFormat="1" x14ac:dyDescent="0.25">
      <c r="A242" s="9"/>
      <c r="B242" s="10"/>
      <c r="C242" s="2"/>
      <c r="D242" s="12"/>
      <c r="E242" s="10"/>
      <c r="F242" s="11"/>
      <c r="G242" s="11"/>
      <c r="H242" s="36"/>
      <c r="I242" s="36"/>
      <c r="J242" s="36"/>
      <c r="K242" s="36"/>
      <c r="L242" s="36"/>
      <c r="M242" s="36"/>
      <c r="N242" s="36"/>
      <c r="O242" s="10"/>
      <c r="P242" s="10"/>
      <c r="Q242" s="9"/>
      <c r="R242" s="9"/>
      <c r="S242" s="13"/>
      <c r="T242" s="35"/>
      <c r="U242" s="35"/>
      <c r="V242" s="35"/>
      <c r="W242" s="35"/>
      <c r="X242" s="9"/>
      <c r="Y242" s="35"/>
      <c r="Z242" s="9"/>
      <c r="AA242" s="9"/>
    </row>
    <row r="243" spans="1:27" s="62" customFormat="1" x14ac:dyDescent="0.25">
      <c r="A243" s="9"/>
      <c r="B243" s="10"/>
      <c r="C243" s="2"/>
      <c r="D243" s="12"/>
      <c r="E243" s="10"/>
      <c r="F243" s="11"/>
      <c r="G243" s="11"/>
      <c r="H243" s="36"/>
      <c r="I243" s="36"/>
      <c r="J243" s="36"/>
      <c r="K243" s="36"/>
      <c r="L243" s="36"/>
      <c r="M243" s="36"/>
      <c r="N243" s="36"/>
      <c r="O243" s="10"/>
      <c r="P243" s="10"/>
      <c r="Q243" s="9"/>
      <c r="R243" s="9"/>
      <c r="S243" s="13"/>
      <c r="T243" s="35"/>
      <c r="U243" s="35"/>
      <c r="V243" s="35"/>
      <c r="W243" s="35"/>
      <c r="X243" s="9"/>
      <c r="Y243" s="35"/>
      <c r="Z243" s="9"/>
      <c r="AA243" s="9"/>
    </row>
    <row r="244" spans="1:27" s="62" customFormat="1" x14ac:dyDescent="0.25">
      <c r="A244" s="9"/>
      <c r="B244" s="10"/>
      <c r="C244" s="2"/>
      <c r="D244" s="12"/>
      <c r="E244" s="10"/>
      <c r="F244" s="11"/>
      <c r="G244" s="11"/>
      <c r="H244" s="36"/>
      <c r="I244" s="36"/>
      <c r="J244" s="36"/>
      <c r="K244" s="36"/>
      <c r="L244" s="36"/>
      <c r="M244" s="36"/>
      <c r="N244" s="36"/>
      <c r="O244" s="10"/>
      <c r="P244" s="10"/>
      <c r="Q244" s="9"/>
      <c r="R244" s="9"/>
      <c r="S244" s="13"/>
      <c r="T244" s="35"/>
      <c r="U244" s="35"/>
      <c r="V244" s="35"/>
      <c r="W244" s="35"/>
      <c r="X244" s="9"/>
      <c r="Y244" s="35"/>
      <c r="Z244" s="9"/>
      <c r="AA244" s="9"/>
    </row>
    <row r="245" spans="1:27" s="62" customFormat="1" x14ac:dyDescent="0.25">
      <c r="A245" s="9"/>
      <c r="B245" s="10"/>
      <c r="C245" s="2"/>
      <c r="D245" s="12"/>
      <c r="E245" s="10"/>
      <c r="F245" s="11"/>
      <c r="G245" s="11"/>
      <c r="H245" s="36"/>
      <c r="I245" s="36"/>
      <c r="J245" s="36"/>
      <c r="K245" s="36"/>
      <c r="L245" s="36"/>
      <c r="M245" s="36"/>
      <c r="N245" s="36"/>
      <c r="O245" s="10"/>
      <c r="P245" s="10"/>
      <c r="Q245" s="9"/>
      <c r="R245" s="9"/>
      <c r="S245" s="13"/>
      <c r="T245" s="35"/>
      <c r="U245" s="35"/>
      <c r="V245" s="35"/>
      <c r="W245" s="35"/>
      <c r="X245" s="9"/>
      <c r="Y245" s="35"/>
      <c r="Z245" s="9"/>
      <c r="AA245" s="9"/>
    </row>
    <row r="246" spans="1:27" s="113" customFormat="1" x14ac:dyDescent="0.25">
      <c r="A246" s="9"/>
      <c r="B246" s="10"/>
      <c r="C246" s="2"/>
      <c r="D246" s="12"/>
      <c r="E246" s="10"/>
      <c r="F246" s="11"/>
      <c r="G246" s="11"/>
      <c r="H246" s="36"/>
      <c r="I246" s="36"/>
      <c r="J246" s="36"/>
      <c r="K246" s="36"/>
      <c r="L246" s="36"/>
      <c r="M246" s="36"/>
      <c r="N246" s="36"/>
      <c r="O246" s="10"/>
      <c r="P246" s="10"/>
      <c r="Q246" s="9"/>
      <c r="R246" s="9"/>
      <c r="S246" s="13"/>
      <c r="T246" s="35"/>
      <c r="U246" s="35"/>
      <c r="V246" s="35"/>
      <c r="W246" s="35"/>
      <c r="X246" s="9"/>
      <c r="Y246" s="35"/>
      <c r="Z246" s="9"/>
      <c r="AA246" s="9"/>
    </row>
    <row r="247" spans="1:27" s="62" customFormat="1" x14ac:dyDescent="0.25">
      <c r="A247" s="9"/>
      <c r="B247" s="10"/>
      <c r="C247" s="2"/>
      <c r="D247" s="12"/>
      <c r="E247" s="10"/>
      <c r="F247" s="11"/>
      <c r="G247" s="11"/>
      <c r="H247" s="36"/>
      <c r="I247" s="36"/>
      <c r="J247" s="36"/>
      <c r="K247" s="36"/>
      <c r="L247" s="36"/>
      <c r="M247" s="36"/>
      <c r="N247" s="36"/>
      <c r="O247" s="10"/>
      <c r="P247" s="10"/>
      <c r="Q247" s="9"/>
      <c r="R247" s="9"/>
      <c r="S247" s="13"/>
      <c r="T247" s="35"/>
      <c r="U247" s="35"/>
      <c r="V247" s="35"/>
      <c r="W247" s="35"/>
      <c r="X247" s="9"/>
      <c r="Y247" s="35"/>
      <c r="Z247" s="9"/>
      <c r="AA247" s="9"/>
    </row>
    <row r="248" spans="1:27" s="62" customFormat="1" x14ac:dyDescent="0.25">
      <c r="A248" s="9"/>
      <c r="B248" s="10"/>
      <c r="C248" s="2"/>
      <c r="D248" s="12"/>
      <c r="E248" s="10"/>
      <c r="F248" s="11"/>
      <c r="G248" s="11"/>
      <c r="H248" s="36"/>
      <c r="I248" s="36"/>
      <c r="J248" s="36"/>
      <c r="K248" s="36"/>
      <c r="L248" s="36"/>
      <c r="M248" s="36"/>
      <c r="N248" s="36"/>
      <c r="O248" s="10"/>
      <c r="P248" s="10"/>
      <c r="Q248" s="9"/>
      <c r="R248" s="9"/>
      <c r="S248" s="13"/>
      <c r="T248" s="35"/>
      <c r="U248" s="35"/>
      <c r="V248" s="35"/>
      <c r="W248" s="35"/>
      <c r="X248" s="9"/>
      <c r="Y248" s="35"/>
      <c r="Z248" s="9"/>
      <c r="AA248" s="9"/>
    </row>
    <row r="249" spans="1:27" s="62" customFormat="1" x14ac:dyDescent="0.25">
      <c r="A249" s="9"/>
      <c r="B249" s="10"/>
      <c r="C249" s="2"/>
      <c r="D249" s="12"/>
      <c r="E249" s="10"/>
      <c r="F249" s="11"/>
      <c r="G249" s="11"/>
      <c r="H249" s="36"/>
      <c r="I249" s="36"/>
      <c r="J249" s="36"/>
      <c r="K249" s="36"/>
      <c r="L249" s="36"/>
      <c r="M249" s="36"/>
      <c r="N249" s="36"/>
      <c r="O249" s="10"/>
      <c r="P249" s="10"/>
      <c r="Q249" s="9"/>
      <c r="R249" s="9"/>
      <c r="S249" s="13"/>
      <c r="T249" s="35"/>
      <c r="U249" s="35"/>
      <c r="V249" s="35"/>
      <c r="W249" s="35"/>
      <c r="X249" s="9"/>
      <c r="Y249" s="35"/>
      <c r="Z249" s="9"/>
      <c r="AA249" s="9"/>
    </row>
    <row r="250" spans="1:27" s="62" customFormat="1" x14ac:dyDescent="0.25">
      <c r="A250" s="9"/>
      <c r="B250" s="10"/>
      <c r="C250" s="2"/>
      <c r="D250" s="12"/>
      <c r="E250" s="10"/>
      <c r="F250" s="11"/>
      <c r="G250" s="11"/>
      <c r="H250" s="36"/>
      <c r="I250" s="36"/>
      <c r="J250" s="36"/>
      <c r="K250" s="36"/>
      <c r="L250" s="36"/>
      <c r="M250" s="36"/>
      <c r="N250" s="36"/>
      <c r="O250" s="10"/>
      <c r="P250" s="10"/>
      <c r="Q250" s="9"/>
      <c r="R250" s="9"/>
      <c r="S250" s="13"/>
      <c r="T250" s="35"/>
      <c r="U250" s="35"/>
      <c r="V250" s="35"/>
      <c r="W250" s="35"/>
      <c r="X250" s="9"/>
      <c r="Y250" s="35"/>
      <c r="Z250" s="9"/>
      <c r="AA250" s="9"/>
    </row>
    <row r="251" spans="1:27" s="62" customFormat="1" x14ac:dyDescent="0.25">
      <c r="A251" s="9"/>
      <c r="B251" s="10"/>
      <c r="C251" s="2"/>
      <c r="D251" s="12"/>
      <c r="E251" s="10"/>
      <c r="F251" s="11"/>
      <c r="G251" s="11"/>
      <c r="H251" s="36"/>
      <c r="I251" s="36"/>
      <c r="J251" s="36"/>
      <c r="K251" s="36"/>
      <c r="L251" s="36"/>
      <c r="M251" s="36"/>
      <c r="N251" s="36"/>
      <c r="O251" s="10"/>
      <c r="P251" s="10"/>
      <c r="Q251" s="9"/>
      <c r="R251" s="9"/>
      <c r="S251" s="13"/>
      <c r="T251" s="35"/>
      <c r="U251" s="35"/>
      <c r="V251" s="35"/>
      <c r="W251" s="35"/>
      <c r="X251" s="9"/>
      <c r="Y251" s="35"/>
      <c r="Z251" s="9"/>
      <c r="AA251" s="9"/>
    </row>
    <row r="252" spans="1:27" s="62" customFormat="1" x14ac:dyDescent="0.25">
      <c r="A252" s="9"/>
      <c r="B252" s="10"/>
      <c r="C252" s="2"/>
      <c r="D252" s="12"/>
      <c r="E252" s="10"/>
      <c r="F252" s="11"/>
      <c r="G252" s="11"/>
      <c r="H252" s="36"/>
      <c r="I252" s="36"/>
      <c r="J252" s="36"/>
      <c r="K252" s="36"/>
      <c r="L252" s="36"/>
      <c r="M252" s="36"/>
      <c r="N252" s="36"/>
      <c r="O252" s="10"/>
      <c r="P252" s="10"/>
      <c r="Q252" s="9"/>
      <c r="R252" s="9"/>
      <c r="S252" s="13"/>
      <c r="T252" s="35"/>
      <c r="U252" s="35"/>
      <c r="V252" s="35"/>
      <c r="W252" s="35"/>
      <c r="X252" s="9"/>
      <c r="Y252" s="35"/>
      <c r="Z252" s="9"/>
      <c r="AA252" s="9"/>
    </row>
    <row r="253" spans="1:27" s="62" customFormat="1" x14ac:dyDescent="0.25">
      <c r="A253" s="9"/>
      <c r="B253" s="10"/>
      <c r="C253" s="2"/>
      <c r="D253" s="12"/>
      <c r="E253" s="10"/>
      <c r="F253" s="11"/>
      <c r="G253" s="11"/>
      <c r="H253" s="36"/>
      <c r="I253" s="36"/>
      <c r="J253" s="36"/>
      <c r="K253" s="36"/>
      <c r="L253" s="36"/>
      <c r="M253" s="36"/>
      <c r="N253" s="36"/>
      <c r="O253" s="10"/>
      <c r="P253" s="10"/>
      <c r="Q253" s="9"/>
      <c r="R253" s="9"/>
      <c r="S253" s="13"/>
      <c r="T253" s="35"/>
      <c r="U253" s="35"/>
      <c r="V253" s="35"/>
      <c r="W253" s="35"/>
      <c r="X253" s="9"/>
      <c r="Y253" s="35"/>
      <c r="Z253" s="9"/>
      <c r="AA253" s="9"/>
    </row>
    <row r="254" spans="1:27" s="62" customFormat="1" x14ac:dyDescent="0.25">
      <c r="A254" s="9"/>
      <c r="B254" s="10"/>
      <c r="C254" s="2"/>
      <c r="D254" s="12"/>
      <c r="E254" s="10"/>
      <c r="F254" s="11"/>
      <c r="G254" s="11"/>
      <c r="H254" s="36"/>
      <c r="I254" s="36"/>
      <c r="J254" s="36"/>
      <c r="K254" s="36"/>
      <c r="L254" s="36"/>
      <c r="M254" s="36"/>
      <c r="N254" s="36"/>
      <c r="O254" s="10"/>
      <c r="P254" s="10"/>
      <c r="Q254" s="9"/>
      <c r="R254" s="9"/>
      <c r="S254" s="13"/>
      <c r="T254" s="35"/>
      <c r="U254" s="35"/>
      <c r="V254" s="35"/>
      <c r="W254" s="35"/>
      <c r="X254" s="9"/>
      <c r="Y254" s="35"/>
      <c r="Z254" s="9"/>
      <c r="AA254" s="9"/>
    </row>
    <row r="255" spans="1:27" s="62" customFormat="1" x14ac:dyDescent="0.25">
      <c r="A255" s="9"/>
      <c r="B255" s="10"/>
      <c r="C255" s="2"/>
      <c r="D255" s="12"/>
      <c r="E255" s="10"/>
      <c r="F255" s="11"/>
      <c r="G255" s="11"/>
      <c r="H255" s="36"/>
      <c r="I255" s="36"/>
      <c r="J255" s="36"/>
      <c r="K255" s="36"/>
      <c r="L255" s="36"/>
      <c r="M255" s="36"/>
      <c r="N255" s="36"/>
      <c r="O255" s="10"/>
      <c r="P255" s="10"/>
      <c r="Q255" s="9"/>
      <c r="R255" s="9"/>
      <c r="S255" s="13"/>
      <c r="T255" s="35"/>
      <c r="U255" s="35"/>
      <c r="V255" s="35"/>
      <c r="W255" s="35"/>
      <c r="X255" s="9"/>
      <c r="Y255" s="35"/>
      <c r="Z255" s="9"/>
      <c r="AA255" s="9"/>
    </row>
    <row r="256" spans="1:27" s="62" customFormat="1" x14ac:dyDescent="0.25">
      <c r="A256" s="9"/>
      <c r="B256" s="10"/>
      <c r="C256" s="2"/>
      <c r="D256" s="12"/>
      <c r="E256" s="10"/>
      <c r="F256" s="11"/>
      <c r="G256" s="11"/>
      <c r="H256" s="36"/>
      <c r="I256" s="36"/>
      <c r="J256" s="36"/>
      <c r="K256" s="36"/>
      <c r="L256" s="36"/>
      <c r="M256" s="36"/>
      <c r="N256" s="36"/>
      <c r="O256" s="10"/>
      <c r="P256" s="10"/>
      <c r="Q256" s="9"/>
      <c r="R256" s="9"/>
      <c r="S256" s="13"/>
      <c r="T256" s="35"/>
      <c r="U256" s="35"/>
      <c r="V256" s="35"/>
      <c r="W256" s="35"/>
      <c r="X256" s="9"/>
      <c r="Y256" s="35"/>
      <c r="Z256" s="9"/>
      <c r="AA256" s="9"/>
    </row>
    <row r="257" spans="1:27" s="62" customFormat="1" x14ac:dyDescent="0.25">
      <c r="A257" s="9"/>
      <c r="B257" s="10"/>
      <c r="C257" s="2"/>
      <c r="D257" s="12"/>
      <c r="E257" s="10"/>
      <c r="F257" s="11"/>
      <c r="G257" s="11"/>
      <c r="H257" s="36"/>
      <c r="I257" s="36"/>
      <c r="J257" s="36"/>
      <c r="K257" s="36"/>
      <c r="L257" s="36"/>
      <c r="M257" s="36"/>
      <c r="N257" s="36"/>
      <c r="O257" s="10"/>
      <c r="P257" s="10"/>
      <c r="Q257" s="9"/>
      <c r="R257" s="9"/>
      <c r="S257" s="13"/>
      <c r="T257" s="35"/>
      <c r="U257" s="35"/>
      <c r="V257" s="35"/>
      <c r="W257" s="35"/>
      <c r="X257" s="9"/>
      <c r="Y257" s="35"/>
      <c r="Z257" s="9"/>
      <c r="AA257" s="9"/>
    </row>
    <row r="258" spans="1:27" s="62" customFormat="1" x14ac:dyDescent="0.25">
      <c r="A258" s="9"/>
      <c r="B258" s="10"/>
      <c r="C258" s="2"/>
      <c r="D258" s="12"/>
      <c r="E258" s="10"/>
      <c r="F258" s="11"/>
      <c r="G258" s="11"/>
      <c r="H258" s="36"/>
      <c r="I258" s="36"/>
      <c r="J258" s="36"/>
      <c r="K258" s="36"/>
      <c r="L258" s="36"/>
      <c r="M258" s="36"/>
      <c r="N258" s="36"/>
      <c r="O258" s="10"/>
      <c r="P258" s="10"/>
      <c r="Q258" s="9"/>
      <c r="R258" s="9"/>
      <c r="S258" s="13"/>
      <c r="T258" s="35"/>
      <c r="U258" s="35"/>
      <c r="V258" s="35"/>
      <c r="W258" s="35"/>
      <c r="X258" s="9"/>
      <c r="Y258" s="35"/>
      <c r="Z258" s="9"/>
      <c r="AA258" s="9"/>
    </row>
    <row r="259" spans="1:27" s="62" customFormat="1" x14ac:dyDescent="0.25">
      <c r="A259" s="9"/>
      <c r="B259" s="10"/>
      <c r="C259" s="2"/>
      <c r="D259" s="12"/>
      <c r="E259" s="10"/>
      <c r="F259" s="11"/>
      <c r="G259" s="11"/>
      <c r="H259" s="36"/>
      <c r="I259" s="36"/>
      <c r="J259" s="36"/>
      <c r="K259" s="36"/>
      <c r="L259" s="36"/>
      <c r="M259" s="36"/>
      <c r="N259" s="36"/>
      <c r="O259" s="10"/>
      <c r="P259" s="10"/>
      <c r="Q259" s="9"/>
      <c r="R259" s="9"/>
      <c r="S259" s="13"/>
      <c r="T259" s="35"/>
      <c r="U259" s="35"/>
      <c r="V259" s="35"/>
      <c r="W259" s="35"/>
      <c r="X259" s="9"/>
      <c r="Y259" s="35"/>
      <c r="Z259" s="9"/>
      <c r="AA259" s="9"/>
    </row>
    <row r="260" spans="1:27" s="62" customFormat="1" x14ac:dyDescent="0.25">
      <c r="A260" s="9"/>
      <c r="B260" s="10"/>
      <c r="C260" s="2"/>
      <c r="D260" s="12"/>
      <c r="E260" s="10"/>
      <c r="F260" s="11"/>
      <c r="G260" s="11"/>
      <c r="H260" s="36"/>
      <c r="I260" s="36"/>
      <c r="J260" s="36"/>
      <c r="K260" s="36"/>
      <c r="L260" s="36"/>
      <c r="M260" s="36"/>
      <c r="N260" s="36"/>
      <c r="O260" s="10"/>
      <c r="P260" s="10"/>
      <c r="Q260" s="9"/>
      <c r="R260" s="9"/>
      <c r="S260" s="13"/>
      <c r="T260" s="35"/>
      <c r="U260" s="35"/>
      <c r="V260" s="35"/>
      <c r="W260" s="35"/>
      <c r="X260" s="9"/>
      <c r="Y260" s="35"/>
      <c r="Z260" s="9"/>
      <c r="AA260" s="9"/>
    </row>
    <row r="261" spans="1:27" s="62" customFormat="1" x14ac:dyDescent="0.25">
      <c r="A261" s="9"/>
      <c r="B261" s="10"/>
      <c r="C261" s="2"/>
      <c r="D261" s="12"/>
      <c r="E261" s="10"/>
      <c r="F261" s="11"/>
      <c r="G261" s="11"/>
      <c r="H261" s="36"/>
      <c r="I261" s="36"/>
      <c r="J261" s="36"/>
      <c r="K261" s="36"/>
      <c r="L261" s="36"/>
      <c r="M261" s="36"/>
      <c r="N261" s="36"/>
      <c r="O261" s="10"/>
      <c r="P261" s="10"/>
      <c r="Q261" s="9"/>
      <c r="R261" s="9"/>
      <c r="S261" s="13"/>
      <c r="T261" s="35"/>
      <c r="U261" s="35"/>
      <c r="V261" s="35"/>
      <c r="W261" s="35"/>
      <c r="X261" s="9"/>
      <c r="Y261" s="35"/>
      <c r="Z261" s="9"/>
      <c r="AA261" s="9"/>
    </row>
    <row r="262" spans="1:27" s="62" customFormat="1" x14ac:dyDescent="0.25">
      <c r="A262" s="9"/>
      <c r="B262" s="10"/>
      <c r="C262" s="2"/>
      <c r="D262" s="12"/>
      <c r="E262" s="10"/>
      <c r="F262" s="11"/>
      <c r="G262" s="11"/>
      <c r="H262" s="36"/>
      <c r="I262" s="36"/>
      <c r="J262" s="36"/>
      <c r="K262" s="36"/>
      <c r="L262" s="36"/>
      <c r="M262" s="36"/>
      <c r="N262" s="36"/>
      <c r="O262" s="10"/>
      <c r="P262" s="10"/>
      <c r="Q262" s="9"/>
      <c r="R262" s="9"/>
      <c r="S262" s="13"/>
      <c r="T262" s="35"/>
      <c r="U262" s="35"/>
      <c r="V262" s="35"/>
      <c r="W262" s="35"/>
      <c r="X262" s="9"/>
      <c r="Y262" s="35"/>
      <c r="Z262" s="9"/>
      <c r="AA262" s="9"/>
    </row>
    <row r="263" spans="1:27" s="62" customFormat="1" x14ac:dyDescent="0.25">
      <c r="A263" s="9"/>
      <c r="B263" s="10"/>
      <c r="C263" s="2"/>
      <c r="D263" s="12"/>
      <c r="E263" s="10"/>
      <c r="F263" s="11"/>
      <c r="G263" s="11"/>
      <c r="H263" s="36"/>
      <c r="I263" s="36"/>
      <c r="J263" s="36"/>
      <c r="K263" s="36"/>
      <c r="L263" s="36"/>
      <c r="M263" s="36"/>
      <c r="N263" s="36"/>
      <c r="O263" s="10"/>
      <c r="P263" s="10"/>
      <c r="Q263" s="9"/>
      <c r="R263" s="9"/>
      <c r="S263" s="13"/>
      <c r="T263" s="35"/>
      <c r="U263" s="35"/>
      <c r="V263" s="35"/>
      <c r="W263" s="35"/>
      <c r="X263" s="9"/>
      <c r="Y263" s="35"/>
      <c r="Z263" s="9"/>
      <c r="AA263" s="9"/>
    </row>
    <row r="264" spans="1:27" s="62" customFormat="1" x14ac:dyDescent="0.25">
      <c r="A264" s="9"/>
      <c r="B264" s="10"/>
      <c r="C264" s="2"/>
      <c r="D264" s="12"/>
      <c r="E264" s="10"/>
      <c r="F264" s="11"/>
      <c r="G264" s="11"/>
      <c r="H264" s="36"/>
      <c r="I264" s="36"/>
      <c r="J264" s="36"/>
      <c r="K264" s="36"/>
      <c r="L264" s="36"/>
      <c r="M264" s="36"/>
      <c r="N264" s="36"/>
      <c r="O264" s="10"/>
      <c r="P264" s="10"/>
      <c r="Q264" s="9"/>
      <c r="R264" s="9"/>
      <c r="S264" s="13"/>
      <c r="T264" s="35"/>
      <c r="U264" s="35"/>
      <c r="V264" s="35"/>
      <c r="W264" s="35"/>
      <c r="X264" s="9"/>
      <c r="Y264" s="35"/>
      <c r="Z264" s="9"/>
      <c r="AA264" s="9"/>
    </row>
    <row r="265" spans="1:27" s="62" customFormat="1" x14ac:dyDescent="0.25">
      <c r="A265" s="9"/>
      <c r="B265" s="10"/>
      <c r="C265" s="2"/>
      <c r="D265" s="12"/>
      <c r="E265" s="10"/>
      <c r="F265" s="11"/>
      <c r="G265" s="11"/>
      <c r="H265" s="36"/>
      <c r="I265" s="36"/>
      <c r="J265" s="36"/>
      <c r="K265" s="36"/>
      <c r="L265" s="36"/>
      <c r="M265" s="36"/>
      <c r="N265" s="36"/>
      <c r="O265" s="10"/>
      <c r="P265" s="10"/>
      <c r="Q265" s="9"/>
      <c r="R265" s="9"/>
      <c r="S265" s="13"/>
      <c r="T265" s="35"/>
      <c r="U265" s="35"/>
      <c r="V265" s="35"/>
      <c r="W265" s="35"/>
      <c r="X265" s="9"/>
      <c r="Y265" s="35"/>
      <c r="Z265" s="9"/>
      <c r="AA265" s="9"/>
    </row>
    <row r="266" spans="1:27" s="62" customFormat="1" x14ac:dyDescent="0.25">
      <c r="A266" s="9"/>
      <c r="B266" s="10"/>
      <c r="C266" s="2"/>
      <c r="D266" s="12"/>
      <c r="E266" s="10"/>
      <c r="F266" s="11"/>
      <c r="G266" s="11"/>
      <c r="H266" s="36"/>
      <c r="I266" s="36"/>
      <c r="J266" s="36"/>
      <c r="K266" s="36"/>
      <c r="L266" s="36"/>
      <c r="M266" s="36"/>
      <c r="N266" s="36"/>
      <c r="O266" s="10"/>
      <c r="P266" s="10"/>
      <c r="Q266" s="9"/>
      <c r="R266" s="9"/>
      <c r="S266" s="13"/>
      <c r="T266" s="35"/>
      <c r="U266" s="35"/>
      <c r="V266" s="35"/>
      <c r="W266" s="35"/>
      <c r="X266" s="9"/>
      <c r="Y266" s="35"/>
      <c r="Z266" s="9"/>
      <c r="AA266" s="9"/>
    </row>
    <row r="267" spans="1:27" s="62" customFormat="1" x14ac:dyDescent="0.25">
      <c r="A267" s="9"/>
      <c r="B267" s="10"/>
      <c r="C267" s="2"/>
      <c r="D267" s="12"/>
      <c r="E267" s="10"/>
      <c r="F267" s="11"/>
      <c r="G267" s="11"/>
      <c r="H267" s="36"/>
      <c r="I267" s="36"/>
      <c r="J267" s="36"/>
      <c r="K267" s="36"/>
      <c r="L267" s="36"/>
      <c r="M267" s="36"/>
      <c r="N267" s="36"/>
      <c r="O267" s="10"/>
      <c r="P267" s="10"/>
      <c r="Q267" s="9"/>
      <c r="R267" s="9"/>
      <c r="S267" s="13"/>
      <c r="T267" s="35"/>
      <c r="U267" s="35"/>
      <c r="V267" s="35"/>
      <c r="W267" s="35"/>
      <c r="X267" s="9"/>
      <c r="Y267" s="35"/>
      <c r="Z267" s="9"/>
      <c r="AA267" s="9"/>
    </row>
    <row r="268" spans="1:27" s="62" customFormat="1" x14ac:dyDescent="0.25">
      <c r="A268" s="9"/>
      <c r="B268" s="10"/>
      <c r="C268" s="2"/>
      <c r="D268" s="12"/>
      <c r="E268" s="10"/>
      <c r="F268" s="11"/>
      <c r="G268" s="11"/>
      <c r="H268" s="36"/>
      <c r="I268" s="36"/>
      <c r="J268" s="36"/>
      <c r="K268" s="36"/>
      <c r="L268" s="36"/>
      <c r="M268" s="36"/>
      <c r="N268" s="36"/>
      <c r="O268" s="10"/>
      <c r="P268" s="10"/>
      <c r="Q268" s="9"/>
      <c r="R268" s="9"/>
      <c r="S268" s="13"/>
      <c r="T268" s="35"/>
      <c r="U268" s="35"/>
      <c r="V268" s="35"/>
      <c r="W268" s="35"/>
      <c r="X268" s="9"/>
      <c r="Y268" s="35"/>
      <c r="Z268" s="9"/>
      <c r="AA268" s="9"/>
    </row>
    <row r="269" spans="1:27" s="62" customFormat="1" x14ac:dyDescent="0.25">
      <c r="A269" s="9"/>
      <c r="B269" s="10"/>
      <c r="C269" s="2"/>
      <c r="D269" s="12"/>
      <c r="E269" s="10"/>
      <c r="F269" s="11"/>
      <c r="G269" s="11"/>
      <c r="H269" s="36"/>
      <c r="I269" s="36"/>
      <c r="J269" s="36"/>
      <c r="K269" s="36"/>
      <c r="L269" s="36"/>
      <c r="M269" s="36"/>
      <c r="N269" s="36"/>
      <c r="O269" s="10"/>
      <c r="P269" s="10"/>
      <c r="Q269" s="9"/>
      <c r="R269" s="9"/>
      <c r="S269" s="13"/>
      <c r="T269" s="35"/>
      <c r="U269" s="35"/>
      <c r="V269" s="35"/>
      <c r="W269" s="35"/>
      <c r="X269" s="9"/>
      <c r="Y269" s="35"/>
      <c r="Z269" s="9"/>
      <c r="AA269" s="9"/>
    </row>
    <row r="270" spans="1:27" s="62" customFormat="1" x14ac:dyDescent="0.25">
      <c r="A270" s="9"/>
      <c r="B270" s="10"/>
      <c r="C270" s="2"/>
      <c r="D270" s="12"/>
      <c r="E270" s="10"/>
      <c r="F270" s="11"/>
      <c r="G270" s="11"/>
      <c r="H270" s="36"/>
      <c r="I270" s="36"/>
      <c r="J270" s="36"/>
      <c r="K270" s="36"/>
      <c r="L270" s="36"/>
      <c r="M270" s="36"/>
      <c r="N270" s="36"/>
      <c r="O270" s="10"/>
      <c r="P270" s="10"/>
      <c r="Q270" s="9"/>
      <c r="R270" s="9"/>
      <c r="S270" s="13"/>
      <c r="T270" s="35"/>
      <c r="U270" s="35"/>
      <c r="V270" s="35"/>
      <c r="W270" s="35"/>
      <c r="X270" s="9"/>
      <c r="Y270" s="35"/>
      <c r="Z270" s="9"/>
      <c r="AA270" s="9"/>
    </row>
    <row r="271" spans="1:27" s="62" customFormat="1" x14ac:dyDescent="0.25">
      <c r="A271" s="9"/>
      <c r="B271" s="10"/>
      <c r="C271" s="2"/>
      <c r="D271" s="12"/>
      <c r="E271" s="10"/>
      <c r="F271" s="11"/>
      <c r="G271" s="11"/>
      <c r="H271" s="36"/>
      <c r="I271" s="36"/>
      <c r="J271" s="36"/>
      <c r="K271" s="36"/>
      <c r="L271" s="36"/>
      <c r="M271" s="36"/>
      <c r="N271" s="36"/>
      <c r="O271" s="10"/>
      <c r="P271" s="10"/>
      <c r="Q271" s="9"/>
      <c r="R271" s="9"/>
      <c r="S271" s="13"/>
      <c r="T271" s="35"/>
      <c r="U271" s="35"/>
      <c r="V271" s="35"/>
      <c r="W271" s="35"/>
      <c r="X271" s="9"/>
      <c r="Y271" s="35"/>
      <c r="Z271" s="9"/>
      <c r="AA271" s="9"/>
    </row>
    <row r="272" spans="1:27" s="62" customFormat="1" x14ac:dyDescent="0.25">
      <c r="A272" s="9"/>
      <c r="B272" s="10"/>
      <c r="C272" s="2"/>
      <c r="D272" s="12"/>
      <c r="E272" s="10"/>
      <c r="F272" s="11"/>
      <c r="G272" s="11"/>
      <c r="H272" s="36"/>
      <c r="I272" s="36"/>
      <c r="J272" s="36"/>
      <c r="K272" s="36"/>
      <c r="L272" s="36"/>
      <c r="M272" s="36"/>
      <c r="N272" s="36"/>
      <c r="O272" s="10"/>
      <c r="P272" s="10"/>
      <c r="Q272" s="9"/>
      <c r="R272" s="9"/>
      <c r="S272" s="13"/>
      <c r="T272" s="35"/>
      <c r="U272" s="35"/>
      <c r="V272" s="35"/>
      <c r="W272" s="35"/>
      <c r="X272" s="9"/>
      <c r="Y272" s="35"/>
      <c r="Z272" s="9"/>
      <c r="AA272" s="9"/>
    </row>
    <row r="273" spans="1:27" s="62" customFormat="1" x14ac:dyDescent="0.25">
      <c r="A273" s="9"/>
      <c r="B273" s="10"/>
      <c r="C273" s="2"/>
      <c r="D273" s="12"/>
      <c r="E273" s="10"/>
      <c r="F273" s="11"/>
      <c r="G273" s="11"/>
      <c r="H273" s="36"/>
      <c r="I273" s="36"/>
      <c r="J273" s="36"/>
      <c r="K273" s="36"/>
      <c r="L273" s="36"/>
      <c r="M273" s="36"/>
      <c r="N273" s="36"/>
      <c r="O273" s="10"/>
      <c r="P273" s="10"/>
      <c r="Q273" s="9"/>
      <c r="R273" s="9"/>
      <c r="S273" s="13"/>
      <c r="T273" s="35"/>
      <c r="U273" s="35"/>
      <c r="V273" s="35"/>
      <c r="W273" s="35"/>
      <c r="X273" s="9"/>
      <c r="Y273" s="35"/>
      <c r="Z273" s="9"/>
      <c r="AA273" s="9"/>
    </row>
    <row r="274" spans="1:27" s="62" customFormat="1" x14ac:dyDescent="0.25">
      <c r="A274" s="9"/>
      <c r="B274" s="10"/>
      <c r="C274" s="2"/>
      <c r="D274" s="12"/>
      <c r="E274" s="10"/>
      <c r="F274" s="11"/>
      <c r="G274" s="11"/>
      <c r="H274" s="36"/>
      <c r="I274" s="36"/>
      <c r="J274" s="36"/>
      <c r="K274" s="36"/>
      <c r="L274" s="36"/>
      <c r="M274" s="36"/>
      <c r="N274" s="36"/>
      <c r="O274" s="10"/>
      <c r="P274" s="10"/>
      <c r="Q274" s="9"/>
      <c r="R274" s="9"/>
      <c r="S274" s="13"/>
      <c r="T274" s="35"/>
      <c r="U274" s="35"/>
      <c r="V274" s="35"/>
      <c r="W274" s="35"/>
      <c r="X274" s="9"/>
      <c r="Y274" s="35"/>
      <c r="Z274" s="9"/>
      <c r="AA274" s="9"/>
    </row>
    <row r="275" spans="1:27" s="62" customFormat="1" x14ac:dyDescent="0.25">
      <c r="A275" s="9"/>
      <c r="B275" s="10"/>
      <c r="C275" s="2"/>
      <c r="D275" s="12"/>
      <c r="E275" s="10"/>
      <c r="F275" s="11"/>
      <c r="G275" s="11"/>
      <c r="H275" s="36"/>
      <c r="I275" s="36"/>
      <c r="J275" s="36"/>
      <c r="K275" s="36"/>
      <c r="L275" s="36"/>
      <c r="M275" s="36"/>
      <c r="N275" s="36"/>
      <c r="O275" s="10"/>
      <c r="P275" s="10"/>
      <c r="Q275" s="9"/>
      <c r="R275" s="9"/>
      <c r="S275" s="13"/>
      <c r="T275" s="35"/>
      <c r="U275" s="35"/>
      <c r="V275" s="35"/>
      <c r="W275" s="35"/>
      <c r="X275" s="9"/>
      <c r="Y275" s="35"/>
      <c r="Z275" s="9"/>
      <c r="AA275" s="9"/>
    </row>
    <row r="276" spans="1:27" s="62" customFormat="1" x14ac:dyDescent="0.25">
      <c r="A276" s="9"/>
      <c r="B276" s="10"/>
      <c r="C276" s="2"/>
      <c r="D276" s="12"/>
      <c r="E276" s="10"/>
      <c r="F276" s="11"/>
      <c r="G276" s="11"/>
      <c r="H276" s="36"/>
      <c r="I276" s="36"/>
      <c r="J276" s="36"/>
      <c r="K276" s="36"/>
      <c r="L276" s="36"/>
      <c r="M276" s="36"/>
      <c r="N276" s="36"/>
      <c r="O276" s="10"/>
      <c r="P276" s="10"/>
      <c r="Q276" s="9"/>
      <c r="R276" s="9"/>
      <c r="S276" s="13"/>
      <c r="T276" s="35"/>
      <c r="U276" s="35"/>
      <c r="V276" s="35"/>
      <c r="W276" s="35"/>
      <c r="X276" s="9"/>
      <c r="Y276" s="35"/>
      <c r="Z276" s="9"/>
      <c r="AA276" s="9"/>
    </row>
    <row r="277" spans="1:27" s="62" customFormat="1" x14ac:dyDescent="0.25">
      <c r="A277" s="9"/>
      <c r="B277" s="10"/>
      <c r="C277" s="2"/>
      <c r="D277" s="12"/>
      <c r="E277" s="10"/>
      <c r="F277" s="11"/>
      <c r="G277" s="11"/>
      <c r="H277" s="36"/>
      <c r="I277" s="36"/>
      <c r="J277" s="36"/>
      <c r="K277" s="36"/>
      <c r="L277" s="36"/>
      <c r="M277" s="36"/>
      <c r="N277" s="36"/>
      <c r="O277" s="10"/>
      <c r="P277" s="10"/>
      <c r="Q277" s="9"/>
      <c r="R277" s="9"/>
      <c r="S277" s="13"/>
      <c r="T277" s="35"/>
      <c r="U277" s="35"/>
      <c r="V277" s="35"/>
      <c r="W277" s="35"/>
      <c r="X277" s="9"/>
      <c r="Y277" s="35"/>
      <c r="Z277" s="9"/>
      <c r="AA277" s="9"/>
    </row>
    <row r="278" spans="1:27" s="62" customFormat="1" x14ac:dyDescent="0.25">
      <c r="A278" s="9"/>
      <c r="B278" s="10"/>
      <c r="C278" s="2"/>
      <c r="D278" s="12"/>
      <c r="E278" s="10"/>
      <c r="F278" s="11"/>
      <c r="G278" s="11"/>
      <c r="H278" s="36"/>
      <c r="I278" s="36"/>
      <c r="J278" s="36"/>
      <c r="K278" s="36"/>
      <c r="L278" s="36"/>
      <c r="M278" s="36"/>
      <c r="N278" s="36"/>
      <c r="O278" s="10"/>
      <c r="P278" s="10"/>
      <c r="Q278" s="9"/>
      <c r="R278" s="9"/>
      <c r="S278" s="13"/>
      <c r="T278" s="35"/>
      <c r="U278" s="35"/>
      <c r="V278" s="35"/>
      <c r="W278" s="35"/>
      <c r="X278" s="9"/>
      <c r="Y278" s="35"/>
      <c r="Z278" s="9"/>
      <c r="AA278" s="9"/>
    </row>
    <row r="279" spans="1:27" s="62" customFormat="1" x14ac:dyDescent="0.25">
      <c r="A279" s="9"/>
      <c r="B279" s="10"/>
      <c r="C279" s="2"/>
      <c r="D279" s="12"/>
      <c r="E279" s="10"/>
      <c r="F279" s="11"/>
      <c r="G279" s="11"/>
      <c r="H279" s="36"/>
      <c r="I279" s="36"/>
      <c r="J279" s="36"/>
      <c r="K279" s="36"/>
      <c r="L279" s="36"/>
      <c r="M279" s="36"/>
      <c r="N279" s="36"/>
      <c r="O279" s="10"/>
      <c r="P279" s="10"/>
      <c r="Q279" s="9"/>
      <c r="R279" s="9"/>
      <c r="S279" s="13"/>
      <c r="T279" s="35"/>
      <c r="U279" s="35"/>
      <c r="V279" s="35"/>
      <c r="W279" s="35"/>
      <c r="X279" s="9"/>
      <c r="Y279" s="35"/>
      <c r="Z279" s="9"/>
      <c r="AA279" s="9"/>
    </row>
    <row r="280" spans="1:27" s="62" customFormat="1" x14ac:dyDescent="0.25">
      <c r="A280" s="9"/>
      <c r="B280" s="10"/>
      <c r="C280" s="2"/>
      <c r="D280" s="12"/>
      <c r="E280" s="10"/>
      <c r="F280" s="11"/>
      <c r="G280" s="11"/>
      <c r="H280" s="36"/>
      <c r="I280" s="36"/>
      <c r="J280" s="36"/>
      <c r="K280" s="36"/>
      <c r="L280" s="36"/>
      <c r="M280" s="36"/>
      <c r="N280" s="36"/>
      <c r="O280" s="10"/>
      <c r="P280" s="10"/>
      <c r="Q280" s="9"/>
      <c r="R280" s="9"/>
      <c r="S280" s="13"/>
      <c r="T280" s="35"/>
      <c r="U280" s="35"/>
      <c r="V280" s="35"/>
      <c r="W280" s="35"/>
      <c r="X280" s="9"/>
      <c r="Y280" s="35"/>
      <c r="Z280" s="9"/>
      <c r="AA280" s="9"/>
    </row>
    <row r="281" spans="1:27" s="62" customFormat="1" x14ac:dyDescent="0.25">
      <c r="A281" s="9"/>
      <c r="B281" s="10"/>
      <c r="C281" s="2"/>
      <c r="D281" s="12"/>
      <c r="E281" s="10"/>
      <c r="F281" s="11"/>
      <c r="G281" s="11"/>
      <c r="H281" s="36"/>
      <c r="I281" s="36"/>
      <c r="J281" s="36"/>
      <c r="K281" s="36"/>
      <c r="L281" s="36"/>
      <c r="M281" s="36"/>
      <c r="N281" s="36"/>
      <c r="O281" s="10"/>
      <c r="P281" s="10"/>
      <c r="Q281" s="9"/>
      <c r="R281" s="9"/>
      <c r="S281" s="13"/>
      <c r="T281" s="35"/>
      <c r="U281" s="35"/>
      <c r="V281" s="35"/>
      <c r="W281" s="35"/>
      <c r="X281" s="9"/>
      <c r="Y281" s="35"/>
      <c r="Z281" s="9"/>
      <c r="AA281" s="9"/>
    </row>
    <row r="282" spans="1:27" s="62" customFormat="1" x14ac:dyDescent="0.25">
      <c r="A282" s="9"/>
      <c r="B282" s="10"/>
      <c r="C282" s="2"/>
      <c r="D282" s="12"/>
      <c r="E282" s="10"/>
      <c r="F282" s="11"/>
      <c r="G282" s="11"/>
      <c r="H282" s="36"/>
      <c r="I282" s="36"/>
      <c r="J282" s="36"/>
      <c r="K282" s="36"/>
      <c r="L282" s="36"/>
      <c r="M282" s="36"/>
      <c r="N282" s="36"/>
      <c r="O282" s="10"/>
      <c r="P282" s="10"/>
      <c r="Q282" s="9"/>
      <c r="R282" s="9"/>
      <c r="S282" s="13"/>
      <c r="T282" s="35"/>
      <c r="U282" s="35"/>
      <c r="V282" s="35"/>
      <c r="W282" s="35"/>
      <c r="X282" s="9"/>
      <c r="Y282" s="35"/>
      <c r="Z282" s="9"/>
      <c r="AA282" s="9"/>
    </row>
    <row r="283" spans="1:27" s="62" customFormat="1" x14ac:dyDescent="0.25">
      <c r="A283" s="9"/>
      <c r="B283" s="10"/>
      <c r="C283" s="2"/>
      <c r="D283" s="12"/>
      <c r="E283" s="10"/>
      <c r="F283" s="11"/>
      <c r="G283" s="11"/>
      <c r="H283" s="36"/>
      <c r="I283" s="36"/>
      <c r="J283" s="36"/>
      <c r="K283" s="36"/>
      <c r="L283" s="36"/>
      <c r="M283" s="36"/>
      <c r="N283" s="36"/>
      <c r="O283" s="10"/>
      <c r="P283" s="10"/>
      <c r="Q283" s="9"/>
      <c r="R283" s="9"/>
      <c r="S283" s="13"/>
      <c r="T283" s="35"/>
      <c r="U283" s="35"/>
      <c r="V283" s="35"/>
      <c r="W283" s="35"/>
      <c r="X283" s="9"/>
      <c r="Y283" s="35"/>
      <c r="Z283" s="9"/>
      <c r="AA283" s="9"/>
    </row>
    <row r="284" spans="1:27" s="62" customFormat="1" x14ac:dyDescent="0.25">
      <c r="A284" s="9"/>
      <c r="B284" s="10"/>
      <c r="C284" s="2"/>
      <c r="D284" s="12"/>
      <c r="E284" s="10"/>
      <c r="F284" s="11"/>
      <c r="G284" s="11"/>
      <c r="H284" s="36"/>
      <c r="I284" s="36"/>
      <c r="J284" s="36"/>
      <c r="K284" s="36"/>
      <c r="L284" s="36"/>
      <c r="M284" s="36"/>
      <c r="N284" s="36"/>
      <c r="O284" s="10"/>
      <c r="P284" s="10"/>
      <c r="Q284" s="9"/>
      <c r="R284" s="9"/>
      <c r="S284" s="13"/>
      <c r="T284" s="35"/>
      <c r="U284" s="35"/>
      <c r="V284" s="35"/>
      <c r="W284" s="35"/>
      <c r="X284" s="9"/>
      <c r="Y284" s="35"/>
      <c r="Z284" s="9"/>
      <c r="AA284" s="9"/>
    </row>
    <row r="285" spans="1:27" s="62" customFormat="1" x14ac:dyDescent="0.25">
      <c r="A285" s="9"/>
      <c r="B285" s="10"/>
      <c r="C285" s="2"/>
      <c r="D285" s="12"/>
      <c r="E285" s="10"/>
      <c r="F285" s="11"/>
      <c r="G285" s="11"/>
      <c r="H285" s="36"/>
      <c r="I285" s="36"/>
      <c r="J285" s="36"/>
      <c r="K285" s="36"/>
      <c r="L285" s="36"/>
      <c r="M285" s="36"/>
      <c r="N285" s="36"/>
      <c r="O285" s="10"/>
      <c r="P285" s="10"/>
      <c r="Q285" s="9"/>
      <c r="R285" s="9"/>
      <c r="S285" s="13"/>
      <c r="T285" s="35"/>
      <c r="U285" s="35"/>
      <c r="V285" s="35"/>
      <c r="W285" s="35"/>
      <c r="X285" s="9"/>
      <c r="Y285" s="35"/>
      <c r="Z285" s="9"/>
      <c r="AA285" s="9"/>
    </row>
    <row r="286" spans="1:27" s="62" customFormat="1" x14ac:dyDescent="0.25">
      <c r="A286" s="9"/>
      <c r="B286" s="10"/>
      <c r="C286" s="2"/>
      <c r="D286" s="12"/>
      <c r="E286" s="10"/>
      <c r="F286" s="11"/>
      <c r="G286" s="11"/>
      <c r="H286" s="36"/>
      <c r="I286" s="36"/>
      <c r="J286" s="36"/>
      <c r="K286" s="36"/>
      <c r="L286" s="36"/>
      <c r="M286" s="36"/>
      <c r="N286" s="36"/>
      <c r="O286" s="10"/>
      <c r="P286" s="10"/>
      <c r="Q286" s="9"/>
      <c r="R286" s="9"/>
      <c r="S286" s="13"/>
      <c r="T286" s="35"/>
      <c r="U286" s="35"/>
      <c r="V286" s="35"/>
      <c r="W286" s="35"/>
      <c r="X286" s="9"/>
      <c r="Y286" s="35"/>
      <c r="Z286" s="9"/>
      <c r="AA286" s="9"/>
    </row>
    <row r="287" spans="1:27" s="62" customFormat="1" x14ac:dyDescent="0.25">
      <c r="A287" s="9"/>
      <c r="B287" s="10"/>
      <c r="C287" s="2"/>
      <c r="D287" s="12"/>
      <c r="E287" s="10"/>
      <c r="F287" s="11"/>
      <c r="G287" s="11"/>
      <c r="H287" s="36"/>
      <c r="I287" s="36"/>
      <c r="J287" s="36"/>
      <c r="K287" s="36"/>
      <c r="L287" s="36"/>
      <c r="M287" s="36"/>
      <c r="N287" s="36"/>
      <c r="O287" s="10"/>
      <c r="P287" s="10"/>
      <c r="Q287" s="9"/>
      <c r="R287" s="9"/>
      <c r="S287" s="13"/>
      <c r="T287" s="35"/>
      <c r="U287" s="35"/>
      <c r="V287" s="35"/>
      <c r="W287" s="35"/>
      <c r="X287" s="9"/>
      <c r="Y287" s="35"/>
      <c r="Z287" s="9"/>
      <c r="AA287" s="9"/>
    </row>
    <row r="288" spans="1:27" s="106" customFormat="1" ht="15.75" customHeight="1" x14ac:dyDescent="0.25">
      <c r="A288" s="9"/>
      <c r="B288" s="10"/>
      <c r="C288" s="2"/>
      <c r="D288" s="12"/>
      <c r="E288" s="10"/>
      <c r="F288" s="11"/>
      <c r="G288" s="11"/>
      <c r="H288" s="36"/>
      <c r="I288" s="36"/>
      <c r="J288" s="36"/>
      <c r="K288" s="36"/>
      <c r="L288" s="36"/>
      <c r="M288" s="36"/>
      <c r="N288" s="36"/>
      <c r="O288" s="10"/>
      <c r="P288" s="10"/>
      <c r="Q288" s="9"/>
      <c r="R288" s="9"/>
      <c r="S288" s="13"/>
      <c r="T288" s="35"/>
      <c r="U288" s="35"/>
      <c r="V288" s="35"/>
      <c r="W288" s="35"/>
      <c r="X288" s="9"/>
      <c r="Y288" s="35"/>
      <c r="Z288" s="9"/>
      <c r="AA288" s="9"/>
    </row>
    <row r="289" spans="1:27" s="106" customFormat="1" ht="14.45" customHeight="1" x14ac:dyDescent="0.25">
      <c r="A289" s="9"/>
      <c r="B289" s="10"/>
      <c r="C289" s="2"/>
      <c r="D289" s="12"/>
      <c r="E289" s="10"/>
      <c r="F289" s="11"/>
      <c r="G289" s="11"/>
      <c r="H289" s="36"/>
      <c r="I289" s="36"/>
      <c r="J289" s="36"/>
      <c r="K289" s="36"/>
      <c r="L289" s="36"/>
      <c r="M289" s="36"/>
      <c r="N289" s="36"/>
      <c r="O289" s="10"/>
      <c r="P289" s="10"/>
      <c r="Q289" s="9"/>
      <c r="R289" s="9"/>
      <c r="S289" s="13"/>
      <c r="T289" s="35"/>
      <c r="U289" s="35"/>
      <c r="V289" s="35"/>
      <c r="W289" s="35"/>
      <c r="X289" s="9"/>
      <c r="Y289" s="35"/>
      <c r="Z289" s="9"/>
      <c r="AA289" s="9"/>
    </row>
    <row r="290" spans="1:27" s="106" customFormat="1" ht="15.75" customHeight="1" x14ac:dyDescent="0.25">
      <c r="A290" s="9"/>
      <c r="B290" s="10"/>
      <c r="C290" s="2"/>
      <c r="D290" s="12"/>
      <c r="E290" s="10"/>
      <c r="F290" s="11"/>
      <c r="G290" s="11"/>
      <c r="H290" s="36"/>
      <c r="I290" s="36"/>
      <c r="J290" s="36"/>
      <c r="K290" s="36"/>
      <c r="L290" s="36"/>
      <c r="M290" s="36"/>
      <c r="N290" s="36"/>
      <c r="O290" s="10"/>
      <c r="P290" s="10"/>
      <c r="Q290" s="9"/>
      <c r="R290" s="9"/>
      <c r="S290" s="13"/>
      <c r="T290" s="35"/>
      <c r="U290" s="35"/>
      <c r="V290" s="35"/>
      <c r="W290" s="35"/>
      <c r="X290" s="9"/>
      <c r="Y290" s="35"/>
      <c r="Z290" s="9"/>
      <c r="AA290" s="9"/>
    </row>
    <row r="291" spans="1:27" s="106" customFormat="1" ht="15.75" customHeight="1" x14ac:dyDescent="0.25">
      <c r="A291" s="9"/>
      <c r="B291" s="10"/>
      <c r="C291" s="2"/>
      <c r="D291" s="12"/>
      <c r="E291" s="10"/>
      <c r="F291" s="11"/>
      <c r="G291" s="11"/>
      <c r="H291" s="36"/>
      <c r="I291" s="36"/>
      <c r="J291" s="36"/>
      <c r="K291" s="36"/>
      <c r="L291" s="36"/>
      <c r="M291" s="36"/>
      <c r="N291" s="36"/>
      <c r="O291" s="10"/>
      <c r="P291" s="10"/>
      <c r="Q291" s="9"/>
      <c r="R291" s="9"/>
      <c r="S291" s="13"/>
      <c r="T291" s="35"/>
      <c r="U291" s="35"/>
      <c r="V291" s="35"/>
      <c r="W291" s="35"/>
      <c r="X291" s="9"/>
      <c r="Y291" s="35"/>
      <c r="Z291" s="9"/>
      <c r="AA291" s="9"/>
    </row>
    <row r="292" spans="1:27" s="106" customFormat="1" ht="15.75" customHeight="1" x14ac:dyDescent="0.25">
      <c r="A292" s="9"/>
      <c r="B292" s="10"/>
      <c r="C292" s="2"/>
      <c r="D292" s="12"/>
      <c r="E292" s="10"/>
      <c r="F292" s="11"/>
      <c r="G292" s="11"/>
      <c r="H292" s="36"/>
      <c r="I292" s="36"/>
      <c r="J292" s="36"/>
      <c r="K292" s="36"/>
      <c r="L292" s="36"/>
      <c r="M292" s="36"/>
      <c r="N292" s="36"/>
      <c r="O292" s="10"/>
      <c r="P292" s="10"/>
      <c r="Q292" s="9"/>
      <c r="R292" s="9"/>
      <c r="S292" s="13"/>
      <c r="T292" s="35"/>
      <c r="U292" s="35"/>
      <c r="V292" s="35"/>
      <c r="W292" s="35"/>
      <c r="X292" s="9"/>
      <c r="Y292" s="35"/>
      <c r="Z292" s="9"/>
      <c r="AA292" s="9"/>
    </row>
    <row r="293" spans="1:27" s="106" customFormat="1" ht="15.75" customHeight="1" x14ac:dyDescent="0.25">
      <c r="A293" s="9"/>
      <c r="B293" s="10"/>
      <c r="C293" s="2"/>
      <c r="D293" s="12"/>
      <c r="E293" s="10"/>
      <c r="F293" s="11"/>
      <c r="G293" s="11"/>
      <c r="H293" s="36"/>
      <c r="I293" s="36"/>
      <c r="J293" s="36"/>
      <c r="K293" s="36"/>
      <c r="L293" s="36"/>
      <c r="M293" s="36"/>
      <c r="N293" s="36"/>
      <c r="O293" s="10"/>
      <c r="P293" s="10"/>
      <c r="Q293" s="9"/>
      <c r="R293" s="9"/>
      <c r="S293" s="13"/>
      <c r="T293" s="35"/>
      <c r="U293" s="35"/>
      <c r="V293" s="35"/>
      <c r="W293" s="35"/>
      <c r="X293" s="9"/>
      <c r="Y293" s="35"/>
      <c r="Z293" s="9"/>
      <c r="AA293" s="9"/>
    </row>
    <row r="294" spans="1:27" s="106" customFormat="1" ht="15.75" customHeight="1" x14ac:dyDescent="0.25">
      <c r="A294" s="9"/>
      <c r="B294" s="10"/>
      <c r="C294" s="2"/>
      <c r="D294" s="12"/>
      <c r="E294" s="10"/>
      <c r="F294" s="11"/>
      <c r="G294" s="11"/>
      <c r="H294" s="36"/>
      <c r="I294" s="36"/>
      <c r="J294" s="36"/>
      <c r="K294" s="36"/>
      <c r="L294" s="36"/>
      <c r="M294" s="36"/>
      <c r="N294" s="36"/>
      <c r="O294" s="10"/>
      <c r="P294" s="10"/>
      <c r="Q294" s="9"/>
      <c r="R294" s="9"/>
      <c r="S294" s="13"/>
      <c r="T294" s="35"/>
      <c r="U294" s="35"/>
      <c r="V294" s="35"/>
      <c r="W294" s="35"/>
      <c r="X294" s="9"/>
      <c r="Y294" s="35"/>
      <c r="Z294" s="9"/>
      <c r="AA294" s="9"/>
    </row>
    <row r="295" spans="1:27" s="106" customFormat="1" ht="15.75" customHeight="1" x14ac:dyDescent="0.25">
      <c r="A295" s="9"/>
      <c r="B295" s="10"/>
      <c r="C295" s="2"/>
      <c r="D295" s="12"/>
      <c r="E295" s="10"/>
      <c r="F295" s="11"/>
      <c r="G295" s="11"/>
      <c r="H295" s="36"/>
      <c r="I295" s="36"/>
      <c r="J295" s="36"/>
      <c r="K295" s="36"/>
      <c r="L295" s="36"/>
      <c r="M295" s="36"/>
      <c r="N295" s="36"/>
      <c r="O295" s="10"/>
      <c r="P295" s="10"/>
      <c r="Q295" s="9"/>
      <c r="R295" s="9"/>
      <c r="S295" s="13"/>
      <c r="T295" s="35"/>
      <c r="U295" s="35"/>
      <c r="V295" s="35"/>
      <c r="W295" s="35"/>
      <c r="X295" s="9"/>
      <c r="Y295" s="35"/>
      <c r="Z295" s="9"/>
      <c r="AA295" s="9"/>
    </row>
    <row r="296" spans="1:27" s="106" customFormat="1" ht="15.75" customHeight="1" x14ac:dyDescent="0.25">
      <c r="A296" s="9"/>
      <c r="B296" s="10"/>
      <c r="C296" s="2"/>
      <c r="D296" s="12"/>
      <c r="E296" s="10"/>
      <c r="F296" s="11"/>
      <c r="G296" s="11"/>
      <c r="H296" s="36"/>
      <c r="I296" s="36"/>
      <c r="J296" s="36"/>
      <c r="K296" s="36"/>
      <c r="L296" s="36"/>
      <c r="M296" s="36"/>
      <c r="N296" s="36"/>
      <c r="O296" s="10"/>
      <c r="P296" s="10"/>
      <c r="Q296" s="9"/>
      <c r="R296" s="9"/>
      <c r="S296" s="13"/>
      <c r="T296" s="35"/>
      <c r="U296" s="35"/>
      <c r="V296" s="35"/>
      <c r="W296" s="35"/>
      <c r="X296" s="9"/>
      <c r="Y296" s="35"/>
      <c r="Z296" s="9"/>
      <c r="AA296" s="9"/>
    </row>
    <row r="297" spans="1:27" s="106" customFormat="1" ht="15.75" customHeight="1" x14ac:dyDescent="0.25">
      <c r="A297" s="9"/>
      <c r="B297" s="10"/>
      <c r="C297" s="2"/>
      <c r="D297" s="12"/>
      <c r="E297" s="10"/>
      <c r="F297" s="11"/>
      <c r="G297" s="11"/>
      <c r="H297" s="36"/>
      <c r="I297" s="36"/>
      <c r="J297" s="36"/>
      <c r="K297" s="36"/>
      <c r="L297" s="36"/>
      <c r="M297" s="36"/>
      <c r="N297" s="36"/>
      <c r="O297" s="10"/>
      <c r="P297" s="10"/>
      <c r="Q297" s="9"/>
      <c r="R297" s="9"/>
      <c r="S297" s="13"/>
      <c r="T297" s="35"/>
      <c r="U297" s="35"/>
      <c r="V297" s="35"/>
      <c r="W297" s="35"/>
      <c r="X297" s="9"/>
      <c r="Y297" s="35"/>
      <c r="Z297" s="9"/>
      <c r="AA297" s="9"/>
    </row>
    <row r="298" spans="1:27" s="106" customFormat="1" ht="15.75" customHeight="1" x14ac:dyDescent="0.25">
      <c r="A298" s="9"/>
      <c r="B298" s="10"/>
      <c r="C298" s="2"/>
      <c r="D298" s="12"/>
      <c r="E298" s="10"/>
      <c r="F298" s="11"/>
      <c r="G298" s="11"/>
      <c r="H298" s="36"/>
      <c r="I298" s="36"/>
      <c r="J298" s="36"/>
      <c r="K298" s="36"/>
      <c r="L298" s="36"/>
      <c r="M298" s="36"/>
      <c r="N298" s="36"/>
      <c r="O298" s="10"/>
      <c r="P298" s="10"/>
      <c r="Q298" s="9"/>
      <c r="R298" s="9"/>
      <c r="S298" s="13"/>
      <c r="T298" s="35"/>
      <c r="U298" s="35"/>
      <c r="V298" s="35"/>
      <c r="W298" s="35"/>
      <c r="X298" s="9"/>
      <c r="Y298" s="35"/>
      <c r="Z298" s="9"/>
      <c r="AA298" s="9"/>
    </row>
    <row r="299" spans="1:27" s="106" customFormat="1" ht="15.75" customHeight="1" x14ac:dyDescent="0.25">
      <c r="A299" s="9"/>
      <c r="B299" s="10"/>
      <c r="C299" s="2"/>
      <c r="D299" s="12"/>
      <c r="E299" s="10"/>
      <c r="F299" s="11"/>
      <c r="G299" s="11"/>
      <c r="H299" s="36"/>
      <c r="I299" s="36"/>
      <c r="J299" s="36"/>
      <c r="K299" s="36"/>
      <c r="L299" s="36"/>
      <c r="M299" s="36"/>
      <c r="N299" s="36"/>
      <c r="O299" s="10"/>
      <c r="P299" s="10"/>
      <c r="Q299" s="9"/>
      <c r="R299" s="9"/>
      <c r="S299" s="13"/>
      <c r="T299" s="35"/>
      <c r="U299" s="35"/>
      <c r="V299" s="35"/>
      <c r="W299" s="35"/>
      <c r="X299" s="9"/>
      <c r="Y299" s="35"/>
      <c r="Z299" s="9"/>
      <c r="AA299" s="9"/>
    </row>
    <row r="300" spans="1:27" s="106" customFormat="1" ht="15.75" customHeight="1" x14ac:dyDescent="0.25">
      <c r="A300" s="9"/>
      <c r="B300" s="10"/>
      <c r="C300" s="2"/>
      <c r="D300" s="12"/>
      <c r="E300" s="10"/>
      <c r="F300" s="11"/>
      <c r="G300" s="11"/>
      <c r="H300" s="36"/>
      <c r="I300" s="36"/>
      <c r="J300" s="36"/>
      <c r="K300" s="36"/>
      <c r="L300" s="36"/>
      <c r="M300" s="36"/>
      <c r="N300" s="36"/>
      <c r="O300" s="10"/>
      <c r="P300" s="10"/>
      <c r="Q300" s="9"/>
      <c r="R300" s="9"/>
      <c r="S300" s="13"/>
      <c r="T300" s="35"/>
      <c r="U300" s="35"/>
      <c r="V300" s="35"/>
      <c r="W300" s="35"/>
      <c r="X300" s="9"/>
      <c r="Y300" s="35"/>
      <c r="Z300" s="9"/>
      <c r="AA300" s="9"/>
    </row>
    <row r="301" spans="1:27" s="106" customFormat="1" ht="15.75" customHeight="1" x14ac:dyDescent="0.25">
      <c r="A301" s="9"/>
      <c r="B301" s="10"/>
      <c r="C301" s="2"/>
      <c r="D301" s="12"/>
      <c r="E301" s="10"/>
      <c r="F301" s="11"/>
      <c r="G301" s="11"/>
      <c r="H301" s="36"/>
      <c r="I301" s="36"/>
      <c r="J301" s="36"/>
      <c r="K301" s="36"/>
      <c r="L301" s="36"/>
      <c r="M301" s="36"/>
      <c r="N301" s="36"/>
      <c r="O301" s="10"/>
      <c r="P301" s="10"/>
      <c r="Q301" s="9"/>
      <c r="R301" s="9"/>
      <c r="S301" s="13"/>
      <c r="T301" s="35"/>
      <c r="U301" s="35"/>
      <c r="V301" s="35"/>
      <c r="W301" s="35"/>
      <c r="X301" s="9"/>
      <c r="Y301" s="35"/>
      <c r="Z301" s="9"/>
      <c r="AA301" s="9"/>
    </row>
    <row r="302" spans="1:27" s="62" customFormat="1" x14ac:dyDescent="0.25">
      <c r="A302" s="9"/>
      <c r="B302" s="10"/>
      <c r="C302" s="2"/>
      <c r="D302" s="12"/>
      <c r="E302" s="10"/>
      <c r="F302" s="11"/>
      <c r="G302" s="11"/>
      <c r="H302" s="36"/>
      <c r="I302" s="36"/>
      <c r="J302" s="36"/>
      <c r="K302" s="36"/>
      <c r="L302" s="36"/>
      <c r="M302" s="36"/>
      <c r="N302" s="36"/>
      <c r="O302" s="10"/>
      <c r="P302" s="10"/>
      <c r="Q302" s="9"/>
      <c r="R302" s="9"/>
      <c r="S302" s="13"/>
      <c r="T302" s="35"/>
      <c r="U302" s="35"/>
      <c r="V302" s="35"/>
      <c r="W302" s="35"/>
      <c r="X302" s="9"/>
      <c r="Y302" s="35"/>
      <c r="Z302" s="9"/>
      <c r="AA302" s="9"/>
    </row>
    <row r="303" spans="1:27" s="62" customFormat="1" x14ac:dyDescent="0.25">
      <c r="A303" s="9"/>
      <c r="B303" s="10"/>
      <c r="C303" s="2"/>
      <c r="D303" s="12"/>
      <c r="E303" s="10"/>
      <c r="F303" s="11"/>
      <c r="G303" s="11"/>
      <c r="H303" s="36"/>
      <c r="I303" s="36"/>
      <c r="J303" s="36"/>
      <c r="K303" s="36"/>
      <c r="L303" s="36"/>
      <c r="M303" s="36"/>
      <c r="N303" s="36"/>
      <c r="O303" s="10"/>
      <c r="P303" s="10"/>
      <c r="Q303" s="9"/>
      <c r="R303" s="9"/>
      <c r="S303" s="13"/>
      <c r="T303" s="35"/>
      <c r="U303" s="35"/>
      <c r="V303" s="35"/>
      <c r="W303" s="35"/>
      <c r="X303" s="9"/>
      <c r="Y303" s="35"/>
      <c r="Z303" s="9"/>
      <c r="AA303" s="9"/>
    </row>
    <row r="304" spans="1:27" s="62" customFormat="1" x14ac:dyDescent="0.25">
      <c r="A304" s="9"/>
      <c r="B304" s="10"/>
      <c r="C304" s="2"/>
      <c r="D304" s="12"/>
      <c r="E304" s="10"/>
      <c r="F304" s="11"/>
      <c r="G304" s="11"/>
      <c r="H304" s="36"/>
      <c r="I304" s="36"/>
      <c r="J304" s="36"/>
      <c r="K304" s="36"/>
      <c r="L304" s="36"/>
      <c r="M304" s="36"/>
      <c r="N304" s="36"/>
      <c r="O304" s="10"/>
      <c r="P304" s="10"/>
      <c r="Q304" s="9"/>
      <c r="R304" s="9"/>
      <c r="S304" s="13"/>
      <c r="T304" s="35"/>
      <c r="U304" s="35"/>
      <c r="V304" s="35"/>
      <c r="W304" s="35"/>
      <c r="X304" s="9"/>
      <c r="Y304" s="35"/>
      <c r="Z304" s="9"/>
      <c r="AA304" s="9"/>
    </row>
    <row r="305" spans="1:27" s="62" customFormat="1" x14ac:dyDescent="0.25">
      <c r="A305" s="9"/>
      <c r="B305" s="10"/>
      <c r="C305" s="2"/>
      <c r="D305" s="12"/>
      <c r="E305" s="10"/>
      <c r="F305" s="11"/>
      <c r="G305" s="11"/>
      <c r="H305" s="36"/>
      <c r="I305" s="36"/>
      <c r="J305" s="36"/>
      <c r="K305" s="36"/>
      <c r="L305" s="36"/>
      <c r="M305" s="36"/>
      <c r="N305" s="36"/>
      <c r="O305" s="10"/>
      <c r="P305" s="10"/>
      <c r="Q305" s="9"/>
      <c r="R305" s="9"/>
      <c r="S305" s="13"/>
      <c r="T305" s="35"/>
      <c r="U305" s="35"/>
      <c r="V305" s="35"/>
      <c r="W305" s="35"/>
      <c r="X305" s="9"/>
      <c r="Y305" s="35"/>
      <c r="Z305" s="9"/>
      <c r="AA305" s="9"/>
    </row>
    <row r="306" spans="1:27" s="62" customFormat="1" x14ac:dyDescent="0.25">
      <c r="A306" s="9"/>
      <c r="B306" s="10"/>
      <c r="C306" s="2"/>
      <c r="D306" s="12"/>
      <c r="E306" s="10"/>
      <c r="F306" s="11"/>
      <c r="G306" s="11"/>
      <c r="H306" s="36"/>
      <c r="I306" s="36"/>
      <c r="J306" s="36"/>
      <c r="K306" s="36"/>
      <c r="L306" s="36"/>
      <c r="M306" s="36"/>
      <c r="N306" s="36"/>
      <c r="O306" s="10"/>
      <c r="P306" s="10"/>
      <c r="Q306" s="9"/>
      <c r="R306" s="9"/>
      <c r="S306" s="13"/>
      <c r="T306" s="35"/>
      <c r="U306" s="35"/>
      <c r="V306" s="35"/>
      <c r="W306" s="35"/>
      <c r="X306" s="9"/>
      <c r="Y306" s="35"/>
      <c r="Z306" s="9"/>
      <c r="AA306" s="9"/>
    </row>
    <row r="307" spans="1:27" s="62" customFormat="1" x14ac:dyDescent="0.25">
      <c r="A307" s="9"/>
      <c r="B307" s="10"/>
      <c r="C307" s="2"/>
      <c r="D307" s="12"/>
      <c r="E307" s="10"/>
      <c r="F307" s="11"/>
      <c r="G307" s="11"/>
      <c r="H307" s="36"/>
      <c r="I307" s="36"/>
      <c r="J307" s="36"/>
      <c r="K307" s="36"/>
      <c r="L307" s="36"/>
      <c r="M307" s="36"/>
      <c r="N307" s="36"/>
      <c r="O307" s="10"/>
      <c r="P307" s="10"/>
      <c r="Q307" s="9"/>
      <c r="R307" s="9"/>
      <c r="S307" s="13"/>
      <c r="T307" s="35"/>
      <c r="U307" s="35"/>
      <c r="V307" s="35"/>
      <c r="W307" s="35"/>
      <c r="X307" s="9"/>
      <c r="Y307" s="35"/>
      <c r="Z307" s="9"/>
      <c r="AA307" s="9"/>
    </row>
    <row r="308" spans="1:27" s="62" customFormat="1" x14ac:dyDescent="0.25">
      <c r="A308" s="9"/>
      <c r="B308" s="10"/>
      <c r="C308" s="2"/>
      <c r="D308" s="12"/>
      <c r="E308" s="10"/>
      <c r="F308" s="11"/>
      <c r="G308" s="11"/>
      <c r="H308" s="36"/>
      <c r="I308" s="36"/>
      <c r="J308" s="36"/>
      <c r="K308" s="36"/>
      <c r="L308" s="36"/>
      <c r="M308" s="36"/>
      <c r="N308" s="36"/>
      <c r="O308" s="10"/>
      <c r="P308" s="10"/>
      <c r="Q308" s="9"/>
      <c r="R308" s="9"/>
      <c r="S308" s="13"/>
      <c r="T308" s="35"/>
      <c r="U308" s="35"/>
      <c r="V308" s="35"/>
      <c r="W308" s="35"/>
      <c r="X308" s="9"/>
      <c r="Y308" s="35"/>
      <c r="Z308" s="9"/>
      <c r="AA308" s="9"/>
    </row>
    <row r="309" spans="1:27" s="62" customFormat="1" x14ac:dyDescent="0.25">
      <c r="A309" s="9"/>
      <c r="B309" s="10"/>
      <c r="C309" s="2"/>
      <c r="D309" s="12"/>
      <c r="E309" s="10"/>
      <c r="F309" s="11"/>
      <c r="G309" s="11"/>
      <c r="H309" s="36"/>
      <c r="I309" s="36"/>
      <c r="J309" s="36"/>
      <c r="K309" s="36"/>
      <c r="L309" s="36"/>
      <c r="M309" s="36"/>
      <c r="N309" s="36"/>
      <c r="O309" s="10"/>
      <c r="P309" s="10"/>
      <c r="Q309" s="9"/>
      <c r="R309" s="9"/>
      <c r="S309" s="13"/>
      <c r="T309" s="35"/>
      <c r="U309" s="35"/>
      <c r="V309" s="35"/>
      <c r="W309" s="35"/>
      <c r="X309" s="9"/>
      <c r="Y309" s="35"/>
      <c r="Z309" s="9"/>
      <c r="AA309" s="9"/>
    </row>
    <row r="310" spans="1:27" s="62" customFormat="1" x14ac:dyDescent="0.25">
      <c r="A310" s="9"/>
      <c r="B310" s="10"/>
      <c r="C310" s="2"/>
      <c r="D310" s="12"/>
      <c r="E310" s="10"/>
      <c r="F310" s="11"/>
      <c r="G310" s="11"/>
      <c r="H310" s="36"/>
      <c r="I310" s="36"/>
      <c r="J310" s="36"/>
      <c r="K310" s="36"/>
      <c r="L310" s="36"/>
      <c r="M310" s="36"/>
      <c r="N310" s="36"/>
      <c r="O310" s="10"/>
      <c r="P310" s="10"/>
      <c r="Q310" s="9"/>
      <c r="R310" s="9"/>
      <c r="S310" s="13"/>
      <c r="T310" s="35"/>
      <c r="U310" s="35"/>
      <c r="V310" s="35"/>
      <c r="W310" s="35"/>
      <c r="X310" s="9"/>
      <c r="Y310" s="35"/>
      <c r="Z310" s="9"/>
      <c r="AA310" s="9"/>
    </row>
    <row r="311" spans="1:27" s="62" customFormat="1" x14ac:dyDescent="0.25">
      <c r="A311" s="9"/>
      <c r="B311" s="10"/>
      <c r="C311" s="2"/>
      <c r="D311" s="12"/>
      <c r="E311" s="10"/>
      <c r="F311" s="11"/>
      <c r="G311" s="11"/>
      <c r="H311" s="36"/>
      <c r="I311" s="36"/>
      <c r="J311" s="36"/>
      <c r="K311" s="36"/>
      <c r="L311" s="36"/>
      <c r="M311" s="36"/>
      <c r="N311" s="36"/>
      <c r="O311" s="10"/>
      <c r="P311" s="10"/>
      <c r="Q311" s="9"/>
      <c r="R311" s="9"/>
      <c r="S311" s="13"/>
      <c r="T311" s="35"/>
      <c r="U311" s="35"/>
      <c r="V311" s="35"/>
      <c r="W311" s="35"/>
      <c r="X311" s="9"/>
      <c r="Y311" s="35"/>
      <c r="Z311" s="9"/>
      <c r="AA311" s="9"/>
    </row>
    <row r="312" spans="1:27" s="62" customFormat="1" x14ac:dyDescent="0.25">
      <c r="A312" s="9"/>
      <c r="B312" s="10"/>
      <c r="C312" s="2"/>
      <c r="D312" s="12"/>
      <c r="E312" s="10"/>
      <c r="F312" s="11"/>
      <c r="G312" s="11"/>
      <c r="H312" s="36"/>
      <c r="I312" s="36"/>
      <c r="J312" s="36"/>
      <c r="K312" s="36"/>
      <c r="L312" s="36"/>
      <c r="M312" s="36"/>
      <c r="N312" s="36"/>
      <c r="O312" s="10"/>
      <c r="P312" s="10"/>
      <c r="Q312" s="9"/>
      <c r="R312" s="9"/>
      <c r="S312" s="13"/>
      <c r="T312" s="35"/>
      <c r="U312" s="35"/>
      <c r="V312" s="35"/>
      <c r="W312" s="35"/>
      <c r="X312" s="9"/>
      <c r="Y312" s="35"/>
      <c r="Z312" s="9"/>
      <c r="AA312" s="9"/>
    </row>
    <row r="313" spans="1:27" s="62" customFormat="1" x14ac:dyDescent="0.25">
      <c r="A313" s="9"/>
      <c r="B313" s="10"/>
      <c r="C313" s="2"/>
      <c r="D313" s="12"/>
      <c r="E313" s="10"/>
      <c r="F313" s="11"/>
      <c r="G313" s="11"/>
      <c r="H313" s="36"/>
      <c r="I313" s="36"/>
      <c r="J313" s="36"/>
      <c r="K313" s="36"/>
      <c r="L313" s="36"/>
      <c r="M313" s="36"/>
      <c r="N313" s="36"/>
      <c r="O313" s="10"/>
      <c r="P313" s="10"/>
      <c r="Q313" s="9"/>
      <c r="R313" s="9"/>
      <c r="S313" s="13"/>
      <c r="T313" s="35"/>
      <c r="U313" s="35"/>
      <c r="V313" s="35"/>
      <c r="W313" s="35"/>
      <c r="X313" s="9"/>
      <c r="Y313" s="35"/>
      <c r="Z313" s="9"/>
      <c r="AA313" s="9"/>
    </row>
    <row r="314" spans="1:27" s="62" customFormat="1" x14ac:dyDescent="0.25">
      <c r="A314" s="9"/>
      <c r="B314" s="10"/>
      <c r="C314" s="2"/>
      <c r="D314" s="12"/>
      <c r="E314" s="10"/>
      <c r="F314" s="11"/>
      <c r="G314" s="11"/>
      <c r="H314" s="36"/>
      <c r="I314" s="36"/>
      <c r="J314" s="36"/>
      <c r="K314" s="36"/>
      <c r="L314" s="36"/>
      <c r="M314" s="36"/>
      <c r="N314" s="36"/>
      <c r="O314" s="10"/>
      <c r="P314" s="10"/>
      <c r="Q314" s="9"/>
      <c r="R314" s="9"/>
      <c r="S314" s="13"/>
      <c r="T314" s="35"/>
      <c r="U314" s="35"/>
      <c r="V314" s="35"/>
      <c r="W314" s="35"/>
      <c r="X314" s="9"/>
      <c r="Y314" s="35"/>
      <c r="Z314" s="9"/>
      <c r="AA314" s="9"/>
    </row>
    <row r="315" spans="1:27" s="62" customFormat="1" x14ac:dyDescent="0.25">
      <c r="A315" s="9"/>
      <c r="B315" s="10"/>
      <c r="C315" s="2"/>
      <c r="D315" s="12"/>
      <c r="E315" s="10"/>
      <c r="F315" s="11"/>
      <c r="G315" s="11"/>
      <c r="H315" s="36"/>
      <c r="I315" s="36"/>
      <c r="J315" s="36"/>
      <c r="K315" s="36"/>
      <c r="L315" s="36"/>
      <c r="M315" s="36"/>
      <c r="N315" s="36"/>
      <c r="O315" s="10"/>
      <c r="P315" s="10"/>
      <c r="Q315" s="9"/>
      <c r="R315" s="9"/>
      <c r="S315" s="13"/>
      <c r="T315" s="35"/>
      <c r="U315" s="35"/>
      <c r="V315" s="35"/>
      <c r="W315" s="35"/>
      <c r="X315" s="9"/>
      <c r="Y315" s="35"/>
      <c r="Z315" s="9"/>
      <c r="AA315" s="9"/>
    </row>
    <row r="316" spans="1:27" s="62" customFormat="1" x14ac:dyDescent="0.25">
      <c r="A316" s="9"/>
      <c r="B316" s="10"/>
      <c r="C316" s="2"/>
      <c r="D316" s="12"/>
      <c r="E316" s="10"/>
      <c r="F316" s="11"/>
      <c r="G316" s="11"/>
      <c r="H316" s="36"/>
      <c r="I316" s="36"/>
      <c r="J316" s="36"/>
      <c r="K316" s="36"/>
      <c r="L316" s="36"/>
      <c r="M316" s="36"/>
      <c r="N316" s="36"/>
      <c r="O316" s="10"/>
      <c r="P316" s="10"/>
      <c r="Q316" s="9"/>
      <c r="R316" s="9"/>
      <c r="S316" s="13"/>
      <c r="T316" s="35"/>
      <c r="U316" s="35"/>
      <c r="V316" s="35"/>
      <c r="W316" s="35"/>
      <c r="X316" s="9"/>
      <c r="Y316" s="35"/>
      <c r="Z316" s="9"/>
      <c r="AA316" s="9"/>
    </row>
    <row r="317" spans="1:27" s="62" customFormat="1" x14ac:dyDescent="0.25">
      <c r="A317" s="9"/>
      <c r="B317" s="10"/>
      <c r="C317" s="2"/>
      <c r="D317" s="12"/>
      <c r="E317" s="10"/>
      <c r="F317" s="11"/>
      <c r="G317" s="11"/>
      <c r="H317" s="36"/>
      <c r="I317" s="36"/>
      <c r="J317" s="36"/>
      <c r="K317" s="36"/>
      <c r="L317" s="36"/>
      <c r="M317" s="36"/>
      <c r="N317" s="36"/>
      <c r="O317" s="10"/>
      <c r="P317" s="10"/>
      <c r="Q317" s="9"/>
      <c r="R317" s="9"/>
      <c r="S317" s="13"/>
      <c r="T317" s="35"/>
      <c r="U317" s="35"/>
      <c r="V317" s="35"/>
      <c r="W317" s="35"/>
      <c r="X317" s="9"/>
      <c r="Y317" s="35"/>
      <c r="Z317" s="9"/>
      <c r="AA317" s="9"/>
    </row>
    <row r="318" spans="1:27" s="62" customFormat="1" x14ac:dyDescent="0.25">
      <c r="A318" s="9"/>
      <c r="B318" s="10"/>
      <c r="C318" s="2"/>
      <c r="D318" s="12"/>
      <c r="E318" s="10"/>
      <c r="F318" s="11"/>
      <c r="G318" s="11"/>
      <c r="H318" s="36"/>
      <c r="I318" s="36"/>
      <c r="J318" s="36"/>
      <c r="K318" s="36"/>
      <c r="L318" s="36"/>
      <c r="M318" s="36"/>
      <c r="N318" s="36"/>
      <c r="O318" s="10"/>
      <c r="P318" s="10"/>
      <c r="Q318" s="9"/>
      <c r="R318" s="9"/>
      <c r="S318" s="13"/>
      <c r="T318" s="35"/>
      <c r="U318" s="35"/>
      <c r="V318" s="35"/>
      <c r="W318" s="35"/>
      <c r="X318" s="9"/>
      <c r="Y318" s="35"/>
      <c r="Z318" s="9"/>
      <c r="AA318" s="9"/>
    </row>
    <row r="319" spans="1:27" s="62" customFormat="1" x14ac:dyDescent="0.25">
      <c r="A319" s="9"/>
      <c r="B319" s="10"/>
      <c r="C319" s="2"/>
      <c r="D319" s="12"/>
      <c r="E319" s="10"/>
      <c r="F319" s="11"/>
      <c r="G319" s="11"/>
      <c r="H319" s="36"/>
      <c r="I319" s="36"/>
      <c r="J319" s="36"/>
      <c r="K319" s="36"/>
      <c r="L319" s="36"/>
      <c r="M319" s="36"/>
      <c r="N319" s="36"/>
      <c r="O319" s="10"/>
      <c r="P319" s="10"/>
      <c r="Q319" s="9"/>
      <c r="R319" s="9"/>
      <c r="S319" s="13"/>
      <c r="T319" s="35"/>
      <c r="U319" s="35"/>
      <c r="V319" s="35"/>
      <c r="W319" s="35"/>
      <c r="X319" s="9"/>
      <c r="Y319" s="35"/>
      <c r="Z319" s="9"/>
      <c r="AA319" s="9"/>
    </row>
    <row r="320" spans="1:27" s="62" customFormat="1" x14ac:dyDescent="0.25">
      <c r="A320" s="9"/>
      <c r="B320" s="10"/>
      <c r="C320" s="2"/>
      <c r="D320" s="12"/>
      <c r="E320" s="10"/>
      <c r="F320" s="11"/>
      <c r="G320" s="11"/>
      <c r="H320" s="36"/>
      <c r="I320" s="36"/>
      <c r="J320" s="36"/>
      <c r="K320" s="36"/>
      <c r="L320" s="36"/>
      <c r="M320" s="36"/>
      <c r="N320" s="36"/>
      <c r="O320" s="10"/>
      <c r="P320" s="10"/>
      <c r="Q320" s="9"/>
      <c r="R320" s="9"/>
      <c r="S320" s="13"/>
      <c r="T320" s="35"/>
      <c r="U320" s="35"/>
      <c r="V320" s="35"/>
      <c r="W320" s="35"/>
      <c r="X320" s="9"/>
      <c r="Y320" s="35"/>
      <c r="Z320" s="9"/>
      <c r="AA320" s="9"/>
    </row>
    <row r="321" spans="1:27" s="62" customFormat="1" x14ac:dyDescent="0.25">
      <c r="A321" s="9"/>
      <c r="B321" s="10"/>
      <c r="C321" s="2"/>
      <c r="D321" s="12"/>
      <c r="E321" s="10"/>
      <c r="F321" s="11"/>
      <c r="G321" s="11"/>
      <c r="H321" s="36"/>
      <c r="I321" s="36"/>
      <c r="J321" s="36"/>
      <c r="K321" s="36"/>
      <c r="L321" s="36"/>
      <c r="M321" s="36"/>
      <c r="N321" s="36"/>
      <c r="O321" s="10"/>
      <c r="P321" s="10"/>
      <c r="Q321" s="9"/>
      <c r="R321" s="9"/>
      <c r="S321" s="13"/>
      <c r="T321" s="35"/>
      <c r="U321" s="35"/>
      <c r="V321" s="35"/>
      <c r="W321" s="35"/>
      <c r="X321" s="9"/>
      <c r="Y321" s="35"/>
      <c r="Z321" s="9"/>
      <c r="AA321" s="9"/>
    </row>
    <row r="322" spans="1:27" s="62" customFormat="1" x14ac:dyDescent="0.25">
      <c r="A322" s="9"/>
      <c r="B322" s="10"/>
      <c r="C322" s="2"/>
      <c r="D322" s="12"/>
      <c r="E322" s="10"/>
      <c r="F322" s="11"/>
      <c r="G322" s="11"/>
      <c r="H322" s="36"/>
      <c r="I322" s="36"/>
      <c r="J322" s="36"/>
      <c r="K322" s="36"/>
      <c r="L322" s="36"/>
      <c r="M322" s="36"/>
      <c r="N322" s="36"/>
      <c r="O322" s="10"/>
      <c r="P322" s="10"/>
      <c r="Q322" s="9"/>
      <c r="R322" s="9"/>
      <c r="S322" s="13"/>
      <c r="T322" s="35"/>
      <c r="U322" s="35"/>
      <c r="V322" s="35"/>
      <c r="W322" s="35"/>
      <c r="X322" s="9"/>
      <c r="Y322" s="35"/>
      <c r="Z322" s="9"/>
      <c r="AA322" s="9"/>
    </row>
    <row r="323" spans="1:27" s="62" customFormat="1" x14ac:dyDescent="0.25">
      <c r="A323" s="9"/>
      <c r="B323" s="10"/>
      <c r="C323" s="2"/>
      <c r="D323" s="12"/>
      <c r="E323" s="10"/>
      <c r="F323" s="11"/>
      <c r="G323" s="11"/>
      <c r="H323" s="36"/>
      <c r="I323" s="36"/>
      <c r="J323" s="36"/>
      <c r="K323" s="36"/>
      <c r="L323" s="36"/>
      <c r="M323" s="36"/>
      <c r="N323" s="36"/>
      <c r="O323" s="10"/>
      <c r="P323" s="10"/>
      <c r="Q323" s="9"/>
      <c r="R323" s="9"/>
      <c r="S323" s="13"/>
      <c r="T323" s="35"/>
      <c r="U323" s="35"/>
      <c r="V323" s="35"/>
      <c r="W323" s="35"/>
      <c r="X323" s="9"/>
      <c r="Y323" s="35"/>
      <c r="Z323" s="9"/>
      <c r="AA323" s="9"/>
    </row>
    <row r="324" spans="1:27" s="62" customFormat="1" x14ac:dyDescent="0.25">
      <c r="A324" s="9"/>
      <c r="B324" s="10"/>
      <c r="C324" s="2"/>
      <c r="D324" s="12"/>
      <c r="E324" s="10"/>
      <c r="F324" s="11"/>
      <c r="G324" s="11"/>
      <c r="H324" s="36"/>
      <c r="I324" s="36"/>
      <c r="J324" s="36"/>
      <c r="K324" s="36"/>
      <c r="L324" s="36"/>
      <c r="M324" s="36"/>
      <c r="N324" s="36"/>
      <c r="O324" s="10"/>
      <c r="P324" s="10"/>
      <c r="Q324" s="9"/>
      <c r="R324" s="9"/>
      <c r="S324" s="13"/>
      <c r="T324" s="35"/>
      <c r="U324" s="35"/>
      <c r="V324" s="35"/>
      <c r="W324" s="35"/>
      <c r="X324" s="9"/>
      <c r="Y324" s="35"/>
      <c r="Z324" s="9"/>
      <c r="AA324" s="9"/>
    </row>
    <row r="325" spans="1:27" s="62" customFormat="1" x14ac:dyDescent="0.25">
      <c r="A325" s="9"/>
      <c r="B325" s="10"/>
      <c r="C325" s="2"/>
      <c r="D325" s="12"/>
      <c r="E325" s="10"/>
      <c r="F325" s="11"/>
      <c r="G325" s="11"/>
      <c r="H325" s="36"/>
      <c r="I325" s="36"/>
      <c r="J325" s="36"/>
      <c r="K325" s="36"/>
      <c r="L325" s="36"/>
      <c r="M325" s="36"/>
      <c r="N325" s="36"/>
      <c r="O325" s="10"/>
      <c r="P325" s="10"/>
      <c r="Q325" s="9"/>
      <c r="R325" s="9"/>
      <c r="S325" s="13"/>
      <c r="T325" s="35"/>
      <c r="U325" s="35"/>
      <c r="V325" s="35"/>
      <c r="W325" s="35"/>
      <c r="X325" s="9"/>
      <c r="Y325" s="35"/>
      <c r="Z325" s="9"/>
      <c r="AA325" s="9"/>
    </row>
    <row r="326" spans="1:27" s="62" customFormat="1" x14ac:dyDescent="0.25">
      <c r="A326" s="9"/>
      <c r="B326" s="10"/>
      <c r="C326" s="2"/>
      <c r="D326" s="12"/>
      <c r="E326" s="10"/>
      <c r="F326" s="11"/>
      <c r="G326" s="11"/>
      <c r="H326" s="36"/>
      <c r="I326" s="36"/>
      <c r="J326" s="36"/>
      <c r="K326" s="36"/>
      <c r="L326" s="36"/>
      <c r="M326" s="36"/>
      <c r="N326" s="36"/>
      <c r="O326" s="10"/>
      <c r="P326" s="10"/>
      <c r="Q326" s="9"/>
      <c r="R326" s="9"/>
      <c r="S326" s="13"/>
      <c r="T326" s="35"/>
      <c r="U326" s="35"/>
      <c r="V326" s="35"/>
      <c r="W326" s="35"/>
      <c r="X326" s="9"/>
      <c r="Y326" s="35"/>
      <c r="Z326" s="9"/>
      <c r="AA326" s="9"/>
    </row>
    <row r="327" spans="1:27" s="62" customFormat="1" x14ac:dyDescent="0.25">
      <c r="A327" s="9"/>
      <c r="B327" s="10"/>
      <c r="C327" s="2"/>
      <c r="D327" s="12"/>
      <c r="E327" s="10"/>
      <c r="F327" s="11"/>
      <c r="G327" s="11"/>
      <c r="H327" s="36"/>
      <c r="I327" s="36"/>
      <c r="J327" s="36"/>
      <c r="K327" s="36"/>
      <c r="L327" s="36"/>
      <c r="M327" s="36"/>
      <c r="N327" s="36"/>
      <c r="O327" s="10"/>
      <c r="P327" s="10"/>
      <c r="Q327" s="9"/>
      <c r="R327" s="9"/>
      <c r="S327" s="13"/>
      <c r="T327" s="35"/>
      <c r="U327" s="35"/>
      <c r="V327" s="35"/>
      <c r="W327" s="35"/>
      <c r="X327" s="9"/>
      <c r="Y327" s="35"/>
      <c r="Z327" s="9"/>
      <c r="AA327" s="9"/>
    </row>
    <row r="328" spans="1:27" s="62" customFormat="1" x14ac:dyDescent="0.25">
      <c r="A328" s="9"/>
      <c r="B328" s="10"/>
      <c r="C328" s="2"/>
      <c r="D328" s="12"/>
      <c r="E328" s="10"/>
      <c r="F328" s="11"/>
      <c r="G328" s="11"/>
      <c r="H328" s="36"/>
      <c r="I328" s="36"/>
      <c r="J328" s="36"/>
      <c r="K328" s="36"/>
      <c r="L328" s="36"/>
      <c r="M328" s="36"/>
      <c r="N328" s="36"/>
      <c r="O328" s="10"/>
      <c r="P328" s="10"/>
      <c r="Q328" s="9"/>
      <c r="R328" s="9"/>
      <c r="S328" s="13"/>
      <c r="T328" s="35"/>
      <c r="U328" s="35"/>
      <c r="V328" s="35"/>
      <c r="W328" s="35"/>
      <c r="X328" s="9"/>
      <c r="Y328" s="35"/>
      <c r="Z328" s="9"/>
      <c r="AA328" s="9"/>
    </row>
    <row r="329" spans="1:27" s="62" customFormat="1" x14ac:dyDescent="0.25">
      <c r="A329" s="9"/>
      <c r="B329" s="10"/>
      <c r="C329" s="2"/>
      <c r="D329" s="12"/>
      <c r="E329" s="10"/>
      <c r="F329" s="11"/>
      <c r="G329" s="11"/>
      <c r="H329" s="36"/>
      <c r="I329" s="36"/>
      <c r="J329" s="36"/>
      <c r="K329" s="36"/>
      <c r="L329" s="36"/>
      <c r="M329" s="36"/>
      <c r="N329" s="36"/>
      <c r="O329" s="10"/>
      <c r="P329" s="10"/>
      <c r="Q329" s="9"/>
      <c r="R329" s="9"/>
      <c r="S329" s="13"/>
      <c r="T329" s="35"/>
      <c r="U329" s="35"/>
      <c r="V329" s="35"/>
      <c r="W329" s="35"/>
      <c r="X329" s="9"/>
      <c r="Y329" s="35"/>
      <c r="Z329" s="9"/>
      <c r="AA329" s="9"/>
    </row>
    <row r="330" spans="1:27" s="62" customFormat="1" x14ac:dyDescent="0.25">
      <c r="A330" s="9"/>
      <c r="B330" s="10"/>
      <c r="C330" s="2"/>
      <c r="D330" s="12"/>
      <c r="E330" s="10"/>
      <c r="F330" s="11"/>
      <c r="G330" s="11"/>
      <c r="H330" s="36"/>
      <c r="I330" s="36"/>
      <c r="J330" s="36"/>
      <c r="K330" s="36"/>
      <c r="L330" s="36"/>
      <c r="M330" s="36"/>
      <c r="N330" s="36"/>
      <c r="O330" s="10"/>
      <c r="P330" s="10"/>
      <c r="Q330" s="9"/>
      <c r="R330" s="9"/>
      <c r="S330" s="13"/>
      <c r="T330" s="35"/>
      <c r="U330" s="35"/>
      <c r="V330" s="35"/>
      <c r="W330" s="35"/>
      <c r="X330" s="9"/>
      <c r="Y330" s="35"/>
      <c r="Z330" s="9"/>
      <c r="AA330" s="9"/>
    </row>
    <row r="331" spans="1:27" s="62" customFormat="1" x14ac:dyDescent="0.25">
      <c r="A331" s="9"/>
      <c r="B331" s="10"/>
      <c r="C331" s="2"/>
      <c r="D331" s="12"/>
      <c r="E331" s="10"/>
      <c r="F331" s="11"/>
      <c r="G331" s="11"/>
      <c r="H331" s="36"/>
      <c r="I331" s="36"/>
      <c r="J331" s="36"/>
      <c r="K331" s="36"/>
      <c r="L331" s="36"/>
      <c r="M331" s="36"/>
      <c r="N331" s="36"/>
      <c r="O331" s="10"/>
      <c r="P331" s="10"/>
      <c r="Q331" s="9"/>
      <c r="R331" s="9"/>
      <c r="S331" s="13"/>
      <c r="T331" s="35"/>
      <c r="U331" s="35"/>
      <c r="V331" s="35"/>
      <c r="W331" s="35"/>
      <c r="X331" s="9"/>
      <c r="Y331" s="35"/>
      <c r="Z331" s="9"/>
      <c r="AA331" s="9"/>
    </row>
    <row r="332" spans="1:27" s="62" customFormat="1" x14ac:dyDescent="0.25">
      <c r="A332" s="9"/>
      <c r="B332" s="10"/>
      <c r="C332" s="2"/>
      <c r="D332" s="12"/>
      <c r="E332" s="10"/>
      <c r="F332" s="11"/>
      <c r="G332" s="11"/>
      <c r="H332" s="36"/>
      <c r="I332" s="36"/>
      <c r="J332" s="36"/>
      <c r="K332" s="36"/>
      <c r="L332" s="36"/>
      <c r="M332" s="36"/>
      <c r="N332" s="36"/>
      <c r="O332" s="10"/>
      <c r="P332" s="10"/>
      <c r="Q332" s="9"/>
      <c r="R332" s="9"/>
      <c r="S332" s="13"/>
      <c r="T332" s="35"/>
      <c r="U332" s="35"/>
      <c r="V332" s="35"/>
      <c r="W332" s="35"/>
      <c r="X332" s="9"/>
      <c r="Y332" s="35"/>
      <c r="Z332" s="9"/>
      <c r="AA332" s="9"/>
    </row>
    <row r="333" spans="1:27" s="62" customFormat="1" x14ac:dyDescent="0.25">
      <c r="A333" s="9"/>
      <c r="B333" s="10"/>
      <c r="C333" s="2"/>
      <c r="D333" s="12"/>
      <c r="E333" s="10"/>
      <c r="F333" s="11"/>
      <c r="G333" s="11"/>
      <c r="H333" s="36"/>
      <c r="I333" s="36"/>
      <c r="J333" s="36"/>
      <c r="K333" s="36"/>
      <c r="L333" s="36"/>
      <c r="M333" s="36"/>
      <c r="N333" s="36"/>
      <c r="O333" s="10"/>
      <c r="P333" s="10"/>
      <c r="Q333" s="9"/>
      <c r="R333" s="9"/>
      <c r="S333" s="13"/>
      <c r="T333" s="35"/>
      <c r="U333" s="35"/>
      <c r="V333" s="35"/>
      <c r="W333" s="35"/>
      <c r="X333" s="9"/>
      <c r="Y333" s="35"/>
      <c r="Z333" s="9"/>
      <c r="AA333" s="9"/>
    </row>
    <row r="334" spans="1:27" s="62" customFormat="1" x14ac:dyDescent="0.25">
      <c r="A334" s="9"/>
      <c r="B334" s="10"/>
      <c r="C334" s="2"/>
      <c r="D334" s="12"/>
      <c r="E334" s="10"/>
      <c r="F334" s="11"/>
      <c r="G334" s="11"/>
      <c r="H334" s="36"/>
      <c r="I334" s="36"/>
      <c r="J334" s="36"/>
      <c r="K334" s="36"/>
      <c r="L334" s="36"/>
      <c r="M334" s="36"/>
      <c r="N334" s="36"/>
      <c r="O334" s="10"/>
      <c r="P334" s="10"/>
      <c r="Q334" s="9"/>
      <c r="R334" s="9"/>
      <c r="S334" s="13"/>
      <c r="T334" s="35"/>
      <c r="U334" s="35"/>
      <c r="V334" s="35"/>
      <c r="W334" s="35"/>
      <c r="X334" s="9"/>
      <c r="Y334" s="35"/>
      <c r="Z334" s="9"/>
      <c r="AA334" s="9"/>
    </row>
    <row r="335" spans="1:27" s="62" customFormat="1" x14ac:dyDescent="0.25">
      <c r="A335" s="9"/>
      <c r="B335" s="10"/>
      <c r="C335" s="2"/>
      <c r="D335" s="12"/>
      <c r="E335" s="10"/>
      <c r="F335" s="11"/>
      <c r="G335" s="11"/>
      <c r="H335" s="36"/>
      <c r="I335" s="36"/>
      <c r="J335" s="36"/>
      <c r="K335" s="36"/>
      <c r="L335" s="36"/>
      <c r="M335" s="36"/>
      <c r="N335" s="36"/>
      <c r="O335" s="10"/>
      <c r="P335" s="10"/>
      <c r="Q335" s="9"/>
      <c r="R335" s="9"/>
      <c r="S335" s="13"/>
      <c r="T335" s="35"/>
      <c r="U335" s="35"/>
      <c r="V335" s="35"/>
      <c r="W335" s="35"/>
      <c r="X335" s="9"/>
      <c r="Y335" s="35"/>
      <c r="Z335" s="9"/>
      <c r="AA335" s="9"/>
    </row>
    <row r="336" spans="1:27" s="62" customFormat="1" x14ac:dyDescent="0.25">
      <c r="A336" s="9"/>
      <c r="B336" s="10"/>
      <c r="C336" s="2"/>
      <c r="D336" s="12"/>
      <c r="E336" s="10"/>
      <c r="F336" s="11"/>
      <c r="G336" s="11"/>
      <c r="H336" s="36"/>
      <c r="I336" s="36"/>
      <c r="J336" s="36"/>
      <c r="K336" s="36"/>
      <c r="L336" s="36"/>
      <c r="M336" s="36"/>
      <c r="N336" s="36"/>
      <c r="O336" s="10"/>
      <c r="P336" s="10"/>
      <c r="Q336" s="9"/>
      <c r="R336" s="9"/>
      <c r="S336" s="13"/>
      <c r="T336" s="35"/>
      <c r="U336" s="35"/>
      <c r="V336" s="35"/>
      <c r="W336" s="35"/>
      <c r="X336" s="9"/>
      <c r="Y336" s="35"/>
      <c r="Z336" s="9"/>
      <c r="AA336" s="9"/>
    </row>
    <row r="337" spans="1:27" s="62" customFormat="1" x14ac:dyDescent="0.25">
      <c r="A337" s="9"/>
      <c r="B337" s="10"/>
      <c r="C337" s="2"/>
      <c r="D337" s="12"/>
      <c r="E337" s="10"/>
      <c r="F337" s="11"/>
      <c r="G337" s="11"/>
      <c r="H337" s="36"/>
      <c r="I337" s="36"/>
      <c r="J337" s="36"/>
      <c r="K337" s="36"/>
      <c r="L337" s="36"/>
      <c r="M337" s="36"/>
      <c r="N337" s="36"/>
      <c r="O337" s="10"/>
      <c r="P337" s="10"/>
      <c r="Q337" s="9"/>
      <c r="R337" s="9"/>
      <c r="S337" s="13"/>
      <c r="T337" s="35"/>
      <c r="U337" s="35"/>
      <c r="V337" s="35"/>
      <c r="W337" s="35"/>
      <c r="X337" s="9"/>
      <c r="Y337" s="35"/>
      <c r="Z337" s="9"/>
      <c r="AA337" s="9"/>
    </row>
    <row r="338" spans="1:27" s="62" customFormat="1" x14ac:dyDescent="0.25">
      <c r="A338" s="9"/>
      <c r="B338" s="10"/>
      <c r="C338" s="2"/>
      <c r="D338" s="12"/>
      <c r="E338" s="10"/>
      <c r="F338" s="11"/>
      <c r="G338" s="11"/>
      <c r="H338" s="36"/>
      <c r="I338" s="36"/>
      <c r="J338" s="36"/>
      <c r="K338" s="36"/>
      <c r="L338" s="36"/>
      <c r="M338" s="36"/>
      <c r="N338" s="36"/>
      <c r="O338" s="10"/>
      <c r="P338" s="10"/>
      <c r="Q338" s="9"/>
      <c r="R338" s="9"/>
      <c r="S338" s="13"/>
      <c r="T338" s="35"/>
      <c r="U338" s="35"/>
      <c r="V338" s="35"/>
      <c r="W338" s="35"/>
      <c r="X338" s="9"/>
      <c r="Y338" s="35"/>
      <c r="Z338" s="9"/>
      <c r="AA338" s="9"/>
    </row>
    <row r="339" spans="1:27" s="62" customFormat="1" x14ac:dyDescent="0.25">
      <c r="A339" s="9"/>
      <c r="B339" s="10"/>
      <c r="C339" s="2"/>
      <c r="D339" s="12"/>
      <c r="E339" s="10"/>
      <c r="F339" s="11"/>
      <c r="G339" s="11"/>
      <c r="H339" s="36"/>
      <c r="I339" s="36"/>
      <c r="J339" s="36"/>
      <c r="K339" s="36"/>
      <c r="L339" s="36"/>
      <c r="M339" s="36"/>
      <c r="N339" s="36"/>
      <c r="O339" s="10"/>
      <c r="P339" s="10"/>
      <c r="Q339" s="9"/>
      <c r="R339" s="9"/>
      <c r="S339" s="13"/>
      <c r="T339" s="35"/>
      <c r="U339" s="35"/>
      <c r="V339" s="35"/>
      <c r="W339" s="35"/>
      <c r="X339" s="9"/>
      <c r="Y339" s="35"/>
      <c r="Z339" s="9"/>
      <c r="AA339" s="9"/>
    </row>
    <row r="340" spans="1:27" s="62" customFormat="1" x14ac:dyDescent="0.25">
      <c r="A340" s="9"/>
      <c r="B340" s="10"/>
      <c r="C340" s="2"/>
      <c r="D340" s="12"/>
      <c r="E340" s="10"/>
      <c r="F340" s="11"/>
      <c r="G340" s="11"/>
      <c r="H340" s="36"/>
      <c r="I340" s="36"/>
      <c r="J340" s="36"/>
      <c r="K340" s="36"/>
      <c r="L340" s="36"/>
      <c r="M340" s="36"/>
      <c r="N340" s="36"/>
      <c r="O340" s="10"/>
      <c r="P340" s="10"/>
      <c r="Q340" s="9"/>
      <c r="R340" s="9"/>
      <c r="S340" s="13"/>
      <c r="T340" s="35"/>
      <c r="U340" s="35"/>
      <c r="V340" s="35"/>
      <c r="W340" s="35"/>
      <c r="X340" s="9"/>
      <c r="Y340" s="35"/>
      <c r="Z340" s="9"/>
      <c r="AA340" s="9"/>
    </row>
    <row r="341" spans="1:27" s="62" customFormat="1" x14ac:dyDescent="0.25">
      <c r="A341" s="9"/>
      <c r="B341" s="10"/>
      <c r="C341" s="2"/>
      <c r="D341" s="12"/>
      <c r="E341" s="10"/>
      <c r="F341" s="11"/>
      <c r="G341" s="11"/>
      <c r="H341" s="36"/>
      <c r="I341" s="36"/>
      <c r="J341" s="36"/>
      <c r="K341" s="36"/>
      <c r="L341" s="36"/>
      <c r="M341" s="36"/>
      <c r="N341" s="36"/>
      <c r="O341" s="10"/>
      <c r="P341" s="10"/>
      <c r="Q341" s="9"/>
      <c r="R341" s="9"/>
      <c r="S341" s="13"/>
      <c r="T341" s="35"/>
      <c r="U341" s="35"/>
      <c r="V341" s="35"/>
      <c r="W341" s="35"/>
      <c r="X341" s="9"/>
      <c r="Y341" s="35"/>
      <c r="Z341" s="9"/>
      <c r="AA341" s="9"/>
    </row>
    <row r="342" spans="1:27" s="62" customFormat="1" x14ac:dyDescent="0.25">
      <c r="A342" s="9"/>
      <c r="B342" s="10"/>
      <c r="C342" s="2"/>
      <c r="D342" s="12"/>
      <c r="E342" s="10"/>
      <c r="F342" s="11"/>
      <c r="G342" s="11"/>
      <c r="H342" s="36"/>
      <c r="I342" s="36"/>
      <c r="J342" s="36"/>
      <c r="K342" s="36"/>
      <c r="L342" s="36"/>
      <c r="M342" s="36"/>
      <c r="N342" s="36"/>
      <c r="O342" s="10"/>
      <c r="P342" s="10"/>
      <c r="Q342" s="9"/>
      <c r="R342" s="9"/>
      <c r="S342" s="13"/>
      <c r="T342" s="35"/>
      <c r="U342" s="35"/>
      <c r="V342" s="35"/>
      <c r="W342" s="35"/>
      <c r="X342" s="9"/>
      <c r="Y342" s="35"/>
      <c r="Z342" s="9"/>
      <c r="AA342" s="9"/>
    </row>
    <row r="343" spans="1:27" s="62" customFormat="1" x14ac:dyDescent="0.25">
      <c r="A343" s="9"/>
      <c r="B343" s="10"/>
      <c r="C343" s="2"/>
      <c r="D343" s="12"/>
      <c r="E343" s="10"/>
      <c r="F343" s="11"/>
      <c r="G343" s="11"/>
      <c r="H343" s="36"/>
      <c r="I343" s="36"/>
      <c r="J343" s="36"/>
      <c r="K343" s="36"/>
      <c r="L343" s="36"/>
      <c r="M343" s="36"/>
      <c r="N343" s="36"/>
      <c r="O343" s="10"/>
      <c r="P343" s="10"/>
      <c r="Q343" s="9"/>
      <c r="R343" s="9"/>
      <c r="S343" s="13"/>
      <c r="T343" s="35"/>
      <c r="U343" s="35"/>
      <c r="V343" s="35"/>
      <c r="W343" s="35"/>
      <c r="X343" s="9"/>
      <c r="Y343" s="35"/>
      <c r="Z343" s="9"/>
      <c r="AA343" s="9"/>
    </row>
    <row r="344" spans="1:27" s="62" customFormat="1" x14ac:dyDescent="0.25">
      <c r="A344" s="9"/>
      <c r="B344" s="10"/>
      <c r="C344" s="2"/>
      <c r="D344" s="12"/>
      <c r="E344" s="10"/>
      <c r="F344" s="11"/>
      <c r="G344" s="11"/>
      <c r="H344" s="36"/>
      <c r="I344" s="36"/>
      <c r="J344" s="36"/>
      <c r="K344" s="36"/>
      <c r="L344" s="36"/>
      <c r="M344" s="36"/>
      <c r="N344" s="36"/>
      <c r="O344" s="10"/>
      <c r="P344" s="10"/>
      <c r="Q344" s="9"/>
      <c r="R344" s="9"/>
      <c r="S344" s="13"/>
      <c r="T344" s="35"/>
      <c r="U344" s="35"/>
      <c r="V344" s="35"/>
      <c r="W344" s="35"/>
      <c r="X344" s="9"/>
      <c r="Y344" s="35"/>
      <c r="Z344" s="9"/>
      <c r="AA344" s="9"/>
    </row>
    <row r="345" spans="1:27" s="62" customFormat="1" x14ac:dyDescent="0.25">
      <c r="A345" s="9"/>
      <c r="B345" s="10"/>
      <c r="C345" s="2"/>
      <c r="D345" s="12"/>
      <c r="E345" s="10"/>
      <c r="F345" s="11"/>
      <c r="G345" s="11"/>
      <c r="H345" s="36"/>
      <c r="I345" s="36"/>
      <c r="J345" s="36"/>
      <c r="K345" s="36"/>
      <c r="L345" s="36"/>
      <c r="M345" s="36"/>
      <c r="N345" s="36"/>
      <c r="O345" s="10"/>
      <c r="P345" s="10"/>
      <c r="Q345" s="9"/>
      <c r="R345" s="9"/>
      <c r="S345" s="13"/>
      <c r="T345" s="35"/>
      <c r="U345" s="35"/>
      <c r="V345" s="35"/>
      <c r="W345" s="35"/>
      <c r="X345" s="9"/>
      <c r="Y345" s="35"/>
      <c r="Z345" s="9"/>
      <c r="AA345" s="9"/>
    </row>
    <row r="346" spans="1:27" s="62" customFormat="1" x14ac:dyDescent="0.25">
      <c r="A346" s="9"/>
      <c r="B346" s="10"/>
      <c r="C346" s="2"/>
      <c r="D346" s="12"/>
      <c r="E346" s="10"/>
      <c r="F346" s="11"/>
      <c r="G346" s="11"/>
      <c r="H346" s="36"/>
      <c r="I346" s="36"/>
      <c r="J346" s="36"/>
      <c r="K346" s="36"/>
      <c r="L346" s="36"/>
      <c r="M346" s="36"/>
      <c r="N346" s="36"/>
      <c r="O346" s="10"/>
      <c r="P346" s="10"/>
      <c r="Q346" s="9"/>
      <c r="R346" s="9"/>
      <c r="S346" s="13"/>
      <c r="T346" s="35"/>
      <c r="U346" s="35"/>
      <c r="V346" s="35"/>
      <c r="W346" s="35"/>
      <c r="X346" s="9"/>
      <c r="Y346" s="35"/>
      <c r="Z346" s="9"/>
      <c r="AA346" s="9"/>
    </row>
    <row r="347" spans="1:27" s="62" customFormat="1" x14ac:dyDescent="0.25">
      <c r="A347" s="9"/>
      <c r="B347" s="10"/>
      <c r="C347" s="2"/>
      <c r="D347" s="12"/>
      <c r="E347" s="10"/>
      <c r="F347" s="11"/>
      <c r="G347" s="11"/>
      <c r="H347" s="36"/>
      <c r="I347" s="36"/>
      <c r="J347" s="36"/>
      <c r="K347" s="36"/>
      <c r="L347" s="36"/>
      <c r="M347" s="36"/>
      <c r="N347" s="36"/>
      <c r="O347" s="10"/>
      <c r="P347" s="10"/>
      <c r="Q347" s="9"/>
      <c r="R347" s="9"/>
      <c r="S347" s="13"/>
      <c r="T347" s="35"/>
      <c r="U347" s="35"/>
      <c r="V347" s="35"/>
      <c r="W347" s="35"/>
      <c r="X347" s="9"/>
      <c r="Y347" s="35"/>
      <c r="Z347" s="9"/>
      <c r="AA347" s="9"/>
    </row>
    <row r="348" spans="1:27" s="62" customFormat="1" x14ac:dyDescent="0.25">
      <c r="A348" s="9"/>
      <c r="B348" s="10"/>
      <c r="C348" s="2"/>
      <c r="D348" s="12"/>
      <c r="E348" s="10"/>
      <c r="F348" s="11"/>
      <c r="G348" s="11"/>
      <c r="H348" s="36"/>
      <c r="I348" s="36"/>
      <c r="J348" s="36"/>
      <c r="K348" s="36"/>
      <c r="L348" s="36"/>
      <c r="M348" s="36"/>
      <c r="N348" s="36"/>
      <c r="O348" s="10"/>
      <c r="P348" s="10"/>
      <c r="Q348" s="9"/>
      <c r="R348" s="9"/>
      <c r="S348" s="13"/>
      <c r="T348" s="35"/>
      <c r="U348" s="35"/>
      <c r="V348" s="35"/>
      <c r="W348" s="35"/>
      <c r="X348" s="9"/>
      <c r="Y348" s="35"/>
      <c r="Z348" s="9"/>
      <c r="AA348" s="9"/>
    </row>
    <row r="349" spans="1:27" s="62" customFormat="1" x14ac:dyDescent="0.25">
      <c r="A349" s="9"/>
      <c r="B349" s="10"/>
      <c r="C349" s="2"/>
      <c r="D349" s="12"/>
      <c r="E349" s="10"/>
      <c r="F349" s="11"/>
      <c r="G349" s="11"/>
      <c r="H349" s="36"/>
      <c r="I349" s="36"/>
      <c r="J349" s="36"/>
      <c r="K349" s="36"/>
      <c r="L349" s="36"/>
      <c r="M349" s="36"/>
      <c r="N349" s="36"/>
      <c r="O349" s="10"/>
      <c r="P349" s="10"/>
      <c r="Q349" s="9"/>
      <c r="R349" s="9"/>
      <c r="S349" s="13"/>
      <c r="T349" s="35"/>
      <c r="U349" s="35"/>
      <c r="V349" s="35"/>
      <c r="W349" s="35"/>
      <c r="X349" s="9"/>
      <c r="Y349" s="35"/>
      <c r="Z349" s="9"/>
      <c r="AA349" s="9"/>
    </row>
    <row r="350" spans="1:27" s="62" customFormat="1" x14ac:dyDescent="0.25">
      <c r="A350" s="9"/>
      <c r="B350" s="10"/>
      <c r="C350" s="2"/>
      <c r="D350" s="12"/>
      <c r="E350" s="10"/>
      <c r="F350" s="11"/>
      <c r="G350" s="11"/>
      <c r="H350" s="36"/>
      <c r="I350" s="36"/>
      <c r="J350" s="36"/>
      <c r="K350" s="36"/>
      <c r="L350" s="36"/>
      <c r="M350" s="36"/>
      <c r="N350" s="36"/>
      <c r="O350" s="10"/>
      <c r="P350" s="10"/>
      <c r="Q350" s="9"/>
      <c r="R350" s="9"/>
      <c r="S350" s="13"/>
      <c r="T350" s="35"/>
      <c r="U350" s="35"/>
      <c r="V350" s="35"/>
      <c r="W350" s="35"/>
      <c r="X350" s="9"/>
      <c r="Y350" s="35"/>
      <c r="Z350" s="9"/>
      <c r="AA350" s="9"/>
    </row>
    <row r="351" spans="1:27" s="62" customFormat="1" x14ac:dyDescent="0.25">
      <c r="A351" s="9"/>
      <c r="B351" s="10"/>
      <c r="C351" s="2"/>
      <c r="D351" s="12"/>
      <c r="E351" s="10"/>
      <c r="F351" s="11"/>
      <c r="G351" s="11"/>
      <c r="H351" s="36"/>
      <c r="I351" s="36"/>
      <c r="J351" s="36"/>
      <c r="K351" s="36"/>
      <c r="L351" s="36"/>
      <c r="M351" s="36"/>
      <c r="N351" s="36"/>
      <c r="O351" s="10"/>
      <c r="P351" s="10"/>
      <c r="Q351" s="9"/>
      <c r="R351" s="9"/>
      <c r="S351" s="13"/>
      <c r="T351" s="35"/>
      <c r="U351" s="35"/>
      <c r="V351" s="35"/>
      <c r="W351" s="35"/>
      <c r="X351" s="9"/>
      <c r="Y351" s="35"/>
      <c r="Z351" s="9"/>
      <c r="AA351" s="9"/>
    </row>
    <row r="352" spans="1:27" s="62" customFormat="1" x14ac:dyDescent="0.25">
      <c r="A352" s="9"/>
      <c r="B352" s="10"/>
      <c r="C352" s="2"/>
      <c r="D352" s="12"/>
      <c r="E352" s="10"/>
      <c r="F352" s="11"/>
      <c r="G352" s="11"/>
      <c r="H352" s="36"/>
      <c r="I352" s="36"/>
      <c r="J352" s="36"/>
      <c r="K352" s="36"/>
      <c r="L352" s="36"/>
      <c r="M352" s="36"/>
      <c r="N352" s="36"/>
      <c r="O352" s="10"/>
      <c r="P352" s="10"/>
      <c r="Q352" s="9"/>
      <c r="R352" s="9"/>
      <c r="S352" s="13"/>
      <c r="T352" s="35"/>
      <c r="U352" s="35"/>
      <c r="V352" s="35"/>
      <c r="W352" s="35"/>
      <c r="X352" s="9"/>
      <c r="Y352" s="35"/>
      <c r="Z352" s="9"/>
      <c r="AA352" s="9"/>
    </row>
    <row r="353" spans="1:27" s="62" customFormat="1" x14ac:dyDescent="0.25">
      <c r="A353" s="9"/>
      <c r="B353" s="10"/>
      <c r="C353" s="2"/>
      <c r="D353" s="12"/>
      <c r="E353" s="10"/>
      <c r="F353" s="11"/>
      <c r="G353" s="11"/>
      <c r="H353" s="36"/>
      <c r="I353" s="36"/>
      <c r="J353" s="36"/>
      <c r="K353" s="36"/>
      <c r="L353" s="36"/>
      <c r="M353" s="36"/>
      <c r="N353" s="36"/>
      <c r="O353" s="10"/>
      <c r="P353" s="10"/>
      <c r="Q353" s="9"/>
      <c r="R353" s="9"/>
      <c r="S353" s="13"/>
      <c r="T353" s="35"/>
      <c r="U353" s="35"/>
      <c r="V353" s="35"/>
      <c r="W353" s="35"/>
      <c r="X353" s="9"/>
      <c r="Y353" s="35"/>
      <c r="Z353" s="9"/>
      <c r="AA353" s="9"/>
    </row>
    <row r="354" spans="1:27" s="106" customFormat="1" ht="15.75" customHeight="1" x14ac:dyDescent="0.25">
      <c r="A354" s="9"/>
      <c r="B354" s="10"/>
      <c r="C354" s="2"/>
      <c r="D354" s="12"/>
      <c r="E354" s="10"/>
      <c r="F354" s="11"/>
      <c r="G354" s="11"/>
      <c r="H354" s="36"/>
      <c r="I354" s="36"/>
      <c r="J354" s="36"/>
      <c r="K354" s="36"/>
      <c r="L354" s="36"/>
      <c r="M354" s="36"/>
      <c r="N354" s="36"/>
      <c r="O354" s="10"/>
      <c r="P354" s="10"/>
      <c r="Q354" s="9"/>
      <c r="R354" s="9"/>
      <c r="S354" s="13"/>
      <c r="T354" s="35"/>
      <c r="U354" s="35"/>
      <c r="V354" s="35"/>
      <c r="W354" s="35"/>
      <c r="X354" s="9"/>
      <c r="Y354" s="35"/>
      <c r="Z354" s="9"/>
      <c r="AA354" s="9"/>
    </row>
    <row r="355" spans="1:27" s="106" customFormat="1" ht="15.75" customHeight="1" x14ac:dyDescent="0.25">
      <c r="A355" s="9"/>
      <c r="B355" s="10"/>
      <c r="C355" s="2"/>
      <c r="D355" s="12"/>
      <c r="E355" s="10"/>
      <c r="F355" s="11"/>
      <c r="G355" s="11"/>
      <c r="H355" s="36"/>
      <c r="I355" s="36"/>
      <c r="J355" s="36"/>
      <c r="K355" s="36"/>
      <c r="L355" s="36"/>
      <c r="M355" s="36"/>
      <c r="N355" s="36"/>
      <c r="O355" s="10"/>
      <c r="P355" s="10"/>
      <c r="Q355" s="9"/>
      <c r="R355" s="9"/>
      <c r="S355" s="13"/>
      <c r="T355" s="35"/>
      <c r="U355" s="35"/>
      <c r="V355" s="35"/>
      <c r="W355" s="35"/>
      <c r="X355" s="9"/>
      <c r="Y355" s="35"/>
      <c r="Z355" s="9"/>
      <c r="AA355" s="9"/>
    </row>
    <row r="356" spans="1:27" s="106" customFormat="1" ht="15.75" customHeight="1" x14ac:dyDescent="0.25">
      <c r="A356" s="9"/>
      <c r="B356" s="10"/>
      <c r="C356" s="2"/>
      <c r="D356" s="12"/>
      <c r="E356" s="10"/>
      <c r="F356" s="11"/>
      <c r="G356" s="11"/>
      <c r="H356" s="36"/>
      <c r="I356" s="36"/>
      <c r="J356" s="36"/>
      <c r="K356" s="36"/>
      <c r="L356" s="36"/>
      <c r="M356" s="36"/>
      <c r="N356" s="36"/>
      <c r="O356" s="10"/>
      <c r="P356" s="10"/>
      <c r="Q356" s="9"/>
      <c r="R356" s="9"/>
      <c r="S356" s="13"/>
      <c r="T356" s="35"/>
      <c r="U356" s="35"/>
      <c r="V356" s="35"/>
      <c r="W356" s="35"/>
      <c r="X356" s="9"/>
      <c r="Y356" s="35"/>
      <c r="Z356" s="9"/>
      <c r="AA356" s="9"/>
    </row>
    <row r="357" spans="1:27" s="106" customFormat="1" ht="15.75" customHeight="1" x14ac:dyDescent="0.25">
      <c r="A357" s="9"/>
      <c r="B357" s="10"/>
      <c r="C357" s="2"/>
      <c r="D357" s="12"/>
      <c r="E357" s="10"/>
      <c r="F357" s="11"/>
      <c r="G357" s="11"/>
      <c r="H357" s="36"/>
      <c r="I357" s="36"/>
      <c r="J357" s="36"/>
      <c r="K357" s="36"/>
      <c r="L357" s="36"/>
      <c r="M357" s="36"/>
      <c r="N357" s="36"/>
      <c r="O357" s="10"/>
      <c r="P357" s="10"/>
      <c r="Q357" s="9"/>
      <c r="R357" s="9"/>
      <c r="S357" s="13"/>
      <c r="T357" s="35"/>
      <c r="U357" s="35"/>
      <c r="V357" s="35"/>
      <c r="W357" s="35"/>
      <c r="X357" s="9"/>
      <c r="Y357" s="35"/>
      <c r="Z357" s="9"/>
      <c r="AA357" s="9"/>
    </row>
    <row r="358" spans="1:27" s="106" customFormat="1" ht="15.75" customHeight="1" x14ac:dyDescent="0.25">
      <c r="A358" s="9"/>
      <c r="B358" s="10"/>
      <c r="C358" s="2"/>
      <c r="D358" s="12"/>
      <c r="E358" s="10"/>
      <c r="F358" s="11"/>
      <c r="G358" s="11"/>
      <c r="H358" s="36"/>
      <c r="I358" s="36"/>
      <c r="J358" s="36"/>
      <c r="K358" s="36"/>
      <c r="L358" s="36"/>
      <c r="M358" s="36"/>
      <c r="N358" s="36"/>
      <c r="O358" s="10"/>
      <c r="P358" s="10"/>
      <c r="Q358" s="9"/>
      <c r="R358" s="9"/>
      <c r="S358" s="13"/>
      <c r="T358" s="35"/>
      <c r="U358" s="35"/>
      <c r="V358" s="35"/>
      <c r="W358" s="35"/>
      <c r="X358" s="9"/>
      <c r="Y358" s="35"/>
      <c r="Z358" s="9"/>
      <c r="AA358" s="9"/>
    </row>
    <row r="359" spans="1:27" s="106" customFormat="1" ht="15.75" customHeight="1" x14ac:dyDescent="0.25">
      <c r="A359" s="9"/>
      <c r="B359" s="10"/>
      <c r="C359" s="2"/>
      <c r="D359" s="12"/>
      <c r="E359" s="10"/>
      <c r="F359" s="11"/>
      <c r="G359" s="11"/>
      <c r="H359" s="36"/>
      <c r="I359" s="36"/>
      <c r="J359" s="36"/>
      <c r="K359" s="36"/>
      <c r="L359" s="36"/>
      <c r="M359" s="36"/>
      <c r="N359" s="36"/>
      <c r="O359" s="10"/>
      <c r="P359" s="10"/>
      <c r="Q359" s="9"/>
      <c r="R359" s="9"/>
      <c r="S359" s="13"/>
      <c r="T359" s="35"/>
      <c r="U359" s="35"/>
      <c r="V359" s="35"/>
      <c r="W359" s="35"/>
      <c r="X359" s="9"/>
      <c r="Y359" s="35"/>
      <c r="Z359" s="9"/>
      <c r="AA359" s="9"/>
    </row>
    <row r="360" spans="1:27" s="106" customFormat="1" ht="15.75" customHeight="1" x14ac:dyDescent="0.25">
      <c r="A360" s="9"/>
      <c r="B360" s="10"/>
      <c r="C360" s="2"/>
      <c r="D360" s="12"/>
      <c r="E360" s="10"/>
      <c r="F360" s="11"/>
      <c r="G360" s="11"/>
      <c r="H360" s="36"/>
      <c r="I360" s="36"/>
      <c r="J360" s="36"/>
      <c r="K360" s="36"/>
      <c r="L360" s="36"/>
      <c r="M360" s="36"/>
      <c r="N360" s="36"/>
      <c r="O360" s="10"/>
      <c r="P360" s="10"/>
      <c r="Q360" s="9"/>
      <c r="R360" s="9"/>
      <c r="S360" s="13"/>
      <c r="T360" s="35"/>
      <c r="U360" s="35"/>
      <c r="V360" s="35"/>
      <c r="W360" s="35"/>
      <c r="X360" s="9"/>
      <c r="Y360" s="35"/>
      <c r="Z360" s="9"/>
      <c r="AA360" s="9"/>
    </row>
    <row r="361" spans="1:27" s="106" customFormat="1" ht="15.75" customHeight="1" x14ac:dyDescent="0.25">
      <c r="A361" s="9"/>
      <c r="B361" s="10"/>
      <c r="C361" s="2"/>
      <c r="D361" s="12"/>
      <c r="E361" s="10"/>
      <c r="F361" s="11"/>
      <c r="G361" s="11"/>
      <c r="H361" s="36"/>
      <c r="I361" s="36"/>
      <c r="J361" s="36"/>
      <c r="K361" s="36"/>
      <c r="L361" s="36"/>
      <c r="M361" s="36"/>
      <c r="N361" s="36"/>
      <c r="O361" s="10"/>
      <c r="P361" s="10"/>
      <c r="Q361" s="9"/>
      <c r="R361" s="9"/>
      <c r="S361" s="13"/>
      <c r="T361" s="35"/>
      <c r="U361" s="35"/>
      <c r="V361" s="35"/>
      <c r="W361" s="35"/>
      <c r="X361" s="9"/>
      <c r="Y361" s="35"/>
      <c r="Z361" s="9"/>
      <c r="AA361" s="9"/>
    </row>
    <row r="362" spans="1:27" s="106" customFormat="1" ht="15.75" customHeight="1" x14ac:dyDescent="0.25">
      <c r="A362" s="9"/>
      <c r="B362" s="10"/>
      <c r="C362" s="2"/>
      <c r="D362" s="12"/>
      <c r="E362" s="10"/>
      <c r="F362" s="11"/>
      <c r="G362" s="11"/>
      <c r="H362" s="36"/>
      <c r="I362" s="36"/>
      <c r="J362" s="36"/>
      <c r="K362" s="36"/>
      <c r="L362" s="36"/>
      <c r="M362" s="36"/>
      <c r="N362" s="36"/>
      <c r="O362" s="10"/>
      <c r="P362" s="10"/>
      <c r="Q362" s="9"/>
      <c r="R362" s="9"/>
      <c r="S362" s="13"/>
      <c r="T362" s="35"/>
      <c r="U362" s="35"/>
      <c r="V362" s="35"/>
      <c r="W362" s="35"/>
      <c r="X362" s="9"/>
      <c r="Y362" s="35"/>
      <c r="Z362" s="9"/>
      <c r="AA362" s="9"/>
    </row>
    <row r="363" spans="1:27" s="106" customFormat="1" ht="15.75" customHeight="1" x14ac:dyDescent="0.25">
      <c r="A363" s="9"/>
      <c r="B363" s="10"/>
      <c r="C363" s="2"/>
      <c r="D363" s="12"/>
      <c r="E363" s="10"/>
      <c r="F363" s="11"/>
      <c r="G363" s="11"/>
      <c r="H363" s="36"/>
      <c r="I363" s="36"/>
      <c r="J363" s="36"/>
      <c r="K363" s="36"/>
      <c r="L363" s="36"/>
      <c r="M363" s="36"/>
      <c r="N363" s="36"/>
      <c r="O363" s="10"/>
      <c r="P363" s="10"/>
      <c r="Q363" s="9"/>
      <c r="R363" s="9"/>
      <c r="S363" s="13"/>
      <c r="T363" s="35"/>
      <c r="U363" s="35"/>
      <c r="V363" s="35"/>
      <c r="W363" s="35"/>
      <c r="X363" s="9"/>
      <c r="Y363" s="35"/>
      <c r="Z363" s="9"/>
      <c r="AA363" s="9"/>
    </row>
    <row r="364" spans="1:27" s="106" customFormat="1" ht="15.75" customHeight="1" x14ac:dyDescent="0.25">
      <c r="A364" s="9"/>
      <c r="B364" s="10"/>
      <c r="C364" s="2"/>
      <c r="D364" s="12"/>
      <c r="E364" s="10"/>
      <c r="F364" s="11"/>
      <c r="G364" s="11"/>
      <c r="H364" s="36"/>
      <c r="I364" s="36"/>
      <c r="J364" s="36"/>
      <c r="K364" s="36"/>
      <c r="L364" s="36"/>
      <c r="M364" s="36"/>
      <c r="N364" s="36"/>
      <c r="O364" s="10"/>
      <c r="P364" s="10"/>
      <c r="Q364" s="9"/>
      <c r="R364" s="9"/>
      <c r="S364" s="13"/>
      <c r="T364" s="35"/>
      <c r="U364" s="35"/>
      <c r="V364" s="35"/>
      <c r="W364" s="35"/>
      <c r="X364" s="9"/>
      <c r="Y364" s="35"/>
      <c r="Z364" s="9"/>
      <c r="AA364" s="9"/>
    </row>
    <row r="365" spans="1:27" s="106" customFormat="1" ht="15.75" customHeight="1" x14ac:dyDescent="0.25">
      <c r="A365" s="9"/>
      <c r="B365" s="10"/>
      <c r="C365" s="2"/>
      <c r="D365" s="12"/>
      <c r="E365" s="10"/>
      <c r="F365" s="11"/>
      <c r="G365" s="11"/>
      <c r="H365" s="36"/>
      <c r="I365" s="36"/>
      <c r="J365" s="36"/>
      <c r="K365" s="36"/>
      <c r="L365" s="36"/>
      <c r="M365" s="36"/>
      <c r="N365" s="36"/>
      <c r="O365" s="10"/>
      <c r="P365" s="10"/>
      <c r="Q365" s="9"/>
      <c r="R365" s="9"/>
      <c r="S365" s="13"/>
      <c r="T365" s="35"/>
      <c r="U365" s="35"/>
      <c r="V365" s="35"/>
      <c r="W365" s="35"/>
      <c r="X365" s="9"/>
      <c r="Y365" s="35"/>
      <c r="Z365" s="9"/>
      <c r="AA365" s="9"/>
    </row>
    <row r="366" spans="1:27" s="106" customFormat="1" ht="15.75" customHeight="1" x14ac:dyDescent="0.25">
      <c r="A366" s="9"/>
      <c r="B366" s="10"/>
      <c r="C366" s="2"/>
      <c r="D366" s="12"/>
      <c r="E366" s="10"/>
      <c r="F366" s="11"/>
      <c r="G366" s="11"/>
      <c r="H366" s="36"/>
      <c r="I366" s="36"/>
      <c r="J366" s="36"/>
      <c r="K366" s="36"/>
      <c r="L366" s="36"/>
      <c r="M366" s="36"/>
      <c r="N366" s="36"/>
      <c r="O366" s="10"/>
      <c r="P366" s="10"/>
      <c r="Q366" s="9"/>
      <c r="R366" s="9"/>
      <c r="S366" s="13"/>
      <c r="T366" s="35"/>
      <c r="U366" s="35"/>
      <c r="V366" s="35"/>
      <c r="W366" s="35"/>
      <c r="X366" s="9"/>
      <c r="Y366" s="35"/>
      <c r="Z366" s="9"/>
      <c r="AA366" s="9"/>
    </row>
    <row r="367" spans="1:27" s="106" customFormat="1" ht="15.75" customHeight="1" x14ac:dyDescent="0.25">
      <c r="A367" s="9"/>
      <c r="B367" s="10"/>
      <c r="C367" s="2"/>
      <c r="D367" s="12"/>
      <c r="E367" s="10"/>
      <c r="F367" s="11"/>
      <c r="G367" s="11"/>
      <c r="H367" s="36"/>
      <c r="I367" s="36"/>
      <c r="J367" s="36"/>
      <c r="K367" s="36"/>
      <c r="L367" s="36"/>
      <c r="M367" s="36"/>
      <c r="N367" s="36"/>
      <c r="O367" s="10"/>
      <c r="P367" s="10"/>
      <c r="Q367" s="9"/>
      <c r="R367" s="9"/>
      <c r="S367" s="13"/>
      <c r="T367" s="35"/>
      <c r="U367" s="35"/>
      <c r="V367" s="35"/>
      <c r="W367" s="35"/>
      <c r="X367" s="9"/>
      <c r="Y367" s="35"/>
      <c r="Z367" s="9"/>
      <c r="AA367" s="9"/>
    </row>
    <row r="368" spans="1:27" s="106" customFormat="1" ht="15.75" customHeight="1" x14ac:dyDescent="0.25">
      <c r="A368" s="9"/>
      <c r="B368" s="10"/>
      <c r="C368" s="2"/>
      <c r="D368" s="12"/>
      <c r="E368" s="10"/>
      <c r="F368" s="11"/>
      <c r="G368" s="11"/>
      <c r="H368" s="36"/>
      <c r="I368" s="36"/>
      <c r="J368" s="36"/>
      <c r="K368" s="36"/>
      <c r="L368" s="36"/>
      <c r="M368" s="36"/>
      <c r="N368" s="36"/>
      <c r="O368" s="10"/>
      <c r="P368" s="10"/>
      <c r="Q368" s="9"/>
      <c r="R368" s="9"/>
      <c r="S368" s="13"/>
      <c r="T368" s="35"/>
      <c r="U368" s="35"/>
      <c r="V368" s="35"/>
      <c r="W368" s="35"/>
      <c r="X368" s="9"/>
      <c r="Y368" s="35"/>
      <c r="Z368" s="9"/>
      <c r="AA368" s="9"/>
    </row>
    <row r="369" spans="1:27" s="100" customFormat="1" x14ac:dyDescent="0.25">
      <c r="A369" s="9"/>
      <c r="B369" s="10"/>
      <c r="C369" s="2"/>
      <c r="D369" s="12"/>
      <c r="E369" s="10"/>
      <c r="F369" s="11"/>
      <c r="G369" s="11"/>
      <c r="H369" s="36"/>
      <c r="I369" s="36"/>
      <c r="J369" s="36"/>
      <c r="K369" s="36"/>
      <c r="L369" s="36"/>
      <c r="M369" s="36"/>
      <c r="N369" s="36"/>
      <c r="O369" s="10"/>
      <c r="P369" s="10"/>
      <c r="Q369" s="9"/>
      <c r="R369" s="9"/>
      <c r="S369" s="13"/>
      <c r="T369" s="35"/>
      <c r="U369" s="35"/>
      <c r="V369" s="35"/>
      <c r="W369" s="35"/>
      <c r="X369" s="9"/>
      <c r="Y369" s="35"/>
      <c r="Z369" s="9"/>
      <c r="AA369" s="9"/>
    </row>
    <row r="370" spans="1:27" s="62" customFormat="1" x14ac:dyDescent="0.25">
      <c r="A370" s="9"/>
      <c r="B370" s="10"/>
      <c r="C370" s="2"/>
      <c r="D370" s="12"/>
      <c r="E370" s="10"/>
      <c r="F370" s="11"/>
      <c r="G370" s="11"/>
      <c r="H370" s="36"/>
      <c r="I370" s="36"/>
      <c r="J370" s="36"/>
      <c r="K370" s="36"/>
      <c r="L370" s="36"/>
      <c r="M370" s="36"/>
      <c r="N370" s="36"/>
      <c r="O370" s="10"/>
      <c r="P370" s="10"/>
      <c r="Q370" s="9"/>
      <c r="R370" s="9"/>
      <c r="S370" s="13"/>
      <c r="T370" s="35"/>
      <c r="U370" s="35"/>
      <c r="V370" s="35"/>
      <c r="W370" s="35"/>
      <c r="X370" s="9"/>
      <c r="Y370" s="35"/>
      <c r="Z370" s="9"/>
      <c r="AA370" s="9"/>
    </row>
    <row r="371" spans="1:27" s="62" customFormat="1" x14ac:dyDescent="0.25">
      <c r="A371" s="9"/>
      <c r="B371" s="10"/>
      <c r="C371" s="2"/>
      <c r="D371" s="12"/>
      <c r="E371" s="10"/>
      <c r="F371" s="11"/>
      <c r="G371" s="11"/>
      <c r="H371" s="36"/>
      <c r="I371" s="36"/>
      <c r="J371" s="36"/>
      <c r="K371" s="36"/>
      <c r="L371" s="36"/>
      <c r="M371" s="36"/>
      <c r="N371" s="36"/>
      <c r="O371" s="10"/>
      <c r="P371" s="10"/>
      <c r="Q371" s="9"/>
      <c r="R371" s="9"/>
      <c r="S371" s="13"/>
      <c r="T371" s="35"/>
      <c r="U371" s="35"/>
      <c r="V371" s="35"/>
      <c r="W371" s="35"/>
      <c r="X371" s="9"/>
      <c r="Y371" s="35"/>
      <c r="Z371" s="9"/>
      <c r="AA371" s="9"/>
    </row>
    <row r="372" spans="1:27" s="62" customFormat="1" x14ac:dyDescent="0.25">
      <c r="A372" s="9"/>
      <c r="B372" s="10"/>
      <c r="C372" s="2"/>
      <c r="D372" s="12"/>
      <c r="E372" s="10"/>
      <c r="F372" s="11"/>
      <c r="G372" s="11"/>
      <c r="H372" s="36"/>
      <c r="I372" s="36"/>
      <c r="J372" s="36"/>
      <c r="K372" s="36"/>
      <c r="L372" s="36"/>
      <c r="M372" s="36"/>
      <c r="N372" s="36"/>
      <c r="O372" s="10"/>
      <c r="P372" s="10"/>
      <c r="Q372" s="9"/>
      <c r="R372" s="9"/>
      <c r="S372" s="13"/>
      <c r="T372" s="35"/>
      <c r="U372" s="35"/>
      <c r="V372" s="35"/>
      <c r="W372" s="35"/>
      <c r="X372" s="9"/>
      <c r="Y372" s="35"/>
      <c r="Z372" s="9"/>
      <c r="AA372" s="9"/>
    </row>
    <row r="373" spans="1:27" s="62" customFormat="1" x14ac:dyDescent="0.25">
      <c r="A373" s="9"/>
      <c r="B373" s="10"/>
      <c r="C373" s="2"/>
      <c r="D373" s="12"/>
      <c r="E373" s="10"/>
      <c r="F373" s="11"/>
      <c r="G373" s="11"/>
      <c r="H373" s="36"/>
      <c r="I373" s="36"/>
      <c r="J373" s="36"/>
      <c r="K373" s="36"/>
      <c r="L373" s="36"/>
      <c r="M373" s="36"/>
      <c r="N373" s="36"/>
      <c r="O373" s="10"/>
      <c r="P373" s="10"/>
      <c r="Q373" s="9"/>
      <c r="R373" s="9"/>
      <c r="S373" s="13"/>
      <c r="T373" s="35"/>
      <c r="U373" s="35"/>
      <c r="V373" s="35"/>
      <c r="W373" s="35"/>
      <c r="X373" s="9"/>
      <c r="Y373" s="35"/>
      <c r="Z373" s="9"/>
      <c r="AA373" s="9"/>
    </row>
    <row r="374" spans="1:27" s="62" customFormat="1" x14ac:dyDescent="0.25">
      <c r="A374" s="9"/>
      <c r="B374" s="10"/>
      <c r="C374" s="2"/>
      <c r="D374" s="12"/>
      <c r="E374" s="10"/>
      <c r="F374" s="11"/>
      <c r="G374" s="11"/>
      <c r="H374" s="36"/>
      <c r="I374" s="36"/>
      <c r="J374" s="36"/>
      <c r="K374" s="36"/>
      <c r="L374" s="36"/>
      <c r="M374" s="36"/>
      <c r="N374" s="36"/>
      <c r="O374" s="10"/>
      <c r="P374" s="10"/>
      <c r="Q374" s="9"/>
      <c r="R374" s="9"/>
      <c r="S374" s="13"/>
      <c r="T374" s="35"/>
      <c r="U374" s="35"/>
      <c r="V374" s="35"/>
      <c r="W374" s="35"/>
      <c r="X374" s="9"/>
      <c r="Y374" s="35"/>
      <c r="Z374" s="9"/>
      <c r="AA374" s="9"/>
    </row>
    <row r="375" spans="1:27" s="62" customFormat="1" x14ac:dyDescent="0.25">
      <c r="A375" s="9"/>
      <c r="B375" s="10"/>
      <c r="C375" s="2"/>
      <c r="D375" s="12"/>
      <c r="E375" s="10"/>
      <c r="F375" s="11"/>
      <c r="G375" s="11"/>
      <c r="H375" s="36"/>
      <c r="I375" s="36"/>
      <c r="J375" s="36"/>
      <c r="K375" s="36"/>
      <c r="L375" s="36"/>
      <c r="M375" s="36"/>
      <c r="N375" s="36"/>
      <c r="O375" s="10"/>
      <c r="P375" s="10"/>
      <c r="Q375" s="9"/>
      <c r="R375" s="9"/>
      <c r="S375" s="13"/>
      <c r="T375" s="35"/>
      <c r="U375" s="35"/>
      <c r="V375" s="35"/>
      <c r="W375" s="35"/>
      <c r="X375" s="9"/>
      <c r="Y375" s="35"/>
      <c r="Z375" s="9"/>
      <c r="AA375" s="9"/>
    </row>
    <row r="376" spans="1:27" s="62" customFormat="1" x14ac:dyDescent="0.25">
      <c r="A376" s="9"/>
      <c r="B376" s="10"/>
      <c r="C376" s="2"/>
      <c r="D376" s="12"/>
      <c r="E376" s="10"/>
      <c r="F376" s="11"/>
      <c r="G376" s="11"/>
      <c r="H376" s="36"/>
      <c r="I376" s="36"/>
      <c r="J376" s="36"/>
      <c r="K376" s="36"/>
      <c r="L376" s="36"/>
      <c r="M376" s="36"/>
      <c r="N376" s="36"/>
      <c r="O376" s="10"/>
      <c r="P376" s="10"/>
      <c r="Q376" s="9"/>
      <c r="R376" s="9"/>
      <c r="S376" s="13"/>
      <c r="T376" s="35"/>
      <c r="U376" s="35"/>
      <c r="V376" s="35"/>
      <c r="W376" s="35"/>
      <c r="X376" s="9"/>
      <c r="Y376" s="35"/>
      <c r="Z376" s="9"/>
      <c r="AA376" s="9"/>
    </row>
    <row r="377" spans="1:27" s="62" customFormat="1" x14ac:dyDescent="0.25">
      <c r="A377" s="9"/>
      <c r="B377" s="10"/>
      <c r="C377" s="2"/>
      <c r="D377" s="12"/>
      <c r="E377" s="10"/>
      <c r="F377" s="11"/>
      <c r="G377" s="11"/>
      <c r="H377" s="36"/>
      <c r="I377" s="36"/>
      <c r="J377" s="36"/>
      <c r="K377" s="36"/>
      <c r="L377" s="36"/>
      <c r="M377" s="36"/>
      <c r="N377" s="36"/>
      <c r="O377" s="10"/>
      <c r="P377" s="10"/>
      <c r="Q377" s="9"/>
      <c r="R377" s="9"/>
      <c r="S377" s="13"/>
      <c r="T377" s="35"/>
      <c r="U377" s="35"/>
      <c r="V377" s="35"/>
      <c r="W377" s="35"/>
      <c r="X377" s="9"/>
      <c r="Y377" s="35"/>
      <c r="Z377" s="9"/>
      <c r="AA377" s="9"/>
    </row>
    <row r="378" spans="1:27" s="62" customFormat="1" x14ac:dyDescent="0.25">
      <c r="A378" s="9"/>
      <c r="B378" s="10"/>
      <c r="C378" s="2"/>
      <c r="D378" s="12"/>
      <c r="E378" s="10"/>
      <c r="F378" s="11"/>
      <c r="G378" s="11"/>
      <c r="H378" s="36"/>
      <c r="I378" s="36"/>
      <c r="J378" s="36"/>
      <c r="K378" s="36"/>
      <c r="L378" s="36"/>
      <c r="M378" s="36"/>
      <c r="N378" s="36"/>
      <c r="O378" s="10"/>
      <c r="P378" s="10"/>
      <c r="Q378" s="9"/>
      <c r="R378" s="9"/>
      <c r="S378" s="13"/>
      <c r="T378" s="35"/>
      <c r="U378" s="35"/>
      <c r="V378" s="35"/>
      <c r="W378" s="35"/>
      <c r="X378" s="9"/>
      <c r="Y378" s="35"/>
      <c r="Z378" s="9"/>
      <c r="AA378" s="9"/>
    </row>
    <row r="379" spans="1:27" s="62" customFormat="1" x14ac:dyDescent="0.25">
      <c r="A379" s="9"/>
      <c r="B379" s="10"/>
      <c r="C379" s="2"/>
      <c r="D379" s="12"/>
      <c r="E379" s="10"/>
      <c r="F379" s="11"/>
      <c r="G379" s="11"/>
      <c r="H379" s="36"/>
      <c r="I379" s="36"/>
      <c r="J379" s="36"/>
      <c r="K379" s="36"/>
      <c r="L379" s="36"/>
      <c r="M379" s="36"/>
      <c r="N379" s="36"/>
      <c r="O379" s="10"/>
      <c r="P379" s="10"/>
      <c r="Q379" s="9"/>
      <c r="R379" s="9"/>
      <c r="S379" s="13"/>
      <c r="T379" s="35"/>
      <c r="U379" s="35"/>
      <c r="V379" s="35"/>
      <c r="W379" s="35"/>
      <c r="X379" s="9"/>
      <c r="Y379" s="35"/>
      <c r="Z379" s="9"/>
      <c r="AA379" s="9"/>
    </row>
    <row r="380" spans="1:27" s="62" customFormat="1" x14ac:dyDescent="0.25">
      <c r="A380" s="9"/>
      <c r="B380" s="10"/>
      <c r="C380" s="2"/>
      <c r="D380" s="12"/>
      <c r="E380" s="10"/>
      <c r="F380" s="11"/>
      <c r="G380" s="11"/>
      <c r="H380" s="36"/>
      <c r="I380" s="36"/>
      <c r="J380" s="36"/>
      <c r="K380" s="36"/>
      <c r="L380" s="36"/>
      <c r="M380" s="36"/>
      <c r="N380" s="36"/>
      <c r="O380" s="10"/>
      <c r="P380" s="10"/>
      <c r="Q380" s="9"/>
      <c r="R380" s="9"/>
      <c r="S380" s="13"/>
      <c r="T380" s="35"/>
      <c r="U380" s="35"/>
      <c r="V380" s="35"/>
      <c r="W380" s="35"/>
      <c r="X380" s="9"/>
      <c r="Y380" s="35"/>
      <c r="Z380" s="9"/>
      <c r="AA380" s="9"/>
    </row>
    <row r="381" spans="1:27" s="62" customFormat="1" x14ac:dyDescent="0.25">
      <c r="A381" s="9"/>
      <c r="B381" s="10"/>
      <c r="C381" s="2"/>
      <c r="D381" s="12"/>
      <c r="E381" s="10"/>
      <c r="F381" s="11"/>
      <c r="G381" s="11"/>
      <c r="H381" s="36"/>
      <c r="I381" s="36"/>
      <c r="J381" s="36"/>
      <c r="K381" s="36"/>
      <c r="L381" s="36"/>
      <c r="M381" s="36"/>
      <c r="N381" s="36"/>
      <c r="O381" s="10"/>
      <c r="P381" s="10"/>
      <c r="Q381" s="9"/>
      <c r="R381" s="9"/>
      <c r="S381" s="13"/>
      <c r="T381" s="35"/>
      <c r="U381" s="35"/>
      <c r="V381" s="35"/>
      <c r="W381" s="35"/>
      <c r="X381" s="9"/>
      <c r="Y381" s="35"/>
      <c r="Z381" s="9"/>
      <c r="AA381" s="9"/>
    </row>
    <row r="382" spans="1:27" s="62" customFormat="1" x14ac:dyDescent="0.25">
      <c r="A382" s="9"/>
      <c r="B382" s="10"/>
      <c r="C382" s="2"/>
      <c r="D382" s="12"/>
      <c r="E382" s="10"/>
      <c r="F382" s="11"/>
      <c r="G382" s="11"/>
      <c r="H382" s="36"/>
      <c r="I382" s="36"/>
      <c r="J382" s="36"/>
      <c r="K382" s="36"/>
      <c r="L382" s="36"/>
      <c r="M382" s="36"/>
      <c r="N382" s="36"/>
      <c r="O382" s="10"/>
      <c r="P382" s="10"/>
      <c r="Q382" s="9"/>
      <c r="R382" s="9"/>
      <c r="S382" s="13"/>
      <c r="T382" s="35"/>
      <c r="U382" s="35"/>
      <c r="V382" s="35"/>
      <c r="W382" s="35"/>
      <c r="X382" s="9"/>
      <c r="Y382" s="35"/>
      <c r="Z382" s="9"/>
      <c r="AA382" s="9"/>
    </row>
    <row r="383" spans="1:27" s="62" customFormat="1" x14ac:dyDescent="0.25">
      <c r="A383" s="9"/>
      <c r="B383" s="10"/>
      <c r="C383" s="2"/>
      <c r="D383" s="12"/>
      <c r="E383" s="10"/>
      <c r="F383" s="11"/>
      <c r="G383" s="11"/>
      <c r="H383" s="36"/>
      <c r="I383" s="36"/>
      <c r="J383" s="36"/>
      <c r="K383" s="36"/>
      <c r="L383" s="36"/>
      <c r="M383" s="36"/>
      <c r="N383" s="36"/>
      <c r="O383" s="10"/>
      <c r="P383" s="10"/>
      <c r="Q383" s="9"/>
      <c r="R383" s="9"/>
      <c r="S383" s="13"/>
      <c r="T383" s="35"/>
      <c r="U383" s="35"/>
      <c r="V383" s="35"/>
      <c r="W383" s="35"/>
      <c r="X383" s="9"/>
      <c r="Y383" s="35"/>
      <c r="Z383" s="9"/>
      <c r="AA383" s="9"/>
    </row>
    <row r="384" spans="1:27" s="62" customFormat="1" x14ac:dyDescent="0.25">
      <c r="A384" s="9"/>
      <c r="B384" s="10"/>
      <c r="C384" s="2"/>
      <c r="D384" s="12"/>
      <c r="E384" s="10"/>
      <c r="F384" s="11"/>
      <c r="G384" s="11"/>
      <c r="H384" s="36"/>
      <c r="I384" s="36"/>
      <c r="J384" s="36"/>
      <c r="K384" s="36"/>
      <c r="L384" s="36"/>
      <c r="M384" s="36"/>
      <c r="N384" s="36"/>
      <c r="O384" s="10"/>
      <c r="P384" s="10"/>
      <c r="Q384" s="9"/>
      <c r="R384" s="9"/>
      <c r="S384" s="13"/>
      <c r="T384" s="35"/>
      <c r="U384" s="35"/>
      <c r="V384" s="35"/>
      <c r="W384" s="35"/>
      <c r="X384" s="9"/>
      <c r="Y384" s="35"/>
      <c r="Z384" s="9"/>
      <c r="AA384" s="9"/>
    </row>
    <row r="385" spans="1:27" s="62" customFormat="1" x14ac:dyDescent="0.25">
      <c r="A385" s="9"/>
      <c r="B385" s="10"/>
      <c r="C385" s="2"/>
      <c r="D385" s="12"/>
      <c r="E385" s="10"/>
      <c r="F385" s="11"/>
      <c r="G385" s="11"/>
      <c r="H385" s="36"/>
      <c r="I385" s="36"/>
      <c r="J385" s="36"/>
      <c r="K385" s="36"/>
      <c r="L385" s="36"/>
      <c r="M385" s="36"/>
      <c r="N385" s="36"/>
      <c r="O385" s="10"/>
      <c r="P385" s="10"/>
      <c r="Q385" s="9"/>
      <c r="R385" s="9"/>
      <c r="S385" s="13"/>
      <c r="T385" s="35"/>
      <c r="U385" s="35"/>
      <c r="V385" s="35"/>
      <c r="W385" s="35"/>
      <c r="X385" s="9"/>
      <c r="Y385" s="35"/>
      <c r="Z385" s="9"/>
      <c r="AA385" s="9"/>
    </row>
    <row r="386" spans="1:27" s="62" customFormat="1" x14ac:dyDescent="0.25">
      <c r="A386" s="9"/>
      <c r="B386" s="10"/>
      <c r="C386" s="2"/>
      <c r="D386" s="12"/>
      <c r="E386" s="10"/>
      <c r="F386" s="11"/>
      <c r="G386" s="11"/>
      <c r="H386" s="36"/>
      <c r="I386" s="36"/>
      <c r="J386" s="36"/>
      <c r="K386" s="36"/>
      <c r="L386" s="36"/>
      <c r="M386" s="36"/>
      <c r="N386" s="36"/>
      <c r="O386" s="10"/>
      <c r="P386" s="10"/>
      <c r="Q386" s="9"/>
      <c r="R386" s="9"/>
      <c r="S386" s="13"/>
      <c r="T386" s="35"/>
      <c r="U386" s="35"/>
      <c r="V386" s="35"/>
      <c r="W386" s="35"/>
      <c r="X386" s="9"/>
      <c r="Y386" s="35"/>
      <c r="Z386" s="9"/>
      <c r="AA386" s="9"/>
    </row>
    <row r="387" spans="1:27" s="62" customFormat="1" x14ac:dyDescent="0.25">
      <c r="A387" s="9"/>
      <c r="B387" s="10"/>
      <c r="C387" s="2"/>
      <c r="D387" s="12"/>
      <c r="E387" s="10"/>
      <c r="F387" s="11"/>
      <c r="G387" s="11"/>
      <c r="H387" s="36"/>
      <c r="I387" s="36"/>
      <c r="J387" s="36"/>
      <c r="K387" s="36"/>
      <c r="L387" s="36"/>
      <c r="M387" s="36"/>
      <c r="N387" s="36"/>
      <c r="O387" s="10"/>
      <c r="P387" s="10"/>
      <c r="Q387" s="9"/>
      <c r="R387" s="9"/>
      <c r="S387" s="13"/>
      <c r="T387" s="35"/>
      <c r="U387" s="35"/>
      <c r="V387" s="35"/>
      <c r="W387" s="35"/>
      <c r="X387" s="9"/>
      <c r="Y387" s="35"/>
      <c r="Z387" s="9"/>
      <c r="AA387" s="9"/>
    </row>
    <row r="388" spans="1:27" s="62" customFormat="1" x14ac:dyDescent="0.25">
      <c r="A388" s="9"/>
      <c r="B388" s="10"/>
      <c r="C388" s="2"/>
      <c r="D388" s="12"/>
      <c r="E388" s="10"/>
      <c r="F388" s="11"/>
      <c r="G388" s="11"/>
      <c r="H388" s="36"/>
      <c r="I388" s="36"/>
      <c r="J388" s="36"/>
      <c r="K388" s="36"/>
      <c r="L388" s="36"/>
      <c r="M388" s="36"/>
      <c r="N388" s="36"/>
      <c r="O388" s="10"/>
      <c r="P388" s="10"/>
      <c r="Q388" s="9"/>
      <c r="R388" s="9"/>
      <c r="S388" s="13"/>
      <c r="T388" s="35"/>
      <c r="U388" s="35"/>
      <c r="V388" s="35"/>
      <c r="W388" s="35"/>
      <c r="X388" s="9"/>
      <c r="Y388" s="35"/>
      <c r="Z388" s="9"/>
      <c r="AA388" s="9"/>
    </row>
    <row r="389" spans="1:27" s="62" customFormat="1" x14ac:dyDescent="0.25">
      <c r="A389" s="9"/>
      <c r="B389" s="10"/>
      <c r="C389" s="2"/>
      <c r="D389" s="12"/>
      <c r="E389" s="10"/>
      <c r="F389" s="11"/>
      <c r="G389" s="11"/>
      <c r="H389" s="36"/>
      <c r="I389" s="36"/>
      <c r="J389" s="36"/>
      <c r="K389" s="36"/>
      <c r="L389" s="36"/>
      <c r="M389" s="36"/>
      <c r="N389" s="36"/>
      <c r="O389" s="10"/>
      <c r="P389" s="10"/>
      <c r="Q389" s="9"/>
      <c r="R389" s="9"/>
      <c r="S389" s="13"/>
      <c r="T389" s="35"/>
      <c r="U389" s="35"/>
      <c r="V389" s="35"/>
      <c r="W389" s="35"/>
      <c r="X389" s="9"/>
      <c r="Y389" s="35"/>
      <c r="Z389" s="9"/>
      <c r="AA389" s="9"/>
    </row>
    <row r="390" spans="1:27" s="62" customFormat="1" x14ac:dyDescent="0.25">
      <c r="A390" s="9"/>
      <c r="B390" s="10"/>
      <c r="C390" s="2"/>
      <c r="D390" s="12"/>
      <c r="E390" s="10"/>
      <c r="F390" s="11"/>
      <c r="G390" s="11"/>
      <c r="H390" s="36"/>
      <c r="I390" s="36"/>
      <c r="J390" s="36"/>
      <c r="K390" s="36"/>
      <c r="L390" s="36"/>
      <c r="M390" s="36"/>
      <c r="N390" s="36"/>
      <c r="O390" s="10"/>
      <c r="P390" s="10"/>
      <c r="Q390" s="9"/>
      <c r="R390" s="9"/>
      <c r="S390" s="13"/>
      <c r="T390" s="35"/>
      <c r="U390" s="35"/>
      <c r="V390" s="35"/>
      <c r="W390" s="35"/>
      <c r="X390" s="9"/>
      <c r="Y390" s="35"/>
      <c r="Z390" s="9"/>
      <c r="AA390" s="9"/>
    </row>
    <row r="391" spans="1:27" s="62" customFormat="1" x14ac:dyDescent="0.25">
      <c r="A391" s="9"/>
      <c r="B391" s="10"/>
      <c r="C391" s="2"/>
      <c r="D391" s="12"/>
      <c r="E391" s="10"/>
      <c r="F391" s="11"/>
      <c r="G391" s="11"/>
      <c r="H391" s="36"/>
      <c r="I391" s="36"/>
      <c r="J391" s="36"/>
      <c r="K391" s="36"/>
      <c r="L391" s="36"/>
      <c r="M391" s="36"/>
      <c r="N391" s="36"/>
      <c r="O391" s="10"/>
      <c r="P391" s="10"/>
      <c r="Q391" s="9"/>
      <c r="R391" s="9"/>
      <c r="S391" s="13"/>
      <c r="T391" s="35"/>
      <c r="U391" s="35"/>
      <c r="V391" s="35"/>
      <c r="W391" s="35"/>
      <c r="X391" s="9"/>
      <c r="Y391" s="35"/>
      <c r="Z391" s="9"/>
      <c r="AA391" s="9"/>
    </row>
    <row r="392" spans="1:27" s="62" customFormat="1" x14ac:dyDescent="0.25">
      <c r="A392" s="9"/>
      <c r="B392" s="10"/>
      <c r="C392" s="2"/>
      <c r="D392" s="12"/>
      <c r="E392" s="10"/>
      <c r="F392" s="11"/>
      <c r="G392" s="11"/>
      <c r="H392" s="36"/>
      <c r="I392" s="36"/>
      <c r="J392" s="36"/>
      <c r="K392" s="36"/>
      <c r="L392" s="36"/>
      <c r="M392" s="36"/>
      <c r="N392" s="36"/>
      <c r="O392" s="10"/>
      <c r="P392" s="10"/>
      <c r="Q392" s="9"/>
      <c r="R392" s="9"/>
      <c r="S392" s="13"/>
      <c r="T392" s="35"/>
      <c r="U392" s="35"/>
      <c r="V392" s="35"/>
      <c r="W392" s="35"/>
      <c r="X392" s="9"/>
      <c r="Y392" s="35"/>
      <c r="Z392" s="9"/>
      <c r="AA392" s="9"/>
    </row>
    <row r="393" spans="1:27" s="62" customFormat="1" x14ac:dyDescent="0.25">
      <c r="A393" s="9"/>
      <c r="B393" s="10"/>
      <c r="C393" s="2"/>
      <c r="D393" s="12"/>
      <c r="E393" s="10"/>
      <c r="F393" s="11"/>
      <c r="G393" s="11"/>
      <c r="H393" s="36"/>
      <c r="I393" s="36"/>
      <c r="J393" s="36"/>
      <c r="K393" s="36"/>
      <c r="L393" s="36"/>
      <c r="M393" s="36"/>
      <c r="N393" s="36"/>
      <c r="O393" s="10"/>
      <c r="P393" s="10"/>
      <c r="Q393" s="9"/>
      <c r="R393" s="9"/>
      <c r="S393" s="13"/>
      <c r="T393" s="35"/>
      <c r="U393" s="35"/>
      <c r="V393" s="35"/>
      <c r="W393" s="35"/>
      <c r="X393" s="9"/>
      <c r="Y393" s="35"/>
      <c r="Z393" s="9"/>
      <c r="AA393" s="9"/>
    </row>
    <row r="394" spans="1:27" s="62" customFormat="1" x14ac:dyDescent="0.25">
      <c r="A394" s="9"/>
      <c r="B394" s="10"/>
      <c r="C394" s="2"/>
      <c r="D394" s="12"/>
      <c r="E394" s="10"/>
      <c r="F394" s="11"/>
      <c r="G394" s="11"/>
      <c r="H394" s="36"/>
      <c r="I394" s="36"/>
      <c r="J394" s="36"/>
      <c r="K394" s="36"/>
      <c r="L394" s="36"/>
      <c r="M394" s="36"/>
      <c r="N394" s="36"/>
      <c r="O394" s="10"/>
      <c r="P394" s="10"/>
      <c r="Q394" s="9"/>
      <c r="R394" s="9"/>
      <c r="S394" s="13"/>
      <c r="T394" s="35"/>
      <c r="U394" s="35"/>
      <c r="V394" s="35"/>
      <c r="W394" s="35"/>
      <c r="X394" s="9"/>
      <c r="Y394" s="35"/>
      <c r="Z394" s="9"/>
      <c r="AA394" s="9"/>
    </row>
    <row r="395" spans="1:27" s="62" customFormat="1" x14ac:dyDescent="0.25">
      <c r="A395" s="9"/>
      <c r="B395" s="10"/>
      <c r="C395" s="2"/>
      <c r="D395" s="12"/>
      <c r="E395" s="10"/>
      <c r="F395" s="11"/>
      <c r="G395" s="11"/>
      <c r="H395" s="36"/>
      <c r="I395" s="36"/>
      <c r="J395" s="36"/>
      <c r="K395" s="36"/>
      <c r="L395" s="36"/>
      <c r="M395" s="36"/>
      <c r="N395" s="36"/>
      <c r="O395" s="10"/>
      <c r="P395" s="10"/>
      <c r="Q395" s="9"/>
      <c r="R395" s="9"/>
      <c r="S395" s="13"/>
      <c r="T395" s="35"/>
      <c r="U395" s="35"/>
      <c r="V395" s="35"/>
      <c r="W395" s="35"/>
      <c r="X395" s="9"/>
      <c r="Y395" s="35"/>
      <c r="Z395" s="9"/>
      <c r="AA395" s="9"/>
    </row>
    <row r="396" spans="1:27" s="62" customFormat="1" x14ac:dyDescent="0.25">
      <c r="A396" s="9"/>
      <c r="B396" s="10"/>
      <c r="C396" s="2"/>
      <c r="D396" s="12"/>
      <c r="E396" s="10"/>
      <c r="F396" s="11"/>
      <c r="G396" s="11"/>
      <c r="H396" s="36"/>
      <c r="I396" s="36"/>
      <c r="J396" s="36"/>
      <c r="K396" s="36"/>
      <c r="L396" s="36"/>
      <c r="M396" s="36"/>
      <c r="N396" s="36"/>
      <c r="O396" s="10"/>
      <c r="P396" s="10"/>
      <c r="Q396" s="9"/>
      <c r="R396" s="9"/>
      <c r="S396" s="13"/>
      <c r="T396" s="35"/>
      <c r="U396" s="35"/>
      <c r="V396" s="35"/>
      <c r="W396" s="35"/>
      <c r="X396" s="9"/>
      <c r="Y396" s="35"/>
      <c r="Z396" s="9"/>
      <c r="AA396" s="9"/>
    </row>
    <row r="397" spans="1:27" s="62" customFormat="1" x14ac:dyDescent="0.25">
      <c r="A397" s="9"/>
      <c r="B397" s="10"/>
      <c r="C397" s="2"/>
      <c r="D397" s="12"/>
      <c r="E397" s="10"/>
      <c r="F397" s="11"/>
      <c r="G397" s="11"/>
      <c r="H397" s="36"/>
      <c r="I397" s="36"/>
      <c r="J397" s="36"/>
      <c r="K397" s="36"/>
      <c r="L397" s="36"/>
      <c r="M397" s="36"/>
      <c r="N397" s="36"/>
      <c r="O397" s="10"/>
      <c r="P397" s="10"/>
      <c r="Q397" s="9"/>
      <c r="R397" s="9"/>
      <c r="S397" s="13"/>
      <c r="T397" s="35"/>
      <c r="U397" s="35"/>
      <c r="V397" s="35"/>
      <c r="W397" s="35"/>
      <c r="X397" s="9"/>
      <c r="Y397" s="35"/>
      <c r="Z397" s="9"/>
      <c r="AA397" s="9"/>
    </row>
    <row r="398" spans="1:27" s="62" customFormat="1" x14ac:dyDescent="0.25">
      <c r="A398" s="9"/>
      <c r="B398" s="10"/>
      <c r="C398" s="2"/>
      <c r="D398" s="12"/>
      <c r="E398" s="10"/>
      <c r="F398" s="11"/>
      <c r="G398" s="11"/>
      <c r="H398" s="36"/>
      <c r="I398" s="36"/>
      <c r="J398" s="36"/>
      <c r="K398" s="36"/>
      <c r="L398" s="36"/>
      <c r="M398" s="36"/>
      <c r="N398" s="36"/>
      <c r="O398" s="10"/>
      <c r="P398" s="10"/>
      <c r="Q398" s="9"/>
      <c r="R398" s="9"/>
      <c r="S398" s="13"/>
      <c r="T398" s="35"/>
      <c r="U398" s="35"/>
      <c r="V398" s="35"/>
      <c r="W398" s="35"/>
      <c r="X398" s="9"/>
      <c r="Y398" s="35"/>
      <c r="Z398" s="9"/>
      <c r="AA398" s="9"/>
    </row>
    <row r="399" spans="1:27" s="62" customFormat="1" x14ac:dyDescent="0.25">
      <c r="A399" s="9"/>
      <c r="B399" s="10"/>
      <c r="C399" s="2"/>
      <c r="D399" s="12"/>
      <c r="E399" s="10"/>
      <c r="F399" s="11"/>
      <c r="G399" s="11"/>
      <c r="H399" s="36"/>
      <c r="I399" s="36"/>
      <c r="J399" s="36"/>
      <c r="K399" s="36"/>
      <c r="L399" s="36"/>
      <c r="M399" s="36"/>
      <c r="N399" s="36"/>
      <c r="O399" s="10"/>
      <c r="P399" s="10"/>
      <c r="Q399" s="9"/>
      <c r="R399" s="9"/>
      <c r="S399" s="13"/>
      <c r="T399" s="35"/>
      <c r="U399" s="35"/>
      <c r="V399" s="35"/>
      <c r="W399" s="35"/>
      <c r="X399" s="9"/>
      <c r="Y399" s="35"/>
      <c r="Z399" s="9"/>
      <c r="AA399" s="9"/>
    </row>
    <row r="400" spans="1:27" s="62" customFormat="1" x14ac:dyDescent="0.25">
      <c r="A400" s="9"/>
      <c r="B400" s="10"/>
      <c r="C400" s="2"/>
      <c r="D400" s="12"/>
      <c r="E400" s="10"/>
      <c r="F400" s="11"/>
      <c r="G400" s="11"/>
      <c r="H400" s="36"/>
      <c r="I400" s="36"/>
      <c r="J400" s="36"/>
      <c r="K400" s="36"/>
      <c r="L400" s="36"/>
      <c r="M400" s="36"/>
      <c r="N400" s="36"/>
      <c r="O400" s="10"/>
      <c r="P400" s="10"/>
      <c r="Q400" s="9"/>
      <c r="R400" s="9"/>
      <c r="S400" s="13"/>
      <c r="T400" s="35"/>
      <c r="U400" s="35"/>
      <c r="V400" s="35"/>
      <c r="W400" s="35"/>
      <c r="X400" s="9"/>
      <c r="Y400" s="35"/>
      <c r="Z400" s="9"/>
      <c r="AA400" s="9"/>
    </row>
    <row r="401" spans="1:27" s="62" customFormat="1" x14ac:dyDescent="0.25">
      <c r="A401" s="9"/>
      <c r="B401" s="10"/>
      <c r="C401" s="2"/>
      <c r="D401" s="12"/>
      <c r="E401" s="10"/>
      <c r="F401" s="11"/>
      <c r="G401" s="11"/>
      <c r="H401" s="36"/>
      <c r="I401" s="36"/>
      <c r="J401" s="36"/>
      <c r="K401" s="36"/>
      <c r="L401" s="36"/>
      <c r="M401" s="36"/>
      <c r="N401" s="36"/>
      <c r="O401" s="10"/>
      <c r="P401" s="10"/>
      <c r="Q401" s="9"/>
      <c r="R401" s="9"/>
      <c r="S401" s="13"/>
      <c r="T401" s="35"/>
      <c r="U401" s="35"/>
      <c r="V401" s="35"/>
      <c r="W401" s="35"/>
      <c r="X401" s="9"/>
      <c r="Y401" s="35"/>
      <c r="Z401" s="9"/>
      <c r="AA401" s="9"/>
    </row>
    <row r="402" spans="1:27" s="62" customFormat="1" x14ac:dyDescent="0.25">
      <c r="A402" s="9"/>
      <c r="B402" s="10"/>
      <c r="C402" s="2"/>
      <c r="D402" s="12"/>
      <c r="E402" s="10"/>
      <c r="F402" s="11"/>
      <c r="G402" s="11"/>
      <c r="H402" s="36"/>
      <c r="I402" s="36"/>
      <c r="J402" s="36"/>
      <c r="K402" s="36"/>
      <c r="L402" s="36"/>
      <c r="M402" s="36"/>
      <c r="N402" s="36"/>
      <c r="O402" s="10"/>
      <c r="P402" s="10"/>
      <c r="Q402" s="9"/>
      <c r="R402" s="9"/>
      <c r="S402" s="13"/>
      <c r="T402" s="35"/>
      <c r="U402" s="35"/>
      <c r="V402" s="35"/>
      <c r="W402" s="35"/>
      <c r="X402" s="9"/>
      <c r="Y402" s="35"/>
      <c r="Z402" s="9"/>
      <c r="AA402" s="9"/>
    </row>
    <row r="403" spans="1:27" s="62" customFormat="1" x14ac:dyDescent="0.25">
      <c r="A403" s="9"/>
      <c r="B403" s="10"/>
      <c r="C403" s="2"/>
      <c r="D403" s="12"/>
      <c r="E403" s="10"/>
      <c r="F403" s="11"/>
      <c r="G403" s="11"/>
      <c r="H403" s="36"/>
      <c r="I403" s="36"/>
      <c r="J403" s="36"/>
      <c r="K403" s="36"/>
      <c r="L403" s="36"/>
      <c r="M403" s="36"/>
      <c r="N403" s="36"/>
      <c r="O403" s="10"/>
      <c r="P403" s="10"/>
      <c r="Q403" s="9"/>
      <c r="R403" s="9"/>
      <c r="S403" s="13"/>
      <c r="T403" s="35"/>
      <c r="U403" s="35"/>
      <c r="V403" s="35"/>
      <c r="W403" s="35"/>
      <c r="X403" s="9"/>
      <c r="Y403" s="35"/>
      <c r="Z403" s="9"/>
      <c r="AA403" s="9"/>
    </row>
    <row r="404" spans="1:27" s="62" customFormat="1" x14ac:dyDescent="0.25">
      <c r="A404" s="9"/>
      <c r="B404" s="10"/>
      <c r="C404" s="2"/>
      <c r="D404" s="12"/>
      <c r="E404" s="10"/>
      <c r="F404" s="11"/>
      <c r="G404" s="11"/>
      <c r="H404" s="36"/>
      <c r="I404" s="36"/>
      <c r="J404" s="36"/>
      <c r="K404" s="36"/>
      <c r="L404" s="36"/>
      <c r="M404" s="36"/>
      <c r="N404" s="36"/>
      <c r="O404" s="10"/>
      <c r="P404" s="10"/>
      <c r="Q404" s="9"/>
      <c r="R404" s="9"/>
      <c r="S404" s="13"/>
      <c r="T404" s="35"/>
      <c r="U404" s="35"/>
      <c r="V404" s="35"/>
      <c r="W404" s="35"/>
      <c r="X404" s="9"/>
      <c r="Y404" s="35"/>
      <c r="Z404" s="9"/>
      <c r="AA404" s="9"/>
    </row>
    <row r="405" spans="1:27" s="62" customFormat="1" x14ac:dyDescent="0.25">
      <c r="A405" s="9"/>
      <c r="B405" s="10"/>
      <c r="C405" s="2"/>
      <c r="D405" s="12"/>
      <c r="E405" s="10"/>
      <c r="F405" s="11"/>
      <c r="G405" s="11"/>
      <c r="H405" s="36"/>
      <c r="I405" s="36"/>
      <c r="J405" s="36"/>
      <c r="K405" s="36"/>
      <c r="L405" s="36"/>
      <c r="M405" s="36"/>
      <c r="N405" s="36"/>
      <c r="O405" s="10"/>
      <c r="P405" s="10"/>
      <c r="Q405" s="9"/>
      <c r="R405" s="9"/>
      <c r="S405" s="13"/>
      <c r="T405" s="35"/>
      <c r="U405" s="35"/>
      <c r="V405" s="35"/>
      <c r="W405" s="35"/>
      <c r="X405" s="9"/>
      <c r="Y405" s="35"/>
      <c r="Z405" s="9"/>
      <c r="AA405" s="9"/>
    </row>
    <row r="406" spans="1:27" s="62" customFormat="1" x14ac:dyDescent="0.25">
      <c r="A406" s="9"/>
      <c r="B406" s="10"/>
      <c r="C406" s="2"/>
      <c r="D406" s="12"/>
      <c r="E406" s="10"/>
      <c r="F406" s="11"/>
      <c r="G406" s="11"/>
      <c r="H406" s="36"/>
      <c r="I406" s="36"/>
      <c r="J406" s="36"/>
      <c r="K406" s="36"/>
      <c r="L406" s="36"/>
      <c r="M406" s="36"/>
      <c r="N406" s="36"/>
      <c r="O406" s="10"/>
      <c r="P406" s="10"/>
      <c r="Q406" s="9"/>
      <c r="R406" s="9"/>
      <c r="S406" s="13"/>
      <c r="T406" s="35"/>
      <c r="U406" s="35"/>
      <c r="V406" s="35"/>
      <c r="W406" s="35"/>
      <c r="X406" s="9"/>
      <c r="Y406" s="35"/>
      <c r="Z406" s="9"/>
      <c r="AA406" s="9"/>
    </row>
    <row r="407" spans="1:27" s="62" customFormat="1" x14ac:dyDescent="0.25">
      <c r="A407" s="9"/>
      <c r="B407" s="10"/>
      <c r="C407" s="2"/>
      <c r="D407" s="12"/>
      <c r="E407" s="10"/>
      <c r="F407" s="11"/>
      <c r="G407" s="11"/>
      <c r="H407" s="36"/>
      <c r="I407" s="36"/>
      <c r="J407" s="36"/>
      <c r="K407" s="36"/>
      <c r="L407" s="36"/>
      <c r="M407" s="36"/>
      <c r="N407" s="36"/>
      <c r="O407" s="10"/>
      <c r="P407" s="10"/>
      <c r="Q407" s="9"/>
      <c r="R407" s="9"/>
      <c r="S407" s="13"/>
      <c r="T407" s="35"/>
      <c r="U407" s="35"/>
      <c r="V407" s="35"/>
      <c r="W407" s="35"/>
      <c r="X407" s="9"/>
      <c r="Y407" s="35"/>
      <c r="Z407" s="9"/>
      <c r="AA407" s="9"/>
    </row>
    <row r="408" spans="1:27" s="62" customFormat="1" x14ac:dyDescent="0.25">
      <c r="A408" s="9"/>
      <c r="B408" s="10"/>
      <c r="C408" s="2"/>
      <c r="D408" s="12"/>
      <c r="E408" s="10"/>
      <c r="F408" s="11"/>
      <c r="G408" s="11"/>
      <c r="H408" s="36"/>
      <c r="I408" s="36"/>
      <c r="J408" s="36"/>
      <c r="K408" s="36"/>
      <c r="L408" s="36"/>
      <c r="M408" s="36"/>
      <c r="N408" s="36"/>
      <c r="O408" s="10"/>
      <c r="P408" s="10"/>
      <c r="Q408" s="9"/>
      <c r="R408" s="9"/>
      <c r="S408" s="13"/>
      <c r="T408" s="35"/>
      <c r="U408" s="35"/>
      <c r="V408" s="35"/>
      <c r="W408" s="35"/>
      <c r="X408" s="9"/>
      <c r="Y408" s="35"/>
      <c r="Z408" s="9"/>
      <c r="AA408" s="9"/>
    </row>
    <row r="409" spans="1:27" s="62" customFormat="1" x14ac:dyDescent="0.25">
      <c r="A409" s="9"/>
      <c r="B409" s="10"/>
      <c r="C409" s="2"/>
      <c r="D409" s="12"/>
      <c r="E409" s="10"/>
      <c r="F409" s="11"/>
      <c r="G409" s="11"/>
      <c r="H409" s="36"/>
      <c r="I409" s="36"/>
      <c r="J409" s="36"/>
      <c r="K409" s="36"/>
      <c r="L409" s="36"/>
      <c r="M409" s="36"/>
      <c r="N409" s="36"/>
      <c r="O409" s="10"/>
      <c r="P409" s="10"/>
      <c r="Q409" s="9"/>
      <c r="R409" s="9"/>
      <c r="S409" s="13"/>
      <c r="T409" s="35"/>
      <c r="U409" s="35"/>
      <c r="V409" s="35"/>
      <c r="W409" s="35"/>
      <c r="X409" s="9"/>
      <c r="Y409" s="35"/>
      <c r="Z409" s="9"/>
      <c r="AA409" s="9"/>
    </row>
    <row r="410" spans="1:27" s="62" customFormat="1" x14ac:dyDescent="0.25">
      <c r="A410" s="9"/>
      <c r="B410" s="10"/>
      <c r="C410" s="2"/>
      <c r="D410" s="12"/>
      <c r="E410" s="10"/>
      <c r="F410" s="11"/>
      <c r="G410" s="11"/>
      <c r="H410" s="36"/>
      <c r="I410" s="36"/>
      <c r="J410" s="36"/>
      <c r="K410" s="36"/>
      <c r="L410" s="36"/>
      <c r="M410" s="36"/>
      <c r="N410" s="36"/>
      <c r="O410" s="10"/>
      <c r="P410" s="10"/>
      <c r="Q410" s="9"/>
      <c r="R410" s="9"/>
      <c r="S410" s="13"/>
      <c r="T410" s="35"/>
      <c r="U410" s="35"/>
      <c r="V410" s="35"/>
      <c r="W410" s="35"/>
      <c r="X410" s="9"/>
      <c r="Y410" s="35"/>
      <c r="Z410" s="9"/>
      <c r="AA410" s="9"/>
    </row>
    <row r="411" spans="1:27" s="62" customFormat="1" x14ac:dyDescent="0.25">
      <c r="A411" s="9"/>
      <c r="B411" s="10"/>
      <c r="C411" s="2"/>
      <c r="D411" s="12"/>
      <c r="E411" s="10"/>
      <c r="F411" s="11"/>
      <c r="G411" s="11"/>
      <c r="H411" s="36"/>
      <c r="I411" s="36"/>
      <c r="J411" s="36"/>
      <c r="K411" s="36"/>
      <c r="L411" s="36"/>
      <c r="M411" s="36"/>
      <c r="N411" s="36"/>
      <c r="O411" s="10"/>
      <c r="P411" s="10"/>
      <c r="Q411" s="9"/>
      <c r="R411" s="9"/>
      <c r="S411" s="13"/>
      <c r="T411" s="35"/>
      <c r="U411" s="35"/>
      <c r="V411" s="35"/>
      <c r="W411" s="35"/>
      <c r="X411" s="9"/>
      <c r="Y411" s="35"/>
      <c r="Z411" s="9"/>
      <c r="AA411" s="9"/>
    </row>
    <row r="412" spans="1:27" s="62" customFormat="1" x14ac:dyDescent="0.25">
      <c r="A412" s="9"/>
      <c r="B412" s="10"/>
      <c r="C412" s="2"/>
      <c r="D412" s="12"/>
      <c r="E412" s="10"/>
      <c r="F412" s="11"/>
      <c r="G412" s="11"/>
      <c r="H412" s="36"/>
      <c r="I412" s="36"/>
      <c r="J412" s="36"/>
      <c r="K412" s="36"/>
      <c r="L412" s="36"/>
      <c r="M412" s="36"/>
      <c r="N412" s="36"/>
      <c r="O412" s="10"/>
      <c r="P412" s="10"/>
      <c r="Q412" s="9"/>
      <c r="R412" s="9"/>
      <c r="S412" s="13"/>
      <c r="T412" s="35"/>
      <c r="U412" s="35"/>
      <c r="V412" s="35"/>
      <c r="W412" s="35"/>
      <c r="X412" s="9"/>
      <c r="Y412" s="35"/>
      <c r="Z412" s="9"/>
      <c r="AA412" s="9"/>
    </row>
    <row r="413" spans="1:27" s="62" customFormat="1" x14ac:dyDescent="0.25">
      <c r="A413" s="9"/>
      <c r="B413" s="10"/>
      <c r="C413" s="2"/>
      <c r="D413" s="12"/>
      <c r="E413" s="10"/>
      <c r="F413" s="11"/>
      <c r="G413" s="11"/>
      <c r="H413" s="36"/>
      <c r="I413" s="36"/>
      <c r="J413" s="36"/>
      <c r="K413" s="36"/>
      <c r="L413" s="36"/>
      <c r="M413" s="36"/>
      <c r="N413" s="36"/>
      <c r="O413" s="10"/>
      <c r="P413" s="10"/>
      <c r="Q413" s="9"/>
      <c r="R413" s="9"/>
      <c r="S413" s="13"/>
      <c r="T413" s="35"/>
      <c r="U413" s="35"/>
      <c r="V413" s="35"/>
      <c r="W413" s="35"/>
      <c r="X413" s="9"/>
      <c r="Y413" s="35"/>
      <c r="Z413" s="9"/>
      <c r="AA413" s="9"/>
    </row>
    <row r="414" spans="1:27" s="62" customFormat="1" x14ac:dyDescent="0.25">
      <c r="A414" s="9"/>
      <c r="B414" s="10"/>
      <c r="C414" s="2"/>
      <c r="D414" s="12"/>
      <c r="E414" s="10"/>
      <c r="F414" s="11"/>
      <c r="G414" s="11"/>
      <c r="H414" s="36"/>
      <c r="I414" s="36"/>
      <c r="J414" s="36"/>
      <c r="K414" s="36"/>
      <c r="L414" s="36"/>
      <c r="M414" s="36"/>
      <c r="N414" s="36"/>
      <c r="O414" s="10"/>
      <c r="P414" s="10"/>
      <c r="Q414" s="9"/>
      <c r="R414" s="9"/>
      <c r="S414" s="13"/>
      <c r="T414" s="35"/>
      <c r="U414" s="35"/>
      <c r="V414" s="35"/>
      <c r="W414" s="35"/>
      <c r="X414" s="9"/>
      <c r="Y414" s="35"/>
      <c r="Z414" s="9"/>
      <c r="AA414" s="9"/>
    </row>
    <row r="415" spans="1:27" s="62" customFormat="1" x14ac:dyDescent="0.25">
      <c r="A415" s="9"/>
      <c r="B415" s="10"/>
      <c r="C415" s="2"/>
      <c r="D415" s="12"/>
      <c r="E415" s="10"/>
      <c r="F415" s="11"/>
      <c r="G415" s="11"/>
      <c r="H415" s="36"/>
      <c r="I415" s="36"/>
      <c r="J415" s="36"/>
      <c r="K415" s="36"/>
      <c r="L415" s="36"/>
      <c r="M415" s="36"/>
      <c r="N415" s="36"/>
      <c r="O415" s="10"/>
      <c r="P415" s="10"/>
      <c r="Q415" s="9"/>
      <c r="R415" s="9"/>
      <c r="S415" s="13"/>
      <c r="T415" s="35"/>
      <c r="U415" s="35"/>
      <c r="V415" s="35"/>
      <c r="W415" s="35"/>
      <c r="X415" s="9"/>
      <c r="Y415" s="35"/>
      <c r="Z415" s="9"/>
      <c r="AA415" s="9"/>
    </row>
    <row r="416" spans="1:27" s="62" customFormat="1" x14ac:dyDescent="0.25">
      <c r="A416" s="9"/>
      <c r="B416" s="10"/>
      <c r="C416" s="2"/>
      <c r="D416" s="12"/>
      <c r="E416" s="10"/>
      <c r="F416" s="11"/>
      <c r="G416" s="11"/>
      <c r="H416" s="36"/>
      <c r="I416" s="36"/>
      <c r="J416" s="36"/>
      <c r="K416" s="36"/>
      <c r="L416" s="36"/>
      <c r="M416" s="36"/>
      <c r="N416" s="36"/>
      <c r="O416" s="10"/>
      <c r="P416" s="10"/>
      <c r="Q416" s="9"/>
      <c r="R416" s="9"/>
      <c r="S416" s="13"/>
      <c r="T416" s="35"/>
      <c r="U416" s="35"/>
      <c r="V416" s="35"/>
      <c r="W416" s="35"/>
      <c r="X416" s="9"/>
      <c r="Y416" s="35"/>
      <c r="Z416" s="9"/>
      <c r="AA416" s="9"/>
    </row>
    <row r="417" spans="1:27" s="62" customFormat="1" x14ac:dyDescent="0.25">
      <c r="A417" s="9"/>
      <c r="B417" s="10"/>
      <c r="C417" s="2"/>
      <c r="D417" s="12"/>
      <c r="E417" s="10"/>
      <c r="F417" s="11"/>
      <c r="G417" s="11"/>
      <c r="H417" s="36"/>
      <c r="I417" s="36"/>
      <c r="J417" s="36"/>
      <c r="K417" s="36"/>
      <c r="L417" s="36"/>
      <c r="M417" s="36"/>
      <c r="N417" s="36"/>
      <c r="O417" s="10"/>
      <c r="P417" s="10"/>
      <c r="Q417" s="9"/>
      <c r="R417" s="9"/>
      <c r="S417" s="13"/>
      <c r="T417" s="35"/>
      <c r="U417" s="35"/>
      <c r="V417" s="35"/>
      <c r="W417" s="35"/>
      <c r="X417" s="9"/>
      <c r="Y417" s="35"/>
      <c r="Z417" s="9"/>
      <c r="AA417" s="9"/>
    </row>
    <row r="418" spans="1:27" s="62" customFormat="1" x14ac:dyDescent="0.25">
      <c r="A418" s="9"/>
      <c r="B418" s="10"/>
      <c r="C418" s="2"/>
      <c r="D418" s="12"/>
      <c r="E418" s="10"/>
      <c r="F418" s="11"/>
      <c r="G418" s="11"/>
      <c r="H418" s="36"/>
      <c r="I418" s="36"/>
      <c r="J418" s="36"/>
      <c r="K418" s="36"/>
      <c r="L418" s="36"/>
      <c r="M418" s="36"/>
      <c r="N418" s="36"/>
      <c r="O418" s="10"/>
      <c r="P418" s="10"/>
      <c r="Q418" s="9"/>
      <c r="R418" s="9"/>
      <c r="S418" s="13"/>
      <c r="T418" s="35"/>
      <c r="U418" s="35"/>
      <c r="V418" s="35"/>
      <c r="W418" s="35"/>
      <c r="X418" s="9"/>
      <c r="Y418" s="35"/>
      <c r="Z418" s="9"/>
      <c r="AA418" s="9"/>
    </row>
    <row r="419" spans="1:27" s="62" customFormat="1" x14ac:dyDescent="0.25">
      <c r="A419" s="9"/>
      <c r="B419" s="10"/>
      <c r="C419" s="2"/>
      <c r="D419" s="12"/>
      <c r="E419" s="10"/>
      <c r="F419" s="11"/>
      <c r="G419" s="11"/>
      <c r="H419" s="36"/>
      <c r="I419" s="36"/>
      <c r="J419" s="36"/>
      <c r="K419" s="36"/>
      <c r="L419" s="36"/>
      <c r="M419" s="36"/>
      <c r="N419" s="36"/>
      <c r="O419" s="10"/>
      <c r="P419" s="10"/>
      <c r="Q419" s="9"/>
      <c r="R419" s="9"/>
      <c r="S419" s="13"/>
      <c r="T419" s="35"/>
      <c r="U419" s="35"/>
      <c r="V419" s="35"/>
      <c r="W419" s="35"/>
      <c r="X419" s="9"/>
      <c r="Y419" s="35"/>
      <c r="Z419" s="9"/>
      <c r="AA419" s="9"/>
    </row>
    <row r="420" spans="1:27" s="62" customFormat="1" x14ac:dyDescent="0.25">
      <c r="A420" s="9"/>
      <c r="B420" s="10"/>
      <c r="C420" s="2"/>
      <c r="D420" s="12"/>
      <c r="E420" s="10"/>
      <c r="F420" s="11"/>
      <c r="G420" s="11"/>
      <c r="H420" s="36"/>
      <c r="I420" s="36"/>
      <c r="J420" s="36"/>
      <c r="K420" s="36"/>
      <c r="L420" s="36"/>
      <c r="M420" s="36"/>
      <c r="N420" s="36"/>
      <c r="O420" s="10"/>
      <c r="P420" s="10"/>
      <c r="Q420" s="9"/>
      <c r="R420" s="9"/>
      <c r="S420" s="13"/>
      <c r="T420" s="35"/>
      <c r="U420" s="35"/>
      <c r="V420" s="35"/>
      <c r="W420" s="35"/>
      <c r="X420" s="9"/>
      <c r="Y420" s="35"/>
      <c r="Z420" s="9"/>
      <c r="AA420" s="9"/>
    </row>
    <row r="421" spans="1:27" s="62" customFormat="1" x14ac:dyDescent="0.25">
      <c r="A421" s="9"/>
      <c r="B421" s="10"/>
      <c r="C421" s="2"/>
      <c r="D421" s="12"/>
      <c r="E421" s="10"/>
      <c r="F421" s="11"/>
      <c r="G421" s="11"/>
      <c r="H421" s="36"/>
      <c r="I421" s="36"/>
      <c r="J421" s="36"/>
      <c r="K421" s="36"/>
      <c r="L421" s="36"/>
      <c r="M421" s="36"/>
      <c r="N421" s="36"/>
      <c r="O421" s="10"/>
      <c r="P421" s="10"/>
      <c r="Q421" s="9"/>
      <c r="R421" s="9"/>
      <c r="S421" s="13"/>
      <c r="T421" s="35"/>
      <c r="U421" s="35"/>
      <c r="V421" s="35"/>
      <c r="W421" s="35"/>
      <c r="X421" s="9"/>
      <c r="Y421" s="35"/>
      <c r="Z421" s="9"/>
      <c r="AA421" s="9"/>
    </row>
    <row r="422" spans="1:27" s="62" customFormat="1" x14ac:dyDescent="0.25">
      <c r="A422" s="9"/>
      <c r="B422" s="10"/>
      <c r="C422" s="2"/>
      <c r="D422" s="12"/>
      <c r="E422" s="10"/>
      <c r="F422" s="11"/>
      <c r="G422" s="11"/>
      <c r="H422" s="36"/>
      <c r="I422" s="36"/>
      <c r="J422" s="36"/>
      <c r="K422" s="36"/>
      <c r="L422" s="36"/>
      <c r="M422" s="36"/>
      <c r="N422" s="36"/>
      <c r="O422" s="10"/>
      <c r="P422" s="10"/>
      <c r="Q422" s="9"/>
      <c r="R422" s="9"/>
      <c r="S422" s="13"/>
      <c r="T422" s="35"/>
      <c r="U422" s="35"/>
      <c r="V422" s="35"/>
      <c r="W422" s="35"/>
      <c r="X422" s="9"/>
      <c r="Y422" s="35"/>
      <c r="Z422" s="9"/>
      <c r="AA422" s="9"/>
    </row>
    <row r="423" spans="1:27" s="62" customFormat="1" x14ac:dyDescent="0.25">
      <c r="A423" s="9"/>
      <c r="B423" s="10"/>
      <c r="C423" s="2"/>
      <c r="D423" s="12"/>
      <c r="E423" s="10"/>
      <c r="F423" s="11"/>
      <c r="G423" s="11"/>
      <c r="H423" s="36"/>
      <c r="I423" s="36"/>
      <c r="J423" s="36"/>
      <c r="K423" s="36"/>
      <c r="L423" s="36"/>
      <c r="M423" s="36"/>
      <c r="N423" s="36"/>
      <c r="O423" s="10"/>
      <c r="P423" s="10"/>
      <c r="Q423" s="9"/>
      <c r="R423" s="9"/>
      <c r="S423" s="13"/>
      <c r="T423" s="35"/>
      <c r="U423" s="35"/>
      <c r="V423" s="35"/>
      <c r="W423" s="35"/>
      <c r="X423" s="9"/>
      <c r="Y423" s="35"/>
      <c r="Z423" s="9"/>
      <c r="AA423" s="9"/>
    </row>
    <row r="424" spans="1:27" s="62" customFormat="1" x14ac:dyDescent="0.25">
      <c r="A424" s="9"/>
      <c r="B424" s="10"/>
      <c r="C424" s="2"/>
      <c r="D424" s="12"/>
      <c r="E424" s="10"/>
      <c r="F424" s="11"/>
      <c r="G424" s="11"/>
      <c r="H424" s="36"/>
      <c r="I424" s="36"/>
      <c r="J424" s="36"/>
      <c r="K424" s="36"/>
      <c r="L424" s="36"/>
      <c r="M424" s="36"/>
      <c r="N424" s="36"/>
      <c r="O424" s="10"/>
      <c r="P424" s="10"/>
      <c r="Q424" s="9"/>
      <c r="R424" s="9"/>
      <c r="S424" s="13"/>
      <c r="T424" s="35"/>
      <c r="U424" s="35"/>
      <c r="V424" s="35"/>
      <c r="W424" s="35"/>
      <c r="X424" s="9"/>
      <c r="Y424" s="35"/>
      <c r="Z424" s="9"/>
      <c r="AA424" s="9"/>
    </row>
    <row r="425" spans="1:27" s="62" customFormat="1" x14ac:dyDescent="0.25">
      <c r="A425" s="9"/>
      <c r="B425" s="10"/>
      <c r="C425" s="2"/>
      <c r="D425" s="12"/>
      <c r="E425" s="10"/>
      <c r="F425" s="11"/>
      <c r="G425" s="11"/>
      <c r="H425" s="36"/>
      <c r="I425" s="36"/>
      <c r="J425" s="36"/>
      <c r="K425" s="36"/>
      <c r="L425" s="36"/>
      <c r="M425" s="36"/>
      <c r="N425" s="36"/>
      <c r="O425" s="10"/>
      <c r="P425" s="10"/>
      <c r="Q425" s="9"/>
      <c r="R425" s="9"/>
      <c r="S425" s="13"/>
      <c r="T425" s="35"/>
      <c r="U425" s="35"/>
      <c r="V425" s="35"/>
      <c r="W425" s="35"/>
      <c r="X425" s="9"/>
      <c r="Y425" s="35"/>
      <c r="Z425" s="9"/>
      <c r="AA425" s="9"/>
    </row>
    <row r="426" spans="1:27" s="62" customFormat="1" x14ac:dyDescent="0.25">
      <c r="A426" s="9"/>
      <c r="B426" s="10"/>
      <c r="C426" s="2"/>
      <c r="D426" s="12"/>
      <c r="E426" s="10"/>
      <c r="F426" s="11"/>
      <c r="G426" s="11"/>
      <c r="H426" s="36"/>
      <c r="I426" s="36"/>
      <c r="J426" s="36"/>
      <c r="K426" s="36"/>
      <c r="L426" s="36"/>
      <c r="M426" s="36"/>
      <c r="N426" s="36"/>
      <c r="O426" s="10"/>
      <c r="P426" s="10"/>
      <c r="Q426" s="9"/>
      <c r="R426" s="9"/>
      <c r="S426" s="13"/>
      <c r="T426" s="35"/>
      <c r="U426" s="35"/>
      <c r="V426" s="35"/>
      <c r="W426" s="35"/>
      <c r="X426" s="9"/>
      <c r="Y426" s="35"/>
      <c r="Z426" s="9"/>
      <c r="AA426" s="9"/>
    </row>
    <row r="427" spans="1:27" s="62" customFormat="1" x14ac:dyDescent="0.25">
      <c r="A427" s="9"/>
      <c r="B427" s="10"/>
      <c r="C427" s="2"/>
      <c r="D427" s="12"/>
      <c r="E427" s="10"/>
      <c r="F427" s="11"/>
      <c r="G427" s="11"/>
      <c r="H427" s="36"/>
      <c r="I427" s="36"/>
      <c r="J427" s="36"/>
      <c r="K427" s="36"/>
      <c r="L427" s="36"/>
      <c r="M427" s="36"/>
      <c r="N427" s="36"/>
      <c r="O427" s="10"/>
      <c r="P427" s="10"/>
      <c r="Q427" s="9"/>
      <c r="R427" s="9"/>
      <c r="S427" s="13"/>
      <c r="T427" s="35"/>
      <c r="U427" s="35"/>
      <c r="V427" s="35"/>
      <c r="W427" s="35"/>
      <c r="X427" s="9"/>
      <c r="Y427" s="35"/>
      <c r="Z427" s="9"/>
      <c r="AA427" s="9"/>
    </row>
    <row r="428" spans="1:27" s="62" customFormat="1" x14ac:dyDescent="0.25">
      <c r="A428" s="9"/>
      <c r="B428" s="10"/>
      <c r="C428" s="2"/>
      <c r="D428" s="12"/>
      <c r="E428" s="10"/>
      <c r="F428" s="11"/>
      <c r="G428" s="11"/>
      <c r="H428" s="36"/>
      <c r="I428" s="36"/>
      <c r="J428" s="36"/>
      <c r="K428" s="36"/>
      <c r="L428" s="36"/>
      <c r="M428" s="36"/>
      <c r="N428" s="36"/>
      <c r="O428" s="10"/>
      <c r="P428" s="10"/>
      <c r="Q428" s="9"/>
      <c r="R428" s="9"/>
      <c r="S428" s="13"/>
      <c r="T428" s="35"/>
      <c r="U428" s="35"/>
      <c r="V428" s="35"/>
      <c r="W428" s="35"/>
      <c r="X428" s="9"/>
      <c r="Y428" s="35"/>
      <c r="Z428" s="9"/>
      <c r="AA428" s="9"/>
    </row>
    <row r="429" spans="1:27" s="62" customFormat="1" x14ac:dyDescent="0.25">
      <c r="A429" s="9"/>
      <c r="B429" s="10"/>
      <c r="C429" s="2"/>
      <c r="D429" s="12"/>
      <c r="E429" s="10"/>
      <c r="F429" s="11"/>
      <c r="G429" s="11"/>
      <c r="H429" s="36"/>
      <c r="I429" s="36"/>
      <c r="J429" s="36"/>
      <c r="K429" s="36"/>
      <c r="L429" s="36"/>
      <c r="M429" s="36"/>
      <c r="N429" s="36"/>
      <c r="O429" s="10"/>
      <c r="P429" s="10"/>
      <c r="Q429" s="9"/>
      <c r="R429" s="9"/>
      <c r="S429" s="13"/>
      <c r="T429" s="35"/>
      <c r="U429" s="35"/>
      <c r="V429" s="35"/>
      <c r="W429" s="35"/>
      <c r="X429" s="9"/>
      <c r="Y429" s="35"/>
      <c r="Z429" s="9"/>
      <c r="AA429" s="9"/>
    </row>
    <row r="430" spans="1:27" s="62" customFormat="1" x14ac:dyDescent="0.25">
      <c r="A430" s="9"/>
      <c r="B430" s="10"/>
      <c r="C430" s="2"/>
      <c r="D430" s="12"/>
      <c r="E430" s="10"/>
      <c r="F430" s="11"/>
      <c r="G430" s="11"/>
      <c r="H430" s="36"/>
      <c r="I430" s="36"/>
      <c r="J430" s="36"/>
      <c r="K430" s="36"/>
      <c r="L430" s="36"/>
      <c r="M430" s="36"/>
      <c r="N430" s="36"/>
      <c r="O430" s="10"/>
      <c r="P430" s="10"/>
      <c r="Q430" s="9"/>
      <c r="R430" s="9"/>
      <c r="S430" s="13"/>
      <c r="T430" s="35"/>
      <c r="U430" s="35"/>
      <c r="V430" s="35"/>
      <c r="W430" s="35"/>
      <c r="X430" s="9"/>
      <c r="Y430" s="35"/>
      <c r="Z430" s="9"/>
      <c r="AA430" s="9"/>
    </row>
    <row r="431" spans="1:27" s="62" customFormat="1" x14ac:dyDescent="0.25">
      <c r="A431" s="9"/>
      <c r="B431" s="10"/>
      <c r="C431" s="2"/>
      <c r="D431" s="12"/>
      <c r="E431" s="10"/>
      <c r="F431" s="11"/>
      <c r="G431" s="11"/>
      <c r="H431" s="36"/>
      <c r="I431" s="36"/>
      <c r="J431" s="36"/>
      <c r="K431" s="36"/>
      <c r="L431" s="36"/>
      <c r="M431" s="36"/>
      <c r="N431" s="36"/>
      <c r="O431" s="10"/>
      <c r="P431" s="10"/>
      <c r="Q431" s="9"/>
      <c r="R431" s="9"/>
      <c r="S431" s="13"/>
      <c r="T431" s="35"/>
      <c r="U431" s="35"/>
      <c r="V431" s="35"/>
      <c r="W431" s="35"/>
      <c r="X431" s="9"/>
      <c r="Y431" s="35"/>
      <c r="Z431" s="9"/>
      <c r="AA431" s="9"/>
    </row>
    <row r="432" spans="1:27" s="62" customFormat="1" x14ac:dyDescent="0.25">
      <c r="A432" s="9"/>
      <c r="B432" s="10"/>
      <c r="C432" s="2"/>
      <c r="D432" s="12"/>
      <c r="E432" s="10"/>
      <c r="F432" s="11"/>
      <c r="G432" s="11"/>
      <c r="H432" s="36"/>
      <c r="I432" s="36"/>
      <c r="J432" s="36"/>
      <c r="K432" s="36"/>
      <c r="L432" s="36"/>
      <c r="M432" s="36"/>
      <c r="N432" s="36"/>
      <c r="O432" s="10"/>
      <c r="P432" s="10"/>
      <c r="Q432" s="9"/>
      <c r="R432" s="9"/>
      <c r="S432" s="13"/>
      <c r="T432" s="35"/>
      <c r="U432" s="35"/>
      <c r="V432" s="35"/>
      <c r="W432" s="35"/>
      <c r="X432" s="9"/>
      <c r="Y432" s="35"/>
      <c r="Z432" s="9"/>
      <c r="AA432" s="9"/>
    </row>
    <row r="433" spans="1:27" s="62" customFormat="1" x14ac:dyDescent="0.25">
      <c r="A433" s="9"/>
      <c r="B433" s="10"/>
      <c r="C433" s="2"/>
      <c r="D433" s="12"/>
      <c r="E433" s="10"/>
      <c r="F433" s="11"/>
      <c r="G433" s="11"/>
      <c r="H433" s="36"/>
      <c r="I433" s="36"/>
      <c r="J433" s="36"/>
      <c r="K433" s="36"/>
      <c r="L433" s="36"/>
      <c r="M433" s="36"/>
      <c r="N433" s="36"/>
      <c r="O433" s="10"/>
      <c r="P433" s="10"/>
      <c r="Q433" s="9"/>
      <c r="R433" s="9"/>
      <c r="S433" s="13"/>
      <c r="T433" s="35"/>
      <c r="U433" s="35"/>
      <c r="V433" s="35"/>
      <c r="W433" s="35"/>
      <c r="X433" s="9"/>
      <c r="Y433" s="35"/>
      <c r="Z433" s="9"/>
      <c r="AA433" s="9"/>
    </row>
    <row r="434" spans="1:27" s="62" customFormat="1" x14ac:dyDescent="0.25">
      <c r="A434" s="9"/>
      <c r="B434" s="10"/>
      <c r="C434" s="2"/>
      <c r="D434" s="12"/>
      <c r="E434" s="10"/>
      <c r="F434" s="11"/>
      <c r="G434" s="11"/>
      <c r="H434" s="36"/>
      <c r="I434" s="36"/>
      <c r="J434" s="36"/>
      <c r="K434" s="36"/>
      <c r="L434" s="36"/>
      <c r="M434" s="36"/>
      <c r="N434" s="36"/>
      <c r="O434" s="10"/>
      <c r="P434" s="10"/>
      <c r="Q434" s="9"/>
      <c r="R434" s="9"/>
      <c r="S434" s="13"/>
      <c r="T434" s="35"/>
      <c r="U434" s="35"/>
      <c r="V434" s="35"/>
      <c r="W434" s="35"/>
      <c r="X434" s="9"/>
      <c r="Y434" s="35"/>
      <c r="Z434" s="9"/>
      <c r="AA434" s="9"/>
    </row>
    <row r="435" spans="1:27" s="62" customFormat="1" x14ac:dyDescent="0.25">
      <c r="A435" s="9"/>
      <c r="B435" s="10"/>
      <c r="C435" s="2"/>
      <c r="D435" s="12"/>
      <c r="E435" s="10"/>
      <c r="F435" s="11"/>
      <c r="G435" s="11"/>
      <c r="H435" s="36"/>
      <c r="I435" s="36"/>
      <c r="J435" s="36"/>
      <c r="K435" s="36"/>
      <c r="L435" s="36"/>
      <c r="M435" s="36"/>
      <c r="N435" s="36"/>
      <c r="O435" s="10"/>
      <c r="P435" s="10"/>
      <c r="Q435" s="9"/>
      <c r="R435" s="9"/>
      <c r="S435" s="13"/>
      <c r="T435" s="35"/>
      <c r="U435" s="35"/>
      <c r="V435" s="35"/>
      <c r="W435" s="35"/>
      <c r="X435" s="9"/>
      <c r="Y435" s="35"/>
      <c r="Z435" s="9"/>
      <c r="AA435" s="9"/>
    </row>
    <row r="436" spans="1:27" s="62" customFormat="1" x14ac:dyDescent="0.25">
      <c r="A436" s="9"/>
      <c r="B436" s="10"/>
      <c r="C436" s="2"/>
      <c r="D436" s="12"/>
      <c r="E436" s="10"/>
      <c r="F436" s="11"/>
      <c r="G436" s="11"/>
      <c r="H436" s="36"/>
      <c r="I436" s="36"/>
      <c r="J436" s="36"/>
      <c r="K436" s="36"/>
      <c r="L436" s="36"/>
      <c r="M436" s="36"/>
      <c r="N436" s="36"/>
      <c r="O436" s="10"/>
      <c r="P436" s="10"/>
      <c r="Q436" s="9"/>
      <c r="R436" s="9"/>
      <c r="S436" s="13"/>
      <c r="T436" s="35"/>
      <c r="U436" s="35"/>
      <c r="V436" s="35"/>
      <c r="W436" s="35"/>
      <c r="X436" s="9"/>
      <c r="Y436" s="35"/>
      <c r="Z436" s="9"/>
      <c r="AA436" s="9"/>
    </row>
    <row r="437" spans="1:27" s="62" customFormat="1" x14ac:dyDescent="0.25">
      <c r="A437" s="9"/>
      <c r="B437" s="10"/>
      <c r="C437" s="2"/>
      <c r="D437" s="12"/>
      <c r="E437" s="10"/>
      <c r="F437" s="11"/>
      <c r="G437" s="11"/>
      <c r="H437" s="36"/>
      <c r="I437" s="36"/>
      <c r="J437" s="36"/>
      <c r="K437" s="36"/>
      <c r="L437" s="36"/>
      <c r="M437" s="36"/>
      <c r="N437" s="36"/>
      <c r="O437" s="10"/>
      <c r="P437" s="10"/>
      <c r="Q437" s="9"/>
      <c r="R437" s="9"/>
      <c r="S437" s="13"/>
      <c r="T437" s="35"/>
      <c r="U437" s="35"/>
      <c r="V437" s="35"/>
      <c r="W437" s="35"/>
      <c r="X437" s="9"/>
      <c r="Y437" s="35"/>
      <c r="Z437" s="9"/>
      <c r="AA437" s="9"/>
    </row>
    <row r="438" spans="1:27" s="62" customFormat="1" x14ac:dyDescent="0.25">
      <c r="A438" s="9"/>
      <c r="B438" s="10"/>
      <c r="C438" s="2"/>
      <c r="D438" s="12"/>
      <c r="E438" s="10"/>
      <c r="F438" s="11"/>
      <c r="G438" s="11"/>
      <c r="H438" s="36"/>
      <c r="I438" s="36"/>
      <c r="J438" s="36"/>
      <c r="K438" s="36"/>
      <c r="L438" s="36"/>
      <c r="M438" s="36"/>
      <c r="N438" s="36"/>
      <c r="O438" s="10"/>
      <c r="P438" s="10"/>
      <c r="Q438" s="9"/>
      <c r="R438" s="9"/>
      <c r="S438" s="13"/>
      <c r="T438" s="35"/>
      <c r="U438" s="35"/>
      <c r="V438" s="35"/>
      <c r="W438" s="35"/>
      <c r="X438" s="9"/>
      <c r="Y438" s="35"/>
      <c r="Z438" s="9"/>
      <c r="AA438" s="9"/>
    </row>
    <row r="439" spans="1:27" s="62" customFormat="1" x14ac:dyDescent="0.25">
      <c r="A439" s="9"/>
      <c r="B439" s="10"/>
      <c r="C439" s="2"/>
      <c r="D439" s="12"/>
      <c r="E439" s="10"/>
      <c r="F439" s="11"/>
      <c r="G439" s="11"/>
      <c r="H439" s="36"/>
      <c r="I439" s="36"/>
      <c r="J439" s="36"/>
      <c r="K439" s="36"/>
      <c r="L439" s="36"/>
      <c r="M439" s="36"/>
      <c r="N439" s="36"/>
      <c r="O439" s="10"/>
      <c r="P439" s="10"/>
      <c r="Q439" s="9"/>
      <c r="R439" s="9"/>
      <c r="S439" s="13"/>
      <c r="T439" s="35"/>
      <c r="U439" s="35"/>
      <c r="V439" s="35"/>
      <c r="W439" s="35"/>
      <c r="X439" s="9"/>
      <c r="Y439" s="35"/>
      <c r="Z439" s="9"/>
      <c r="AA439" s="9"/>
    </row>
    <row r="440" spans="1:27" s="62" customFormat="1" x14ac:dyDescent="0.25">
      <c r="A440" s="9"/>
      <c r="B440" s="10"/>
      <c r="C440" s="2"/>
      <c r="D440" s="12"/>
      <c r="E440" s="10"/>
      <c r="F440" s="11"/>
      <c r="G440" s="11"/>
      <c r="H440" s="36"/>
      <c r="I440" s="36"/>
      <c r="J440" s="36"/>
      <c r="K440" s="36"/>
      <c r="L440" s="36"/>
      <c r="M440" s="36"/>
      <c r="N440" s="36"/>
      <c r="O440" s="10"/>
      <c r="P440" s="10"/>
      <c r="Q440" s="9"/>
      <c r="R440" s="9"/>
      <c r="S440" s="13"/>
      <c r="T440" s="35"/>
      <c r="U440" s="35"/>
      <c r="V440" s="35"/>
      <c r="W440" s="35"/>
      <c r="X440" s="9"/>
      <c r="Y440" s="35"/>
      <c r="Z440" s="9"/>
      <c r="AA440" s="9"/>
    </row>
    <row r="441" spans="1:27" s="62" customFormat="1" x14ac:dyDescent="0.25">
      <c r="A441" s="9"/>
      <c r="B441" s="10"/>
      <c r="C441" s="2"/>
      <c r="D441" s="12"/>
      <c r="E441" s="10"/>
      <c r="F441" s="11"/>
      <c r="G441" s="11"/>
      <c r="H441" s="36"/>
      <c r="I441" s="36"/>
      <c r="J441" s="36"/>
      <c r="K441" s="36"/>
      <c r="L441" s="36"/>
      <c r="M441" s="36"/>
      <c r="N441" s="36"/>
      <c r="O441" s="10"/>
      <c r="P441" s="10"/>
      <c r="Q441" s="9"/>
      <c r="R441" s="9"/>
      <c r="S441" s="13"/>
      <c r="T441" s="35"/>
      <c r="U441" s="35"/>
      <c r="V441" s="35"/>
      <c r="W441" s="35"/>
      <c r="X441" s="9"/>
      <c r="Y441" s="35"/>
      <c r="Z441" s="9"/>
      <c r="AA441" s="9"/>
    </row>
    <row r="442" spans="1:27" s="62" customFormat="1" x14ac:dyDescent="0.25">
      <c r="A442" s="9"/>
      <c r="B442" s="10"/>
      <c r="C442" s="2"/>
      <c r="D442" s="12"/>
      <c r="E442" s="10"/>
      <c r="F442" s="11"/>
      <c r="G442" s="11"/>
      <c r="H442" s="36"/>
      <c r="I442" s="36"/>
      <c r="J442" s="36"/>
      <c r="K442" s="36"/>
      <c r="L442" s="36"/>
      <c r="M442" s="36"/>
      <c r="N442" s="36"/>
      <c r="O442" s="10"/>
      <c r="P442" s="10"/>
      <c r="Q442" s="9"/>
      <c r="R442" s="9"/>
      <c r="S442" s="13"/>
      <c r="T442" s="35"/>
      <c r="U442" s="35"/>
      <c r="V442" s="35"/>
      <c r="W442" s="35"/>
      <c r="X442" s="9"/>
      <c r="Y442" s="35"/>
      <c r="Z442" s="9"/>
      <c r="AA442" s="9"/>
    </row>
    <row r="443" spans="1:27" s="62" customFormat="1" x14ac:dyDescent="0.25">
      <c r="A443" s="9"/>
      <c r="B443" s="10"/>
      <c r="C443" s="2"/>
      <c r="D443" s="12"/>
      <c r="E443" s="10"/>
      <c r="F443" s="11"/>
      <c r="G443" s="11"/>
      <c r="H443" s="36"/>
      <c r="I443" s="36"/>
      <c r="J443" s="36"/>
      <c r="K443" s="36"/>
      <c r="L443" s="36"/>
      <c r="M443" s="36"/>
      <c r="N443" s="36"/>
      <c r="O443" s="10"/>
      <c r="P443" s="10"/>
      <c r="Q443" s="9"/>
      <c r="R443" s="9"/>
      <c r="S443" s="13"/>
      <c r="T443" s="35"/>
      <c r="U443" s="35"/>
      <c r="V443" s="35"/>
      <c r="W443" s="35"/>
      <c r="X443" s="9"/>
      <c r="Y443" s="35"/>
      <c r="Z443" s="9"/>
      <c r="AA443" s="9"/>
    </row>
    <row r="444" spans="1:27" s="62" customFormat="1" x14ac:dyDescent="0.25">
      <c r="A444" s="9"/>
      <c r="B444" s="10"/>
      <c r="C444" s="2"/>
      <c r="D444" s="12"/>
      <c r="E444" s="10"/>
      <c r="F444" s="11"/>
      <c r="G444" s="11"/>
      <c r="H444" s="36"/>
      <c r="I444" s="36"/>
      <c r="J444" s="36"/>
      <c r="K444" s="36"/>
      <c r="L444" s="36"/>
      <c r="M444" s="36"/>
      <c r="N444" s="36"/>
      <c r="O444" s="10"/>
      <c r="P444" s="10"/>
      <c r="Q444" s="9"/>
      <c r="R444" s="9"/>
      <c r="S444" s="13"/>
      <c r="T444" s="35"/>
      <c r="U444" s="35"/>
      <c r="V444" s="35"/>
      <c r="W444" s="35"/>
      <c r="X444" s="9"/>
      <c r="Y444" s="35"/>
      <c r="Z444" s="9"/>
      <c r="AA444" s="9"/>
    </row>
    <row r="445" spans="1:27" s="62" customFormat="1" x14ac:dyDescent="0.25">
      <c r="A445" s="9"/>
      <c r="B445" s="10"/>
      <c r="C445" s="2"/>
      <c r="D445" s="12"/>
      <c r="E445" s="10"/>
      <c r="F445" s="11"/>
      <c r="G445" s="11"/>
      <c r="H445" s="36"/>
      <c r="I445" s="36"/>
      <c r="J445" s="36"/>
      <c r="K445" s="36"/>
      <c r="L445" s="36"/>
      <c r="M445" s="36"/>
      <c r="N445" s="36"/>
      <c r="O445" s="10"/>
      <c r="P445" s="10"/>
      <c r="Q445" s="9"/>
      <c r="R445" s="9"/>
      <c r="S445" s="13"/>
      <c r="T445" s="35"/>
      <c r="U445" s="35"/>
      <c r="V445" s="35"/>
      <c r="W445" s="35"/>
      <c r="X445" s="9"/>
      <c r="Y445" s="35"/>
      <c r="Z445" s="9"/>
      <c r="AA445" s="9"/>
    </row>
    <row r="446" spans="1:27" s="62" customFormat="1" x14ac:dyDescent="0.25">
      <c r="A446" s="9"/>
      <c r="B446" s="10"/>
      <c r="C446" s="2"/>
      <c r="D446" s="12"/>
      <c r="E446" s="10"/>
      <c r="F446" s="11"/>
      <c r="G446" s="11"/>
      <c r="H446" s="36"/>
      <c r="I446" s="36"/>
      <c r="J446" s="36"/>
      <c r="K446" s="36"/>
      <c r="L446" s="36"/>
      <c r="M446" s="36"/>
      <c r="N446" s="36"/>
      <c r="O446" s="10"/>
      <c r="P446" s="10"/>
      <c r="Q446" s="9"/>
      <c r="R446" s="9"/>
      <c r="S446" s="13"/>
      <c r="T446" s="35"/>
      <c r="U446" s="35"/>
      <c r="V446" s="35"/>
      <c r="W446" s="35"/>
      <c r="X446" s="9"/>
      <c r="Y446" s="35"/>
      <c r="Z446" s="9"/>
      <c r="AA446" s="9"/>
    </row>
    <row r="447" spans="1:27" s="62" customFormat="1" x14ac:dyDescent="0.25">
      <c r="A447" s="9"/>
      <c r="B447" s="10"/>
      <c r="C447" s="2"/>
      <c r="D447" s="12"/>
      <c r="E447" s="10"/>
      <c r="F447" s="11"/>
      <c r="G447" s="11"/>
      <c r="H447" s="36"/>
      <c r="I447" s="36"/>
      <c r="J447" s="36"/>
      <c r="K447" s="36"/>
      <c r="L447" s="36"/>
      <c r="M447" s="36"/>
      <c r="N447" s="36"/>
      <c r="O447" s="10"/>
      <c r="P447" s="10"/>
      <c r="Q447" s="9"/>
      <c r="R447" s="9"/>
      <c r="S447" s="13"/>
      <c r="T447" s="35"/>
      <c r="U447" s="35"/>
      <c r="V447" s="35"/>
      <c r="W447" s="35"/>
      <c r="X447" s="9"/>
      <c r="Y447" s="35"/>
      <c r="Z447" s="9"/>
      <c r="AA447" s="9"/>
    </row>
    <row r="448" spans="1:27" s="62" customFormat="1" x14ac:dyDescent="0.25">
      <c r="A448" s="9"/>
      <c r="B448" s="10"/>
      <c r="C448" s="2"/>
      <c r="D448" s="12"/>
      <c r="E448" s="10"/>
      <c r="F448" s="11"/>
      <c r="G448" s="11"/>
      <c r="H448" s="36"/>
      <c r="I448" s="36"/>
      <c r="J448" s="36"/>
      <c r="K448" s="36"/>
      <c r="L448" s="36"/>
      <c r="M448" s="36"/>
      <c r="N448" s="36"/>
      <c r="O448" s="10"/>
      <c r="P448" s="10"/>
      <c r="Q448" s="9"/>
      <c r="R448" s="9"/>
      <c r="S448" s="13"/>
      <c r="T448" s="35"/>
      <c r="U448" s="35"/>
      <c r="V448" s="35"/>
      <c r="W448" s="35"/>
      <c r="X448" s="9"/>
      <c r="Y448" s="35"/>
      <c r="Z448" s="9"/>
      <c r="AA448" s="9"/>
    </row>
    <row r="449" spans="1:27" s="62" customFormat="1" x14ac:dyDescent="0.25">
      <c r="A449" s="9"/>
      <c r="B449" s="10"/>
      <c r="C449" s="2"/>
      <c r="D449" s="12"/>
      <c r="E449" s="10"/>
      <c r="F449" s="11"/>
      <c r="G449" s="11"/>
      <c r="H449" s="36"/>
      <c r="I449" s="36"/>
      <c r="J449" s="36"/>
      <c r="K449" s="36"/>
      <c r="L449" s="36"/>
      <c r="M449" s="36"/>
      <c r="N449" s="36"/>
      <c r="O449" s="10"/>
      <c r="P449" s="10"/>
      <c r="Q449" s="9"/>
      <c r="R449" s="9"/>
      <c r="S449" s="13"/>
      <c r="T449" s="35"/>
      <c r="U449" s="35"/>
      <c r="V449" s="35"/>
      <c r="W449" s="35"/>
      <c r="X449" s="9"/>
      <c r="Y449" s="35"/>
      <c r="Z449" s="9"/>
      <c r="AA449" s="9"/>
    </row>
    <row r="450" spans="1:27" s="62" customFormat="1" x14ac:dyDescent="0.25">
      <c r="A450" s="9"/>
      <c r="B450" s="10"/>
      <c r="C450" s="2"/>
      <c r="D450" s="12"/>
      <c r="E450" s="10"/>
      <c r="F450" s="11"/>
      <c r="G450" s="11"/>
      <c r="H450" s="36"/>
      <c r="I450" s="36"/>
      <c r="J450" s="36"/>
      <c r="K450" s="36"/>
      <c r="L450" s="36"/>
      <c r="M450" s="36"/>
      <c r="N450" s="36"/>
      <c r="O450" s="10"/>
      <c r="P450" s="10"/>
      <c r="Q450" s="9"/>
      <c r="R450" s="9"/>
      <c r="S450" s="13"/>
      <c r="T450" s="35"/>
      <c r="U450" s="35"/>
      <c r="V450" s="35"/>
      <c r="W450" s="35"/>
      <c r="X450" s="9"/>
      <c r="Y450" s="35"/>
      <c r="Z450" s="9"/>
      <c r="AA450" s="9"/>
    </row>
    <row r="451" spans="1:27" s="62" customFormat="1" x14ac:dyDescent="0.25">
      <c r="A451" s="9"/>
      <c r="B451" s="10"/>
      <c r="C451" s="2"/>
      <c r="D451" s="12"/>
      <c r="E451" s="10"/>
      <c r="F451" s="11"/>
      <c r="G451" s="11"/>
      <c r="H451" s="36"/>
      <c r="I451" s="36"/>
      <c r="J451" s="36"/>
      <c r="K451" s="36"/>
      <c r="L451" s="36"/>
      <c r="M451" s="36"/>
      <c r="N451" s="36"/>
      <c r="O451" s="10"/>
      <c r="P451" s="10"/>
      <c r="Q451" s="9"/>
      <c r="R451" s="9"/>
      <c r="S451" s="13"/>
      <c r="T451" s="35"/>
      <c r="U451" s="35"/>
      <c r="V451" s="35"/>
      <c r="W451" s="35"/>
      <c r="X451" s="9"/>
      <c r="Y451" s="35"/>
      <c r="Z451" s="9"/>
      <c r="AA451" s="9"/>
    </row>
    <row r="452" spans="1:27" s="62" customFormat="1" x14ac:dyDescent="0.25">
      <c r="A452" s="9"/>
      <c r="B452" s="10"/>
      <c r="C452" s="2"/>
      <c r="D452" s="12"/>
      <c r="E452" s="10"/>
      <c r="F452" s="11"/>
      <c r="G452" s="11"/>
      <c r="H452" s="36"/>
      <c r="I452" s="36"/>
      <c r="J452" s="36"/>
      <c r="K452" s="36"/>
      <c r="L452" s="36"/>
      <c r="M452" s="36"/>
      <c r="N452" s="36"/>
      <c r="O452" s="10"/>
      <c r="P452" s="10"/>
      <c r="Q452" s="9"/>
      <c r="R452" s="9"/>
      <c r="S452" s="13"/>
      <c r="T452" s="35"/>
      <c r="U452" s="35"/>
      <c r="V452" s="35"/>
      <c r="W452" s="35"/>
      <c r="X452" s="9"/>
      <c r="Y452" s="35"/>
      <c r="Z452" s="9"/>
      <c r="AA452" s="9"/>
    </row>
    <row r="453" spans="1:27" s="62" customFormat="1" x14ac:dyDescent="0.25">
      <c r="A453" s="9"/>
      <c r="B453" s="10"/>
      <c r="C453" s="2"/>
      <c r="D453" s="12"/>
      <c r="E453" s="10"/>
      <c r="F453" s="11"/>
      <c r="G453" s="11"/>
      <c r="H453" s="36"/>
      <c r="I453" s="36"/>
      <c r="J453" s="36"/>
      <c r="K453" s="36"/>
      <c r="L453" s="36"/>
      <c r="M453" s="36"/>
      <c r="N453" s="36"/>
      <c r="O453" s="10"/>
      <c r="P453" s="10"/>
      <c r="Q453" s="9"/>
      <c r="R453" s="9"/>
      <c r="S453" s="13"/>
      <c r="T453" s="35"/>
      <c r="U453" s="35"/>
      <c r="V453" s="35"/>
      <c r="W453" s="35"/>
      <c r="X453" s="9"/>
      <c r="Y453" s="35"/>
      <c r="Z453" s="9"/>
      <c r="AA453" s="9"/>
    </row>
    <row r="454" spans="1:27" s="62" customFormat="1" x14ac:dyDescent="0.25">
      <c r="A454" s="9"/>
      <c r="B454" s="10"/>
      <c r="C454" s="2"/>
      <c r="D454" s="12"/>
      <c r="E454" s="10"/>
      <c r="F454" s="11"/>
      <c r="G454" s="11"/>
      <c r="H454" s="36"/>
      <c r="I454" s="36"/>
      <c r="J454" s="36"/>
      <c r="K454" s="36"/>
      <c r="L454" s="36"/>
      <c r="M454" s="36"/>
      <c r="N454" s="36"/>
      <c r="O454" s="10"/>
      <c r="P454" s="10"/>
      <c r="Q454" s="9"/>
      <c r="R454" s="9"/>
      <c r="S454" s="13"/>
      <c r="T454" s="35"/>
      <c r="U454" s="35"/>
      <c r="V454" s="35"/>
      <c r="W454" s="35"/>
      <c r="X454" s="9"/>
      <c r="Y454" s="35"/>
      <c r="Z454" s="9"/>
      <c r="AA454" s="9"/>
    </row>
    <row r="455" spans="1:27" s="62" customFormat="1" x14ac:dyDescent="0.25">
      <c r="A455" s="9"/>
      <c r="B455" s="10"/>
      <c r="C455" s="2"/>
      <c r="D455" s="12"/>
      <c r="E455" s="10"/>
      <c r="F455" s="11"/>
      <c r="G455" s="11"/>
      <c r="H455" s="36"/>
      <c r="I455" s="36"/>
      <c r="J455" s="36"/>
      <c r="K455" s="36"/>
      <c r="L455" s="36"/>
      <c r="M455" s="36"/>
      <c r="N455" s="36"/>
      <c r="O455" s="10"/>
      <c r="P455" s="10"/>
      <c r="Q455" s="9"/>
      <c r="R455" s="9"/>
      <c r="S455" s="13"/>
      <c r="T455" s="35"/>
      <c r="U455" s="35"/>
      <c r="V455" s="35"/>
      <c r="W455" s="35"/>
      <c r="X455" s="9"/>
      <c r="Y455" s="35"/>
      <c r="Z455" s="9"/>
      <c r="AA455" s="9"/>
    </row>
    <row r="456" spans="1:27" s="62" customFormat="1" x14ac:dyDescent="0.25">
      <c r="A456" s="9"/>
      <c r="B456" s="10"/>
      <c r="C456" s="2"/>
      <c r="D456" s="12"/>
      <c r="E456" s="10"/>
      <c r="F456" s="11"/>
      <c r="G456" s="11"/>
      <c r="H456" s="36"/>
      <c r="I456" s="36"/>
      <c r="J456" s="36"/>
      <c r="K456" s="36"/>
      <c r="L456" s="36"/>
      <c r="M456" s="36"/>
      <c r="N456" s="36"/>
      <c r="O456" s="10"/>
      <c r="P456" s="10"/>
      <c r="Q456" s="9"/>
      <c r="R456" s="9"/>
      <c r="S456" s="13"/>
      <c r="T456" s="35"/>
      <c r="U456" s="35"/>
      <c r="V456" s="35"/>
      <c r="W456" s="35"/>
      <c r="X456" s="9"/>
      <c r="Y456" s="35"/>
      <c r="Z456" s="9"/>
      <c r="AA456" s="9"/>
    </row>
    <row r="457" spans="1:27" s="62" customFormat="1" x14ac:dyDescent="0.25">
      <c r="A457" s="9"/>
      <c r="B457" s="10"/>
      <c r="C457" s="2"/>
      <c r="D457" s="12"/>
      <c r="E457" s="10"/>
      <c r="F457" s="11"/>
      <c r="G457" s="11"/>
      <c r="H457" s="36"/>
      <c r="I457" s="36"/>
      <c r="J457" s="36"/>
      <c r="K457" s="36"/>
      <c r="L457" s="36"/>
      <c r="M457" s="36"/>
      <c r="N457" s="36"/>
      <c r="O457" s="10"/>
      <c r="P457" s="10"/>
      <c r="Q457" s="9"/>
      <c r="R457" s="9"/>
      <c r="S457" s="13"/>
      <c r="T457" s="35"/>
      <c r="U457" s="35"/>
      <c r="V457" s="35"/>
      <c r="W457" s="35"/>
      <c r="X457" s="9"/>
      <c r="Y457" s="35"/>
      <c r="Z457" s="9"/>
      <c r="AA457" s="9"/>
    </row>
    <row r="458" spans="1:27" s="62" customFormat="1" x14ac:dyDescent="0.25">
      <c r="A458" s="9"/>
      <c r="B458" s="10"/>
      <c r="C458" s="2"/>
      <c r="D458" s="12"/>
      <c r="E458" s="10"/>
      <c r="F458" s="11"/>
      <c r="G458" s="11"/>
      <c r="H458" s="36"/>
      <c r="I458" s="36"/>
      <c r="J458" s="36"/>
      <c r="K458" s="36"/>
      <c r="L458" s="36"/>
      <c r="M458" s="36"/>
      <c r="N458" s="36"/>
      <c r="O458" s="10"/>
      <c r="P458" s="10"/>
      <c r="Q458" s="9"/>
      <c r="R458" s="9"/>
      <c r="S458" s="13"/>
      <c r="T458" s="35"/>
      <c r="U458" s="35"/>
      <c r="V458" s="35"/>
      <c r="W458" s="35"/>
      <c r="X458" s="9"/>
      <c r="Y458" s="35"/>
      <c r="Z458" s="9"/>
      <c r="AA458" s="9"/>
    </row>
    <row r="459" spans="1:27" s="62" customFormat="1" x14ac:dyDescent="0.25">
      <c r="A459" s="9"/>
      <c r="B459" s="10"/>
      <c r="C459" s="2"/>
      <c r="D459" s="12"/>
      <c r="E459" s="10"/>
      <c r="F459" s="11"/>
      <c r="G459" s="11"/>
      <c r="H459" s="36"/>
      <c r="I459" s="36"/>
      <c r="J459" s="36"/>
      <c r="K459" s="36"/>
      <c r="L459" s="36"/>
      <c r="M459" s="36"/>
      <c r="N459" s="36"/>
      <c r="O459" s="10"/>
      <c r="P459" s="10"/>
      <c r="Q459" s="9"/>
      <c r="R459" s="9"/>
      <c r="S459" s="13"/>
      <c r="T459" s="35"/>
      <c r="U459" s="35"/>
      <c r="V459" s="35"/>
      <c r="W459" s="35"/>
      <c r="X459" s="9"/>
      <c r="Y459" s="35"/>
      <c r="Z459" s="9"/>
      <c r="AA459" s="9"/>
    </row>
    <row r="460" spans="1:27" s="62" customFormat="1" x14ac:dyDescent="0.25">
      <c r="A460" s="9"/>
      <c r="B460" s="10"/>
      <c r="C460" s="2"/>
      <c r="D460" s="12"/>
      <c r="E460" s="10"/>
      <c r="F460" s="11"/>
      <c r="G460" s="11"/>
      <c r="H460" s="36"/>
      <c r="I460" s="36"/>
      <c r="J460" s="36"/>
      <c r="K460" s="36"/>
      <c r="L460" s="36"/>
      <c r="M460" s="36"/>
      <c r="N460" s="36"/>
      <c r="O460" s="10"/>
      <c r="P460" s="10"/>
      <c r="Q460" s="9"/>
      <c r="R460" s="9"/>
      <c r="S460" s="13"/>
      <c r="T460" s="35"/>
      <c r="U460" s="35"/>
      <c r="V460" s="35"/>
      <c r="W460" s="35"/>
      <c r="X460" s="9"/>
      <c r="Y460" s="35"/>
      <c r="Z460" s="9"/>
      <c r="AA460" s="9"/>
    </row>
    <row r="461" spans="1:27" s="62" customFormat="1" x14ac:dyDescent="0.25">
      <c r="A461" s="9"/>
      <c r="B461" s="10"/>
      <c r="C461" s="2"/>
      <c r="D461" s="12"/>
      <c r="E461" s="10"/>
      <c r="F461" s="11"/>
      <c r="G461" s="11"/>
      <c r="H461" s="36"/>
      <c r="I461" s="36"/>
      <c r="J461" s="36"/>
      <c r="K461" s="36"/>
      <c r="L461" s="36"/>
      <c r="M461" s="36"/>
      <c r="N461" s="36"/>
      <c r="O461" s="10"/>
      <c r="P461" s="10"/>
      <c r="Q461" s="9"/>
      <c r="R461" s="9"/>
      <c r="S461" s="13"/>
      <c r="T461" s="35"/>
      <c r="U461" s="35"/>
      <c r="V461" s="35"/>
      <c r="W461" s="35"/>
      <c r="X461" s="9"/>
      <c r="Y461" s="35"/>
      <c r="Z461" s="9"/>
      <c r="AA461" s="9"/>
    </row>
    <row r="462" spans="1:27" s="62" customFormat="1" x14ac:dyDescent="0.25">
      <c r="A462" s="9"/>
      <c r="B462" s="10"/>
      <c r="C462" s="2"/>
      <c r="D462" s="12"/>
      <c r="E462" s="10"/>
      <c r="F462" s="11"/>
      <c r="G462" s="11"/>
      <c r="H462" s="36"/>
      <c r="I462" s="36"/>
      <c r="J462" s="36"/>
      <c r="K462" s="36"/>
      <c r="L462" s="36"/>
      <c r="M462" s="36"/>
      <c r="N462" s="36"/>
      <c r="O462" s="10"/>
      <c r="P462" s="10"/>
      <c r="Q462" s="9"/>
      <c r="R462" s="9"/>
      <c r="S462" s="13"/>
      <c r="T462" s="35"/>
      <c r="U462" s="35"/>
      <c r="V462" s="35"/>
      <c r="W462" s="35"/>
      <c r="X462" s="9"/>
      <c r="Y462" s="35"/>
      <c r="Z462" s="9"/>
      <c r="AA462" s="9"/>
    </row>
    <row r="463" spans="1:27" s="62" customFormat="1" x14ac:dyDescent="0.25">
      <c r="A463" s="9"/>
      <c r="B463" s="10"/>
      <c r="C463" s="2"/>
      <c r="D463" s="12"/>
      <c r="E463" s="10"/>
      <c r="F463" s="11"/>
      <c r="G463" s="11"/>
      <c r="H463" s="36"/>
      <c r="I463" s="36"/>
      <c r="J463" s="36"/>
      <c r="K463" s="36"/>
      <c r="L463" s="36"/>
      <c r="M463" s="36"/>
      <c r="N463" s="36"/>
      <c r="O463" s="10"/>
      <c r="P463" s="10"/>
      <c r="Q463" s="9"/>
      <c r="R463" s="9"/>
      <c r="S463" s="13"/>
      <c r="T463" s="35"/>
      <c r="U463" s="35"/>
      <c r="V463" s="35"/>
      <c r="W463" s="35"/>
      <c r="X463" s="9"/>
      <c r="Y463" s="35"/>
      <c r="Z463" s="9"/>
      <c r="AA463" s="9"/>
    </row>
    <row r="464" spans="1:27" s="62" customFormat="1" x14ac:dyDescent="0.25">
      <c r="A464" s="9"/>
      <c r="B464" s="10"/>
      <c r="C464" s="2"/>
      <c r="D464" s="12"/>
      <c r="E464" s="10"/>
      <c r="F464" s="11"/>
      <c r="G464" s="11"/>
      <c r="H464" s="36"/>
      <c r="I464" s="36"/>
      <c r="J464" s="36"/>
      <c r="K464" s="36"/>
      <c r="L464" s="36"/>
      <c r="M464" s="36"/>
      <c r="N464" s="36"/>
      <c r="O464" s="10"/>
      <c r="P464" s="10"/>
      <c r="Q464" s="9"/>
      <c r="R464" s="9"/>
      <c r="S464" s="13"/>
      <c r="T464" s="35"/>
      <c r="U464" s="35"/>
      <c r="V464" s="35"/>
      <c r="W464" s="35"/>
      <c r="X464" s="9"/>
      <c r="Y464" s="35"/>
      <c r="Z464" s="9"/>
      <c r="AA464" s="9"/>
    </row>
    <row r="465" spans="1:27" s="62" customFormat="1" x14ac:dyDescent="0.25">
      <c r="A465" s="9"/>
      <c r="B465" s="10"/>
      <c r="C465" s="2"/>
      <c r="D465" s="12"/>
      <c r="E465" s="10"/>
      <c r="F465" s="11"/>
      <c r="G465" s="11"/>
      <c r="H465" s="36"/>
      <c r="I465" s="36"/>
      <c r="J465" s="36"/>
      <c r="K465" s="36"/>
      <c r="L465" s="36"/>
      <c r="M465" s="36"/>
      <c r="N465" s="36"/>
      <c r="O465" s="10"/>
      <c r="P465" s="10"/>
      <c r="Q465" s="9"/>
      <c r="R465" s="9"/>
      <c r="S465" s="13"/>
      <c r="T465" s="35"/>
      <c r="U465" s="35"/>
      <c r="V465" s="35"/>
      <c r="W465" s="35"/>
      <c r="X465" s="9"/>
      <c r="Y465" s="35"/>
      <c r="Z465" s="9"/>
      <c r="AA465" s="9"/>
    </row>
    <row r="466" spans="1:27" s="62" customFormat="1" x14ac:dyDescent="0.25">
      <c r="A466" s="9"/>
      <c r="B466" s="10"/>
      <c r="C466" s="2"/>
      <c r="D466" s="12"/>
      <c r="E466" s="10"/>
      <c r="F466" s="11"/>
      <c r="G466" s="11"/>
      <c r="H466" s="36"/>
      <c r="I466" s="36"/>
      <c r="J466" s="36"/>
      <c r="K466" s="36"/>
      <c r="L466" s="36"/>
      <c r="M466" s="36"/>
      <c r="N466" s="36"/>
      <c r="O466" s="10"/>
      <c r="P466" s="10"/>
      <c r="Q466" s="9"/>
      <c r="R466" s="9"/>
      <c r="S466" s="13"/>
      <c r="T466" s="35"/>
      <c r="U466" s="35"/>
      <c r="V466" s="35"/>
      <c r="W466" s="35"/>
      <c r="X466" s="9"/>
      <c r="Y466" s="35"/>
      <c r="Z466" s="9"/>
      <c r="AA466" s="9"/>
    </row>
    <row r="467" spans="1:27" s="62" customFormat="1" x14ac:dyDescent="0.25">
      <c r="A467" s="9"/>
      <c r="B467" s="10"/>
      <c r="C467" s="2"/>
      <c r="D467" s="12"/>
      <c r="E467" s="10"/>
      <c r="F467" s="11"/>
      <c r="G467" s="11"/>
      <c r="H467" s="36"/>
      <c r="I467" s="36"/>
      <c r="J467" s="36"/>
      <c r="K467" s="36"/>
      <c r="L467" s="36"/>
      <c r="M467" s="36"/>
      <c r="N467" s="36"/>
      <c r="O467" s="10"/>
      <c r="P467" s="10"/>
      <c r="Q467" s="9"/>
      <c r="R467" s="9"/>
      <c r="S467" s="13"/>
      <c r="T467" s="35"/>
      <c r="U467" s="35"/>
      <c r="V467" s="35"/>
      <c r="W467" s="35"/>
      <c r="X467" s="9"/>
      <c r="Y467" s="35"/>
      <c r="Z467" s="9"/>
      <c r="AA467" s="9"/>
    </row>
    <row r="468" spans="1:27" s="62" customFormat="1" x14ac:dyDescent="0.25">
      <c r="A468" s="9"/>
      <c r="B468" s="10"/>
      <c r="C468" s="2"/>
      <c r="D468" s="12"/>
      <c r="E468" s="10"/>
      <c r="F468" s="11"/>
      <c r="G468" s="11"/>
      <c r="H468" s="36"/>
      <c r="I468" s="36"/>
      <c r="J468" s="36"/>
      <c r="K468" s="36"/>
      <c r="L468" s="36"/>
      <c r="M468" s="36"/>
      <c r="N468" s="36"/>
      <c r="O468" s="10"/>
      <c r="P468" s="10"/>
      <c r="Q468" s="9"/>
      <c r="R468" s="9"/>
      <c r="S468" s="13"/>
      <c r="T468" s="35"/>
      <c r="U468" s="35"/>
      <c r="V468" s="35"/>
      <c r="W468" s="35"/>
      <c r="X468" s="9"/>
      <c r="Y468" s="35"/>
      <c r="Z468" s="9"/>
      <c r="AA468" s="9"/>
    </row>
    <row r="469" spans="1:27" s="62" customFormat="1" x14ac:dyDescent="0.25">
      <c r="A469" s="9"/>
      <c r="B469" s="10"/>
      <c r="C469" s="2"/>
      <c r="D469" s="12"/>
      <c r="E469" s="10"/>
      <c r="F469" s="11"/>
      <c r="G469" s="11"/>
      <c r="H469" s="36"/>
      <c r="I469" s="36"/>
      <c r="J469" s="36"/>
      <c r="K469" s="36"/>
      <c r="L469" s="36"/>
      <c r="M469" s="36"/>
      <c r="N469" s="36"/>
      <c r="O469" s="10"/>
      <c r="P469" s="10"/>
      <c r="Q469" s="9"/>
      <c r="R469" s="9"/>
      <c r="S469" s="13"/>
      <c r="T469" s="35"/>
      <c r="U469" s="35"/>
      <c r="V469" s="35"/>
      <c r="W469" s="35"/>
      <c r="X469" s="9"/>
      <c r="Y469" s="35"/>
      <c r="Z469" s="9"/>
      <c r="AA469" s="9"/>
    </row>
    <row r="470" spans="1:27" s="62" customFormat="1" x14ac:dyDescent="0.25">
      <c r="A470" s="9"/>
      <c r="B470" s="10"/>
      <c r="C470" s="2"/>
      <c r="D470" s="12"/>
      <c r="E470" s="10"/>
      <c r="F470" s="11"/>
      <c r="G470" s="11"/>
      <c r="H470" s="36"/>
      <c r="I470" s="36"/>
      <c r="J470" s="36"/>
      <c r="K470" s="36"/>
      <c r="L470" s="36"/>
      <c r="M470" s="36"/>
      <c r="N470" s="36"/>
      <c r="O470" s="10"/>
      <c r="P470" s="10"/>
      <c r="Q470" s="9"/>
      <c r="R470" s="9"/>
      <c r="S470" s="13"/>
      <c r="T470" s="35"/>
      <c r="U470" s="35"/>
      <c r="V470" s="35"/>
      <c r="W470" s="35"/>
      <c r="X470" s="9"/>
      <c r="Y470" s="35"/>
      <c r="Z470" s="9"/>
      <c r="AA470" s="9"/>
    </row>
    <row r="471" spans="1:27" s="62" customFormat="1" x14ac:dyDescent="0.25">
      <c r="A471" s="9"/>
      <c r="B471" s="10"/>
      <c r="C471" s="2"/>
      <c r="D471" s="12"/>
      <c r="E471" s="10"/>
      <c r="F471" s="11"/>
      <c r="G471" s="11"/>
      <c r="H471" s="36"/>
      <c r="I471" s="36"/>
      <c r="J471" s="36"/>
      <c r="K471" s="36"/>
      <c r="L471" s="36"/>
      <c r="M471" s="36"/>
      <c r="N471" s="36"/>
      <c r="O471" s="10"/>
      <c r="P471" s="10"/>
      <c r="Q471" s="9"/>
      <c r="R471" s="9"/>
      <c r="S471" s="13"/>
      <c r="T471" s="35"/>
      <c r="U471" s="35"/>
      <c r="V471" s="35"/>
      <c r="W471" s="35"/>
      <c r="X471" s="9"/>
      <c r="Y471" s="35"/>
      <c r="Z471" s="9"/>
      <c r="AA471" s="9"/>
    </row>
    <row r="472" spans="1:27" s="62" customFormat="1" x14ac:dyDescent="0.25">
      <c r="A472" s="9"/>
      <c r="B472" s="10"/>
      <c r="C472" s="2"/>
      <c r="D472" s="12"/>
      <c r="E472" s="10"/>
      <c r="F472" s="11"/>
      <c r="G472" s="11"/>
      <c r="H472" s="36"/>
      <c r="I472" s="36"/>
      <c r="J472" s="36"/>
      <c r="K472" s="36"/>
      <c r="L472" s="36"/>
      <c r="M472" s="36"/>
      <c r="N472" s="36"/>
      <c r="O472" s="10"/>
      <c r="P472" s="10"/>
      <c r="Q472" s="9"/>
      <c r="R472" s="9"/>
      <c r="S472" s="13"/>
      <c r="T472" s="35"/>
      <c r="U472" s="35"/>
      <c r="V472" s="35"/>
      <c r="W472" s="35"/>
      <c r="X472" s="9"/>
      <c r="Y472" s="35"/>
      <c r="Z472" s="9"/>
      <c r="AA472" s="9"/>
    </row>
    <row r="473" spans="1:27" s="62" customFormat="1" x14ac:dyDescent="0.25">
      <c r="A473" s="9"/>
      <c r="B473" s="10"/>
      <c r="C473" s="2"/>
      <c r="D473" s="12"/>
      <c r="E473" s="10"/>
      <c r="F473" s="11"/>
      <c r="G473" s="11"/>
      <c r="H473" s="36"/>
      <c r="I473" s="36"/>
      <c r="J473" s="36"/>
      <c r="K473" s="36"/>
      <c r="L473" s="36"/>
      <c r="M473" s="36"/>
      <c r="N473" s="36"/>
      <c r="O473" s="10"/>
      <c r="P473" s="10"/>
      <c r="Q473" s="9"/>
      <c r="R473" s="9"/>
      <c r="S473" s="13"/>
      <c r="T473" s="35"/>
      <c r="U473" s="35"/>
      <c r="V473" s="35"/>
      <c r="W473" s="35"/>
      <c r="X473" s="9"/>
      <c r="Y473" s="35"/>
      <c r="Z473" s="9"/>
      <c r="AA473" s="9"/>
    </row>
    <row r="474" spans="1:27" s="62" customFormat="1" x14ac:dyDescent="0.25">
      <c r="A474" s="9"/>
      <c r="B474" s="10"/>
      <c r="C474" s="2"/>
      <c r="D474" s="12"/>
      <c r="E474" s="10"/>
      <c r="F474" s="11"/>
      <c r="G474" s="11"/>
      <c r="H474" s="36"/>
      <c r="I474" s="36"/>
      <c r="J474" s="36"/>
      <c r="K474" s="36"/>
      <c r="L474" s="36"/>
      <c r="M474" s="36"/>
      <c r="N474" s="36"/>
      <c r="O474" s="10"/>
      <c r="P474" s="10"/>
      <c r="Q474" s="9"/>
      <c r="R474" s="9"/>
      <c r="S474" s="13"/>
      <c r="T474" s="35"/>
      <c r="U474" s="35"/>
      <c r="V474" s="35"/>
      <c r="W474" s="35"/>
      <c r="X474" s="9"/>
      <c r="Y474" s="35"/>
      <c r="Z474" s="9"/>
      <c r="AA474" s="9"/>
    </row>
    <row r="475" spans="1:27" s="62" customFormat="1" x14ac:dyDescent="0.25">
      <c r="A475" s="9"/>
      <c r="B475" s="10"/>
      <c r="C475" s="2"/>
      <c r="D475" s="12"/>
      <c r="E475" s="10"/>
      <c r="F475" s="11"/>
      <c r="G475" s="11"/>
      <c r="H475" s="36"/>
      <c r="I475" s="36"/>
      <c r="J475" s="36"/>
      <c r="K475" s="36"/>
      <c r="L475" s="36"/>
      <c r="M475" s="36"/>
      <c r="N475" s="36"/>
      <c r="O475" s="10"/>
      <c r="P475" s="10"/>
      <c r="Q475" s="9"/>
      <c r="R475" s="9"/>
      <c r="S475" s="13"/>
      <c r="T475" s="35"/>
      <c r="U475" s="35"/>
      <c r="V475" s="35"/>
      <c r="W475" s="35"/>
      <c r="X475" s="9"/>
      <c r="Y475" s="35"/>
      <c r="Z475" s="9"/>
      <c r="AA475" s="9"/>
    </row>
    <row r="476" spans="1:27" s="62" customFormat="1" x14ac:dyDescent="0.25">
      <c r="A476" s="9"/>
      <c r="B476" s="10"/>
      <c r="C476" s="2"/>
      <c r="D476" s="12"/>
      <c r="E476" s="10"/>
      <c r="F476" s="11"/>
      <c r="G476" s="11"/>
      <c r="H476" s="36"/>
      <c r="I476" s="36"/>
      <c r="J476" s="36"/>
      <c r="K476" s="36"/>
      <c r="L476" s="36"/>
      <c r="M476" s="36"/>
      <c r="N476" s="36"/>
      <c r="O476" s="10"/>
      <c r="P476" s="10"/>
      <c r="Q476" s="9"/>
      <c r="R476" s="9"/>
      <c r="S476" s="13"/>
      <c r="T476" s="35"/>
      <c r="U476" s="35"/>
      <c r="V476" s="35"/>
      <c r="W476" s="35"/>
      <c r="X476" s="9"/>
      <c r="Y476" s="35"/>
      <c r="Z476" s="9"/>
      <c r="AA476" s="9"/>
    </row>
    <row r="477" spans="1:27" s="62" customFormat="1" x14ac:dyDescent="0.25">
      <c r="A477" s="9"/>
      <c r="B477" s="10"/>
      <c r="C477" s="2"/>
      <c r="D477" s="12"/>
      <c r="E477" s="10"/>
      <c r="F477" s="11"/>
      <c r="G477" s="11"/>
      <c r="H477" s="36"/>
      <c r="I477" s="36"/>
      <c r="J477" s="36"/>
      <c r="K477" s="36"/>
      <c r="L477" s="36"/>
      <c r="M477" s="36"/>
      <c r="N477" s="36"/>
      <c r="O477" s="10"/>
      <c r="P477" s="10"/>
      <c r="Q477" s="9"/>
      <c r="R477" s="9"/>
      <c r="S477" s="13"/>
      <c r="T477" s="35"/>
      <c r="U477" s="35"/>
      <c r="V477" s="35"/>
      <c r="W477" s="35"/>
      <c r="X477" s="9"/>
      <c r="Y477" s="35"/>
      <c r="Z477" s="9"/>
      <c r="AA477" s="9"/>
    </row>
    <row r="478" spans="1:27" s="62" customFormat="1" x14ac:dyDescent="0.25">
      <c r="A478" s="9"/>
      <c r="B478" s="10"/>
      <c r="C478" s="2"/>
      <c r="D478" s="12"/>
      <c r="E478" s="10"/>
      <c r="F478" s="11"/>
      <c r="G478" s="11"/>
      <c r="H478" s="36"/>
      <c r="I478" s="36"/>
      <c r="J478" s="36"/>
      <c r="K478" s="36"/>
      <c r="L478" s="36"/>
      <c r="M478" s="36"/>
      <c r="N478" s="36"/>
      <c r="O478" s="10"/>
      <c r="P478" s="10"/>
      <c r="Q478" s="9"/>
      <c r="R478" s="9"/>
      <c r="S478" s="13"/>
      <c r="T478" s="35"/>
      <c r="U478" s="35"/>
      <c r="V478" s="35"/>
      <c r="W478" s="35"/>
      <c r="X478" s="9"/>
      <c r="Y478" s="35"/>
      <c r="Z478" s="9"/>
      <c r="AA478" s="9"/>
    </row>
    <row r="479" spans="1:27" s="62" customFormat="1" x14ac:dyDescent="0.25">
      <c r="A479" s="9"/>
      <c r="B479" s="10"/>
      <c r="C479" s="2"/>
      <c r="D479" s="12"/>
      <c r="E479" s="10"/>
      <c r="F479" s="11"/>
      <c r="G479" s="11"/>
      <c r="H479" s="36"/>
      <c r="I479" s="36"/>
      <c r="J479" s="36"/>
      <c r="K479" s="36"/>
      <c r="L479" s="36"/>
      <c r="M479" s="36"/>
      <c r="N479" s="36"/>
      <c r="O479" s="10"/>
      <c r="P479" s="10"/>
      <c r="Q479" s="9"/>
      <c r="R479" s="9"/>
      <c r="S479" s="13"/>
      <c r="T479" s="35"/>
      <c r="U479" s="35"/>
      <c r="V479" s="35"/>
      <c r="W479" s="35"/>
      <c r="X479" s="9"/>
      <c r="Y479" s="35"/>
      <c r="Z479" s="9"/>
      <c r="AA479" s="9"/>
    </row>
  </sheetData>
  <protectedRanges>
    <protectedRange algorithmName="SHA-512" hashValue="n6K25g9uzAcpntxjqTQaPVdKX1eij75CLB1gBuUNBybVL5B3VaxVW/Tcen54TXijIel0fCN9KO3xZiLZCJMSZw==" saltValue="89UdTK4UUElaUoKBccfOYw==" spinCount="100000" sqref="C3:D6" name="CIN CDP"/>
    <protectedRange algorithmName="SHA-512" hashValue="n6K25g9uzAcpntxjqTQaPVdKX1eij75CLB1gBuUNBybVL5B3VaxVW/Tcen54TXijIel0fCN9KO3xZiLZCJMSZw==" saltValue="89UdTK4UUElaUoKBccfOYw==" spinCount="100000" sqref="C7:D97" name="CIN CDP_1"/>
  </protectedRanges>
  <conditionalFormatting sqref="A45:A56">
    <cfRule type="expression" dxfId="647" priority="1">
      <formula>$T45="Benzick, Sue"</formula>
    </cfRule>
    <cfRule type="expression" dxfId="646" priority="2">
      <formula>$T45="Jenne, Richard"</formula>
    </cfRule>
    <cfRule type="expression" dxfId="645" priority="3">
      <formula>$T45="McQueen, Jennifer"</formula>
    </cfRule>
  </conditionalFormatting>
  <conditionalFormatting sqref="A8:B25 A26:A27 A29:B33 A35:B37">
    <cfRule type="expression" dxfId="644" priority="7">
      <formula>$T8="Benzick, Sue"</formula>
    </cfRule>
    <cfRule type="expression" dxfId="643" priority="8">
      <formula>$T8="Jenne, Richard"</formula>
    </cfRule>
    <cfRule type="expression" dxfId="642" priority="9">
      <formula>$T8="McQueen, Jennifer"</formula>
    </cfRule>
  </conditionalFormatting>
  <conditionalFormatting sqref="G7:I7 H8:I33 H34:N34 H35:I37 H38:N44 H45:I58 H59:N68 H69:I97">
    <cfRule type="expression" dxfId="641" priority="4">
      <formula>#REF!="Benzick, Sue"</formula>
    </cfRule>
    <cfRule type="expression" dxfId="640" priority="5">
      <formula>#REF!="Jenne, Richard"</formula>
    </cfRule>
    <cfRule type="expression" dxfId="639" priority="6">
      <formula>#REF!="McQueen, Jennifer"</formula>
    </cfRule>
  </conditionalFormatting>
  <conditionalFormatting sqref="J7:N33 T7:T97 J35:N37 J45:N58 J69:N97">
    <cfRule type="expression" dxfId="638" priority="10">
      <formula>$S7="Benzick, Sue"</formula>
    </cfRule>
    <cfRule type="expression" dxfId="637" priority="11">
      <formula>$S7="Jenne, Richard"</formula>
    </cfRule>
    <cfRule type="expression" dxfId="636" priority="12">
      <formula>$S7="McQueen, Jennifer"</formula>
    </cfRule>
  </conditionalFormatting>
  <conditionalFormatting sqref="Y7:Y97 W57:W97">
    <cfRule type="expression" dxfId="635" priority="13">
      <formula>$X7="Benzick, Sue"</formula>
    </cfRule>
    <cfRule type="expression" dxfId="634" priority="14">
      <formula>$X7="Jenne, Richard"</formula>
    </cfRule>
    <cfRule type="expression" dxfId="633" priority="15">
      <formula>$X7="McQueen, Jennifer"</formula>
    </cfRule>
  </conditionalFormatting>
  <dataValidations count="3">
    <dataValidation allowBlank="1" showInputMessage="1" showErrorMessage="1" sqref="S7:S97" xr:uid="{AA1F1B04-2B72-48BE-9F70-B5D4DE815519}"/>
    <dataValidation type="list" allowBlank="1" showInputMessage="1" showErrorMessage="1" sqref="B99:B105 B107:B377 B4:B97" xr:uid="{359F152B-43BF-4681-94C7-0882BE25B1CB}">
      <formula1>Class</formula1>
    </dataValidation>
    <dataValidation type="list" allowBlank="1" showInputMessage="1" showErrorMessage="1" sqref="O99:O321" xr:uid="{4F9173FD-9C9A-4C7E-BDE1-700B1F43FCBE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F3D5-DAA7-4486-84FD-CDCF9E55DC77}">
  <sheetPr>
    <pageSetUpPr fitToPage="1"/>
  </sheetPr>
  <dimension ref="A1:AA459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30.42578125" style="9" customWidth="1"/>
    <col min="2" max="2" width="46.85546875" style="10" customWidth="1"/>
    <col min="3" max="3" width="14.28515625" style="2" customWidth="1"/>
    <col min="4" max="4" width="16.28515625" style="12" customWidth="1"/>
    <col min="5" max="5" width="21.7109375" style="10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hidden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349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343</v>
      </c>
      <c r="B3" s="27" t="s">
        <v>63</v>
      </c>
      <c r="C3" s="27" t="s">
        <v>64</v>
      </c>
      <c r="D3" s="123" t="s">
        <v>350</v>
      </c>
      <c r="E3" s="27" t="s">
        <v>73</v>
      </c>
      <c r="F3" s="28" t="s">
        <v>351</v>
      </c>
      <c r="G3" s="28" t="s">
        <v>352</v>
      </c>
      <c r="H3" s="74" t="s">
        <v>353</v>
      </c>
      <c r="I3" s="74" t="s">
        <v>354</v>
      </c>
      <c r="J3" s="74" t="s">
        <v>355</v>
      </c>
      <c r="K3" s="74" t="s">
        <v>356</v>
      </c>
      <c r="L3" s="74" t="s">
        <v>357</v>
      </c>
      <c r="M3" s="74" t="s">
        <v>358</v>
      </c>
      <c r="N3" s="74" t="s">
        <v>359</v>
      </c>
      <c r="O3" s="27" t="s">
        <v>360</v>
      </c>
      <c r="P3" s="27" t="s">
        <v>361</v>
      </c>
      <c r="Q3" s="30" t="s">
        <v>66</v>
      </c>
      <c r="R3" s="30" t="s">
        <v>363</v>
      </c>
      <c r="S3" s="29" t="s">
        <v>367</v>
      </c>
      <c r="T3" s="29" t="s">
        <v>368</v>
      </c>
      <c r="U3" s="29" t="s">
        <v>13</v>
      </c>
      <c r="V3" s="29" t="s">
        <v>14</v>
      </c>
      <c r="W3" s="29" t="s">
        <v>369</v>
      </c>
      <c r="X3" s="29" t="s">
        <v>75</v>
      </c>
      <c r="Y3" s="29" t="s">
        <v>370</v>
      </c>
      <c r="Z3" s="29" t="s">
        <v>371</v>
      </c>
      <c r="AA3" s="29" t="s">
        <v>372</v>
      </c>
    </row>
    <row r="4" spans="1:27" s="106" customFormat="1" x14ac:dyDescent="0.25">
      <c r="A4" s="62"/>
      <c r="B4" s="99" t="s">
        <v>53</v>
      </c>
      <c r="C4" s="100" t="s">
        <v>228</v>
      </c>
      <c r="D4" s="100" t="s">
        <v>229</v>
      </c>
      <c r="E4" s="99" t="s">
        <v>91</v>
      </c>
      <c r="F4" s="102">
        <v>45789</v>
      </c>
      <c r="G4" s="102">
        <v>45793</v>
      </c>
      <c r="H4" s="105">
        <v>0.33333333333333331</v>
      </c>
      <c r="I4" s="101"/>
      <c r="J4" s="105"/>
      <c r="K4" s="105"/>
      <c r="L4" s="105"/>
      <c r="M4" s="105"/>
      <c r="N4" s="105"/>
      <c r="O4" s="99"/>
      <c r="P4" s="99"/>
      <c r="Q4" s="15">
        <v>30</v>
      </c>
      <c r="R4" s="15">
        <v>5</v>
      </c>
      <c r="S4" s="15"/>
      <c r="T4" s="103"/>
      <c r="U4" s="15"/>
      <c r="V4" s="15"/>
      <c r="W4" s="15"/>
      <c r="X4" s="99"/>
      <c r="Y4" s="71">
        <f ca="1">Table25[[#This Row],[End Date]]+2-TODAY()</f>
        <v>263</v>
      </c>
      <c r="Z4" s="15">
        <f>IF(ISBLANK(Table25[[#This Row],[Roster Received By]]),1,0)</f>
        <v>1</v>
      </c>
      <c r="AA4" s="15">
        <f ca="1">IF(Table25[[#This Row],[Start Date]]&gt;TODAY(),1,)</f>
        <v>1</v>
      </c>
    </row>
    <row r="5" spans="1:27" s="106" customFormat="1" x14ac:dyDescent="0.25">
      <c r="A5" s="62"/>
      <c r="B5" s="99" t="s">
        <v>53</v>
      </c>
      <c r="C5" s="100" t="s">
        <v>228</v>
      </c>
      <c r="D5" s="100" t="s">
        <v>229</v>
      </c>
      <c r="E5" s="99" t="s">
        <v>146</v>
      </c>
      <c r="F5" s="102">
        <v>45670</v>
      </c>
      <c r="G5" s="102">
        <v>45674</v>
      </c>
      <c r="H5" s="105">
        <v>0.33333333333333331</v>
      </c>
      <c r="I5" s="101"/>
      <c r="J5" s="105"/>
      <c r="K5" s="105"/>
      <c r="L5" s="105"/>
      <c r="M5" s="105"/>
      <c r="N5" s="105"/>
      <c r="O5" s="99"/>
      <c r="P5" s="99"/>
      <c r="Q5" s="15">
        <v>30</v>
      </c>
      <c r="R5" s="15">
        <v>5</v>
      </c>
      <c r="S5" s="15"/>
      <c r="T5" s="103"/>
      <c r="U5" s="15"/>
      <c r="V5" s="15"/>
      <c r="W5" s="15"/>
      <c r="X5" s="99"/>
      <c r="Y5" s="71">
        <f ca="1">Table25[[#This Row],[End Date]]+2-TODAY()</f>
        <v>144</v>
      </c>
      <c r="Z5" s="15">
        <f>IF(ISBLANK(Table25[[#This Row],[Roster Received By]]),1,0)</f>
        <v>1</v>
      </c>
      <c r="AA5" s="15">
        <f ca="1">IF(Table25[[#This Row],[Start Date]]&gt;TODAY(),1,)</f>
        <v>1</v>
      </c>
    </row>
    <row r="6" spans="1:27" s="106" customFormat="1" x14ac:dyDescent="0.25">
      <c r="A6" s="62"/>
      <c r="B6" s="99" t="s">
        <v>53</v>
      </c>
      <c r="C6" s="100" t="s">
        <v>228</v>
      </c>
      <c r="D6" s="100" t="s">
        <v>229</v>
      </c>
      <c r="E6" s="99" t="s">
        <v>161</v>
      </c>
      <c r="F6" s="102">
        <v>45894</v>
      </c>
      <c r="G6" s="102">
        <v>45898</v>
      </c>
      <c r="H6" s="105">
        <v>0.33333333333333331</v>
      </c>
      <c r="I6" s="105"/>
      <c r="J6" s="102"/>
      <c r="K6" s="102"/>
      <c r="L6" s="102"/>
      <c r="M6" s="102"/>
      <c r="N6" s="102"/>
      <c r="O6" s="99"/>
      <c r="P6" s="99"/>
      <c r="Q6" s="15">
        <v>30</v>
      </c>
      <c r="R6" s="15">
        <v>5</v>
      </c>
      <c r="S6" s="103"/>
      <c r="T6" s="103"/>
      <c r="U6" s="15"/>
      <c r="V6" s="15"/>
      <c r="W6" s="15"/>
      <c r="X6" s="99"/>
      <c r="Y6" s="71">
        <f ca="1">Table25[[#This Row],[End Date]]+2-TODAY()</f>
        <v>368</v>
      </c>
      <c r="Z6" s="15">
        <f>IF(ISBLANK(Table25[[#This Row],[Roster Received By]]),1,0)</f>
        <v>1</v>
      </c>
      <c r="AA6" s="15">
        <f ca="1">IF(Table25[[#This Row],[Start Date]]&gt;TODAY(),1,)</f>
        <v>1</v>
      </c>
    </row>
    <row r="7" spans="1:27" s="106" customFormat="1" hidden="1" x14ac:dyDescent="0.25">
      <c r="A7" s="62"/>
      <c r="B7" s="99" t="s">
        <v>42</v>
      </c>
      <c r="C7" s="100" t="s">
        <v>93</v>
      </c>
      <c r="D7" s="100">
        <v>3879</v>
      </c>
      <c r="E7" s="99" t="s">
        <v>80</v>
      </c>
      <c r="F7" s="102">
        <v>45700</v>
      </c>
      <c r="G7" s="102">
        <v>45700</v>
      </c>
      <c r="H7" s="105"/>
      <c r="I7" s="101">
        <v>0.75</v>
      </c>
      <c r="J7" s="102"/>
      <c r="K7" s="102"/>
      <c r="L7" s="102"/>
      <c r="M7" s="102"/>
      <c r="N7" s="102"/>
      <c r="O7" s="99"/>
      <c r="P7" s="99"/>
      <c r="Q7" s="103">
        <v>30</v>
      </c>
      <c r="R7" s="104">
        <v>1</v>
      </c>
      <c r="S7" s="103"/>
      <c r="T7" s="103"/>
      <c r="U7" s="15"/>
      <c r="V7" s="15"/>
      <c r="W7" s="100"/>
      <c r="X7" s="99"/>
      <c r="Y7" s="71">
        <f ca="1">Table25[[#This Row],[End Date]]+2-TODAY()</f>
        <v>170</v>
      </c>
      <c r="Z7" s="15">
        <f>IF(ISBLANK(Table25[[#This Row],[Roster Received By]]),1,0)</f>
        <v>1</v>
      </c>
      <c r="AA7" s="15">
        <f ca="1">IF(Table25[[#This Row],[Start Date]]&gt;TODAY(),1,)</f>
        <v>1</v>
      </c>
    </row>
    <row r="8" spans="1:27" s="106" customFormat="1" hidden="1" x14ac:dyDescent="0.25">
      <c r="A8" s="62"/>
      <c r="B8" s="99" t="s">
        <v>42</v>
      </c>
      <c r="C8" s="100" t="s">
        <v>93</v>
      </c>
      <c r="D8" s="100">
        <v>3879</v>
      </c>
      <c r="E8" s="99" t="s">
        <v>80</v>
      </c>
      <c r="F8" s="102">
        <v>45882</v>
      </c>
      <c r="G8" s="102">
        <v>45882</v>
      </c>
      <c r="H8" s="105"/>
      <c r="I8" s="101">
        <v>0.75</v>
      </c>
      <c r="J8" s="102"/>
      <c r="K8" s="102"/>
      <c r="L8" s="102"/>
      <c r="M8" s="102"/>
      <c r="N8" s="102"/>
      <c r="O8" s="99"/>
      <c r="P8" s="99"/>
      <c r="Q8" s="103">
        <v>30</v>
      </c>
      <c r="R8" s="104">
        <v>1</v>
      </c>
      <c r="S8" s="103"/>
      <c r="T8" s="103"/>
      <c r="U8" s="15"/>
      <c r="V8" s="15"/>
      <c r="W8" s="100"/>
      <c r="X8" s="99"/>
      <c r="Y8" s="71">
        <f ca="1">Table25[[#This Row],[End Date]]+2-TODAY()</f>
        <v>352</v>
      </c>
      <c r="Z8" s="15">
        <f>IF(ISBLANK(Table25[[#This Row],[Roster Received By]]),1,0)</f>
        <v>1</v>
      </c>
      <c r="AA8" s="15">
        <f ca="1">IF(Table25[[#This Row],[Start Date]]&gt;TODAY(),1,)</f>
        <v>1</v>
      </c>
    </row>
    <row r="9" spans="1:27" s="106" customFormat="1" hidden="1" x14ac:dyDescent="0.25">
      <c r="A9" s="62"/>
      <c r="B9" s="99" t="s">
        <v>44</v>
      </c>
      <c r="C9" s="100" t="s">
        <v>101</v>
      </c>
      <c r="D9" s="100">
        <v>3888</v>
      </c>
      <c r="E9" s="99" t="s">
        <v>80</v>
      </c>
      <c r="F9" s="102">
        <v>45701</v>
      </c>
      <c r="G9" s="102">
        <v>45701</v>
      </c>
      <c r="H9" s="105"/>
      <c r="I9" s="101">
        <v>0.75</v>
      </c>
      <c r="J9" s="102"/>
      <c r="K9" s="102"/>
      <c r="L9" s="102"/>
      <c r="M9" s="102"/>
      <c r="N9" s="102"/>
      <c r="O9" s="99"/>
      <c r="P9" s="99"/>
      <c r="Q9" s="103">
        <v>30</v>
      </c>
      <c r="R9" s="104">
        <v>1</v>
      </c>
      <c r="S9" s="103"/>
      <c r="T9" s="103"/>
      <c r="U9" s="15"/>
      <c r="V9" s="15"/>
      <c r="W9" s="100"/>
      <c r="X9" s="99"/>
      <c r="Y9" s="71">
        <f ca="1">Table25[[#This Row],[End Date]]+2-TODAY()</f>
        <v>171</v>
      </c>
      <c r="Z9" s="15">
        <f>IF(ISBLANK(Table25[[#This Row],[Roster Received By]]),1,0)</f>
        <v>1</v>
      </c>
      <c r="AA9" s="15">
        <f ca="1">IF(Table25[[#This Row],[Start Date]]&gt;TODAY(),1,)</f>
        <v>1</v>
      </c>
    </row>
    <row r="10" spans="1:27" s="106" customFormat="1" hidden="1" x14ac:dyDescent="0.25">
      <c r="A10" s="62"/>
      <c r="B10" s="99" t="s">
        <v>44</v>
      </c>
      <c r="C10" s="100" t="s">
        <v>101</v>
      </c>
      <c r="D10" s="100">
        <v>3888</v>
      </c>
      <c r="E10" s="99" t="s">
        <v>80</v>
      </c>
      <c r="F10" s="102">
        <v>45883</v>
      </c>
      <c r="G10" s="102">
        <v>45883</v>
      </c>
      <c r="H10" s="105"/>
      <c r="I10" s="101">
        <v>0.75</v>
      </c>
      <c r="J10" s="102"/>
      <c r="K10" s="102"/>
      <c r="L10" s="102"/>
      <c r="M10" s="102"/>
      <c r="N10" s="102"/>
      <c r="O10" s="99"/>
      <c r="P10" s="99"/>
      <c r="Q10" s="103">
        <v>30</v>
      </c>
      <c r="R10" s="104">
        <v>1</v>
      </c>
      <c r="S10" s="103"/>
      <c r="T10" s="103"/>
      <c r="U10" s="15"/>
      <c r="V10" s="15"/>
      <c r="W10" s="100"/>
      <c r="X10" s="99"/>
      <c r="Y10" s="71">
        <f ca="1">Table25[[#This Row],[End Date]]+2-TODAY()</f>
        <v>353</v>
      </c>
      <c r="Z10" s="15">
        <f>IF(ISBLANK(Table25[[#This Row],[Roster Received By]]),1,0)</f>
        <v>1</v>
      </c>
      <c r="AA10" s="15">
        <f ca="1">IF(Table25[[#This Row],[Start Date]]&gt;TODAY(),1,)</f>
        <v>1</v>
      </c>
    </row>
    <row r="11" spans="1:27" s="106" customFormat="1" hidden="1" x14ac:dyDescent="0.25">
      <c r="A11" s="62"/>
      <c r="B11" s="99" t="s">
        <v>46</v>
      </c>
      <c r="C11" s="100" t="s">
        <v>108</v>
      </c>
      <c r="D11" s="100" t="s">
        <v>109</v>
      </c>
      <c r="E11" s="99" t="s">
        <v>80</v>
      </c>
      <c r="F11" s="102">
        <v>45698</v>
      </c>
      <c r="G11" s="102">
        <v>45699</v>
      </c>
      <c r="H11" s="101"/>
      <c r="I11" s="101">
        <v>0.75</v>
      </c>
      <c r="J11" s="101"/>
      <c r="K11" s="101"/>
      <c r="L11" s="101"/>
      <c r="M11" s="101"/>
      <c r="N11" s="101"/>
      <c r="O11" s="99"/>
      <c r="P11" s="99"/>
      <c r="Q11" s="15">
        <v>30</v>
      </c>
      <c r="R11" s="15">
        <v>1</v>
      </c>
      <c r="S11" s="15"/>
      <c r="T11" s="103"/>
      <c r="U11" s="15"/>
      <c r="V11" s="15"/>
      <c r="W11" s="100"/>
      <c r="X11" s="99"/>
      <c r="Y11" s="71">
        <f ca="1">Table25[[#This Row],[End Date]]+2-TODAY()</f>
        <v>169</v>
      </c>
      <c r="Z11" s="15">
        <f>IF(ISBLANK(Table25[[#This Row],[Roster Received By]]),1,0)</f>
        <v>1</v>
      </c>
      <c r="AA11" s="15">
        <f ca="1">IF(Table25[[#This Row],[Start Date]]&gt;TODAY(),1,)</f>
        <v>1</v>
      </c>
    </row>
    <row r="12" spans="1:27" s="106" customFormat="1" hidden="1" x14ac:dyDescent="0.25">
      <c r="A12" s="62"/>
      <c r="B12" s="99" t="s">
        <v>46</v>
      </c>
      <c r="C12" s="100" t="s">
        <v>108</v>
      </c>
      <c r="D12" s="100" t="s">
        <v>109</v>
      </c>
      <c r="E12" s="99" t="s">
        <v>80</v>
      </c>
      <c r="F12" s="102">
        <v>45880</v>
      </c>
      <c r="G12" s="102">
        <v>45881</v>
      </c>
      <c r="H12" s="101"/>
      <c r="I12" s="101">
        <v>0.75</v>
      </c>
      <c r="J12" s="102"/>
      <c r="K12" s="102"/>
      <c r="L12" s="102"/>
      <c r="M12" s="102"/>
      <c r="N12" s="102"/>
      <c r="O12" s="99"/>
      <c r="P12" s="99"/>
      <c r="Q12" s="103">
        <v>30</v>
      </c>
      <c r="R12" s="104">
        <v>1</v>
      </c>
      <c r="S12" s="103"/>
      <c r="T12" s="103"/>
      <c r="U12" s="15"/>
      <c r="V12" s="15"/>
      <c r="W12" s="100"/>
      <c r="X12" s="99"/>
      <c r="Y12" s="71">
        <f ca="1">Table25[[#This Row],[End Date]]+2-TODAY()</f>
        <v>351</v>
      </c>
      <c r="Z12" s="15">
        <f>IF(ISBLANK(Table25[[#This Row],[Roster Received By]]),1,0)</f>
        <v>1</v>
      </c>
      <c r="AA12" s="15">
        <f ca="1">IF(Table25[[#This Row],[Start Date]]&gt;TODAY(),1,)</f>
        <v>1</v>
      </c>
    </row>
    <row r="13" spans="1:27" s="106" customFormat="1" hidden="1" x14ac:dyDescent="0.25">
      <c r="A13" s="62"/>
      <c r="B13" s="99" t="s">
        <v>50</v>
      </c>
      <c r="C13" s="100" t="s">
        <v>190</v>
      </c>
      <c r="D13" s="100" t="s">
        <v>191</v>
      </c>
      <c r="E13" s="99" t="s">
        <v>80</v>
      </c>
      <c r="F13" s="102">
        <v>45580</v>
      </c>
      <c r="G13" s="102">
        <v>45582</v>
      </c>
      <c r="H13" s="102"/>
      <c r="I13" s="101">
        <v>0.5</v>
      </c>
      <c r="J13" s="101"/>
      <c r="K13" s="101"/>
      <c r="L13" s="101"/>
      <c r="M13" s="101"/>
      <c r="N13" s="101"/>
      <c r="O13" s="99"/>
      <c r="P13" s="99"/>
      <c r="Q13" s="228">
        <v>45</v>
      </c>
      <c r="R13" s="15">
        <v>3</v>
      </c>
      <c r="S13" s="15"/>
      <c r="T13" s="103"/>
      <c r="U13" s="15"/>
      <c r="V13" s="15"/>
      <c r="W13" s="15"/>
      <c r="X13" s="99"/>
      <c r="Y13" s="71">
        <f ca="1">Table25[[#This Row],[End Date]]+2-TODAY()</f>
        <v>52</v>
      </c>
      <c r="Z13" s="15">
        <f>IF(ISBLANK(Table25[[#This Row],[Roster Received By]]),1,0)</f>
        <v>1</v>
      </c>
      <c r="AA13" s="15">
        <f ca="1">IF(Table25[[#This Row],[Start Date]]&gt;TODAY(),1,)</f>
        <v>1</v>
      </c>
    </row>
    <row r="14" spans="1:27" s="106" customFormat="1" hidden="1" x14ac:dyDescent="0.25">
      <c r="A14" s="62"/>
      <c r="B14" s="99" t="s">
        <v>50</v>
      </c>
      <c r="C14" s="100" t="s">
        <v>190</v>
      </c>
      <c r="D14" s="100" t="s">
        <v>191</v>
      </c>
      <c r="E14" s="99" t="s">
        <v>80</v>
      </c>
      <c r="F14" s="102">
        <v>45594</v>
      </c>
      <c r="G14" s="102">
        <v>45596</v>
      </c>
      <c r="H14" s="102"/>
      <c r="I14" s="101">
        <v>0.5</v>
      </c>
      <c r="J14" s="101"/>
      <c r="K14" s="101"/>
      <c r="L14" s="101"/>
      <c r="M14" s="101"/>
      <c r="N14" s="101"/>
      <c r="O14" s="99"/>
      <c r="P14" s="99"/>
      <c r="Q14" s="228">
        <v>45</v>
      </c>
      <c r="R14" s="15">
        <v>3</v>
      </c>
      <c r="S14" s="15"/>
      <c r="T14" s="103"/>
      <c r="U14" s="15"/>
      <c r="V14" s="15"/>
      <c r="W14" s="103"/>
      <c r="X14" s="99"/>
      <c r="Y14" s="71">
        <f ca="1">Table25[[#This Row],[End Date]]+2-TODAY()</f>
        <v>66</v>
      </c>
      <c r="Z14" s="15">
        <f>IF(ISBLANK(Table25[[#This Row],[Roster Received By]]),1,0)</f>
        <v>1</v>
      </c>
      <c r="AA14" s="15">
        <f ca="1">IF(Table25[[#This Row],[Start Date]]&gt;TODAY(),1,)</f>
        <v>1</v>
      </c>
    </row>
    <row r="15" spans="1:27" s="135" customFormat="1" hidden="1" x14ac:dyDescent="0.25">
      <c r="A15" s="62"/>
      <c r="B15" s="116" t="s">
        <v>50</v>
      </c>
      <c r="C15" s="100" t="s">
        <v>190</v>
      </c>
      <c r="D15" s="100" t="s">
        <v>191</v>
      </c>
      <c r="E15" s="65" t="s">
        <v>80</v>
      </c>
      <c r="F15" s="102">
        <v>45608</v>
      </c>
      <c r="G15" s="102">
        <v>45610</v>
      </c>
      <c r="H15" s="108"/>
      <c r="I15" s="101">
        <v>0.5</v>
      </c>
      <c r="J15" s="102"/>
      <c r="K15" s="102"/>
      <c r="L15" s="102"/>
      <c r="M15" s="102"/>
      <c r="N15" s="102"/>
      <c r="O15" s="99"/>
      <c r="P15" s="99"/>
      <c r="Q15" s="228">
        <v>45</v>
      </c>
      <c r="R15" s="15">
        <v>3</v>
      </c>
      <c r="S15" s="15"/>
      <c r="T15" s="103"/>
      <c r="U15" s="15"/>
      <c r="V15" s="15"/>
      <c r="W15" s="103"/>
      <c r="X15" s="99"/>
      <c r="Y15" s="71">
        <f ca="1">Table25[[#This Row],[End Date]]+2-TODAY()</f>
        <v>80</v>
      </c>
      <c r="Z15" s="15">
        <f>IF(ISBLANK(Table25[[#This Row],[Roster Received By]]),1,0)</f>
        <v>1</v>
      </c>
      <c r="AA15" s="15">
        <f ca="1">IF(Table25[[#This Row],[Start Date]]&gt;TODAY(),1,)</f>
        <v>1</v>
      </c>
    </row>
    <row r="16" spans="1:27" s="135" customFormat="1" hidden="1" x14ac:dyDescent="0.25">
      <c r="A16" s="62"/>
      <c r="B16" s="116" t="s">
        <v>50</v>
      </c>
      <c r="C16" s="100" t="s">
        <v>190</v>
      </c>
      <c r="D16" s="100" t="s">
        <v>191</v>
      </c>
      <c r="E16" s="99" t="s">
        <v>80</v>
      </c>
      <c r="F16" s="102">
        <v>45636</v>
      </c>
      <c r="G16" s="102">
        <v>45638</v>
      </c>
      <c r="H16" s="102"/>
      <c r="I16" s="101">
        <v>0.5</v>
      </c>
      <c r="J16" s="101"/>
      <c r="K16" s="101"/>
      <c r="L16" s="101"/>
      <c r="M16" s="101"/>
      <c r="N16" s="101"/>
      <c r="O16" s="99"/>
      <c r="P16" s="99"/>
      <c r="Q16" s="228">
        <v>45</v>
      </c>
      <c r="R16" s="15">
        <v>3</v>
      </c>
      <c r="S16" s="15"/>
      <c r="T16" s="103"/>
      <c r="U16" s="15"/>
      <c r="V16" s="15"/>
      <c r="W16" s="15"/>
      <c r="X16" s="99"/>
      <c r="Y16" s="71">
        <f ca="1">Table25[[#This Row],[End Date]]+2-TODAY()</f>
        <v>108</v>
      </c>
      <c r="Z16" s="15">
        <f>IF(ISBLANK(Table25[[#This Row],[Roster Received By]]),1,0)</f>
        <v>1</v>
      </c>
      <c r="AA16" s="15">
        <f ca="1">IF(Table25[[#This Row],[Start Date]]&gt;TODAY(),1,)</f>
        <v>1</v>
      </c>
    </row>
    <row r="17" spans="1:27" s="136" customFormat="1" ht="13.5" hidden="1" customHeight="1" x14ac:dyDescent="0.25">
      <c r="A17" s="62"/>
      <c r="B17" s="117" t="s">
        <v>50</v>
      </c>
      <c r="C17" s="100" t="s">
        <v>190</v>
      </c>
      <c r="D17" s="100" t="s">
        <v>191</v>
      </c>
      <c r="E17" s="99" t="s">
        <v>80</v>
      </c>
      <c r="F17" s="102">
        <v>45664</v>
      </c>
      <c r="G17" s="102">
        <v>45666</v>
      </c>
      <c r="H17" s="102"/>
      <c r="I17" s="101">
        <v>0.5</v>
      </c>
      <c r="J17" s="101"/>
      <c r="K17" s="101"/>
      <c r="L17" s="101"/>
      <c r="M17" s="101"/>
      <c r="N17" s="101"/>
      <c r="O17" s="99"/>
      <c r="P17" s="99"/>
      <c r="Q17" s="228">
        <v>45</v>
      </c>
      <c r="R17" s="15">
        <v>3</v>
      </c>
      <c r="S17" s="15"/>
      <c r="T17" s="103"/>
      <c r="U17" s="15"/>
      <c r="V17" s="15"/>
      <c r="W17" s="15"/>
      <c r="X17" s="99"/>
      <c r="Y17" s="71">
        <f ca="1">Table25[[#This Row],[End Date]]+2-TODAY()</f>
        <v>136</v>
      </c>
      <c r="Z17" s="15">
        <f>IF(ISBLANK(Table25[[#This Row],[Roster Received By]]),1,0)</f>
        <v>1</v>
      </c>
      <c r="AA17" s="15">
        <f ca="1">IF(Table25[[#This Row],[Start Date]]&gt;TODAY(),1,)</f>
        <v>1</v>
      </c>
    </row>
    <row r="18" spans="1:27" s="106" customFormat="1" hidden="1" x14ac:dyDescent="0.25">
      <c r="A18" s="62"/>
      <c r="B18" s="117" t="s">
        <v>50</v>
      </c>
      <c r="C18" s="100" t="s">
        <v>190</v>
      </c>
      <c r="D18" s="100" t="s">
        <v>191</v>
      </c>
      <c r="E18" s="99" t="s">
        <v>80</v>
      </c>
      <c r="F18" s="102">
        <v>45679</v>
      </c>
      <c r="G18" s="102">
        <v>45681</v>
      </c>
      <c r="H18" s="102"/>
      <c r="I18" s="101">
        <v>0.5</v>
      </c>
      <c r="J18" s="101"/>
      <c r="K18" s="101"/>
      <c r="L18" s="101"/>
      <c r="M18" s="101"/>
      <c r="N18" s="101"/>
      <c r="O18" s="99"/>
      <c r="P18" s="99"/>
      <c r="Q18" s="228">
        <v>45</v>
      </c>
      <c r="R18" s="15">
        <v>3</v>
      </c>
      <c r="S18" s="15"/>
      <c r="T18" s="103"/>
      <c r="U18" s="15"/>
      <c r="V18" s="15"/>
      <c r="W18" s="15"/>
      <c r="X18" s="99"/>
      <c r="Y18" s="71">
        <f ca="1">Table25[[#This Row],[End Date]]+2-TODAY()</f>
        <v>151</v>
      </c>
      <c r="Z18" s="15">
        <f>IF(ISBLANK(Table25[[#This Row],[Roster Received By]]),1,0)</f>
        <v>1</v>
      </c>
      <c r="AA18" s="15">
        <f ca="1">IF(Table25[[#This Row],[Start Date]]&gt;TODAY(),1,)</f>
        <v>1</v>
      </c>
    </row>
    <row r="19" spans="1:27" s="106" customFormat="1" hidden="1" x14ac:dyDescent="0.25">
      <c r="A19" s="62"/>
      <c r="B19" s="99" t="s">
        <v>50</v>
      </c>
      <c r="C19" s="100" t="s">
        <v>190</v>
      </c>
      <c r="D19" s="100" t="s">
        <v>191</v>
      </c>
      <c r="E19" s="99" t="s">
        <v>80</v>
      </c>
      <c r="F19" s="102">
        <v>45706</v>
      </c>
      <c r="G19" s="102">
        <v>45708</v>
      </c>
      <c r="H19" s="108"/>
      <c r="I19" s="101">
        <v>0.5</v>
      </c>
      <c r="J19" s="102"/>
      <c r="K19" s="102"/>
      <c r="L19" s="102"/>
      <c r="M19" s="102"/>
      <c r="N19" s="102"/>
      <c r="O19" s="99"/>
      <c r="P19" s="99"/>
      <c r="Q19" s="228">
        <v>45</v>
      </c>
      <c r="R19" s="15">
        <v>3</v>
      </c>
      <c r="S19" s="15"/>
      <c r="T19" s="103"/>
      <c r="U19" s="15"/>
      <c r="V19" s="15"/>
      <c r="W19" s="15"/>
      <c r="X19" s="99"/>
      <c r="Y19" s="71">
        <f ca="1">Table25[[#This Row],[End Date]]+2-TODAY()</f>
        <v>178</v>
      </c>
      <c r="Z19" s="15">
        <f>IF(ISBLANK(Table25[[#This Row],[Roster Received By]]),1,0)</f>
        <v>1</v>
      </c>
      <c r="AA19" s="15">
        <f ca="1">IF(Table25[[#This Row],[Start Date]]&gt;TODAY(),1,)</f>
        <v>1</v>
      </c>
    </row>
    <row r="20" spans="1:27" s="135" customFormat="1" hidden="1" x14ac:dyDescent="0.25">
      <c r="A20" s="99"/>
      <c r="B20" s="99" t="s">
        <v>50</v>
      </c>
      <c r="C20" s="100" t="s">
        <v>190</v>
      </c>
      <c r="D20" s="100" t="s">
        <v>191</v>
      </c>
      <c r="E20" s="99" t="s">
        <v>80</v>
      </c>
      <c r="F20" s="102">
        <v>45720</v>
      </c>
      <c r="G20" s="102">
        <v>45722</v>
      </c>
      <c r="H20" s="102"/>
      <c r="I20" s="101">
        <v>0.5</v>
      </c>
      <c r="J20" s="101"/>
      <c r="K20" s="101"/>
      <c r="L20" s="101"/>
      <c r="M20" s="101"/>
      <c r="N20" s="101"/>
      <c r="O20" s="99"/>
      <c r="P20" s="99"/>
      <c r="Q20" s="228">
        <v>45</v>
      </c>
      <c r="R20" s="15">
        <v>3</v>
      </c>
      <c r="S20" s="15"/>
      <c r="T20" s="103"/>
      <c r="U20" s="15"/>
      <c r="V20" s="15"/>
      <c r="W20" s="15"/>
      <c r="X20" s="99"/>
      <c r="Y20" s="71">
        <f ca="1">Table25[[#This Row],[End Date]]+2-TODAY()</f>
        <v>192</v>
      </c>
      <c r="Z20" s="15">
        <f>IF(ISBLANK(Table25[[#This Row],[Roster Received By]]),1,0)</f>
        <v>1</v>
      </c>
      <c r="AA20" s="15">
        <f ca="1">IF(Table25[[#This Row],[Start Date]]&gt;TODAY(),1,)</f>
        <v>1</v>
      </c>
    </row>
    <row r="21" spans="1:27" s="106" customFormat="1" ht="14.25" hidden="1" customHeight="1" x14ac:dyDescent="0.25">
      <c r="A21" s="65"/>
      <c r="B21" s="99" t="s">
        <v>50</v>
      </c>
      <c r="C21" s="100" t="s">
        <v>190</v>
      </c>
      <c r="D21" s="100" t="s">
        <v>191</v>
      </c>
      <c r="E21" s="99" t="s">
        <v>80</v>
      </c>
      <c r="F21" s="102">
        <v>45734</v>
      </c>
      <c r="G21" s="102">
        <v>45736</v>
      </c>
      <c r="H21" s="105"/>
      <c r="I21" s="101">
        <v>0.5</v>
      </c>
      <c r="J21" s="105"/>
      <c r="K21" s="105"/>
      <c r="L21" s="105"/>
      <c r="M21" s="105"/>
      <c r="N21" s="105"/>
      <c r="O21" s="99"/>
      <c r="P21" s="99"/>
      <c r="Q21" s="228">
        <v>45</v>
      </c>
      <c r="R21" s="15">
        <v>3</v>
      </c>
      <c r="S21" s="103"/>
      <c r="T21" s="103"/>
      <c r="U21" s="15"/>
      <c r="V21" s="15"/>
      <c r="W21" s="15"/>
      <c r="X21" s="99"/>
      <c r="Y21" s="71">
        <f ca="1">Table25[[#This Row],[End Date]]+2-TODAY()</f>
        <v>206</v>
      </c>
      <c r="Z21" s="15">
        <f>IF(ISBLANK(Table25[[#This Row],[Roster Received By]]),1,0)</f>
        <v>1</v>
      </c>
      <c r="AA21" s="15">
        <f ca="1">IF(Table25[[#This Row],[Start Date]]&gt;TODAY(),1,)</f>
        <v>1</v>
      </c>
    </row>
    <row r="22" spans="1:27" s="106" customFormat="1" ht="14.25" hidden="1" customHeight="1" x14ac:dyDescent="0.25">
      <c r="A22" s="62"/>
      <c r="B22" s="99" t="s">
        <v>50</v>
      </c>
      <c r="C22" s="100" t="s">
        <v>190</v>
      </c>
      <c r="D22" s="100" t="s">
        <v>191</v>
      </c>
      <c r="E22" s="99" t="s">
        <v>80</v>
      </c>
      <c r="F22" s="102">
        <v>45776</v>
      </c>
      <c r="G22" s="102">
        <v>45778</v>
      </c>
      <c r="H22" s="102"/>
      <c r="I22" s="101">
        <v>0.5</v>
      </c>
      <c r="J22" s="101"/>
      <c r="K22" s="101"/>
      <c r="L22" s="101"/>
      <c r="M22" s="101"/>
      <c r="N22" s="101"/>
      <c r="O22" s="99"/>
      <c r="P22" s="99"/>
      <c r="Q22" s="228">
        <v>45</v>
      </c>
      <c r="R22" s="15">
        <v>3</v>
      </c>
      <c r="S22" s="15"/>
      <c r="T22" s="103"/>
      <c r="U22" s="15"/>
      <c r="V22" s="15"/>
      <c r="W22" s="15"/>
      <c r="X22" s="99"/>
      <c r="Y22" s="71">
        <f ca="1">Table25[[#This Row],[End Date]]+2-TODAY()</f>
        <v>248</v>
      </c>
      <c r="Z22" s="15">
        <f>IF(ISBLANK(Table25[[#This Row],[Roster Received By]]),1,0)</f>
        <v>1</v>
      </c>
      <c r="AA22" s="15">
        <f ca="1">IF(Table25[[#This Row],[Start Date]]&gt;TODAY(),1,)</f>
        <v>1</v>
      </c>
    </row>
    <row r="23" spans="1:27" s="106" customFormat="1" ht="14.25" hidden="1" customHeight="1" x14ac:dyDescent="0.25">
      <c r="A23" s="99"/>
      <c r="B23" s="99" t="s">
        <v>50</v>
      </c>
      <c r="C23" s="100" t="s">
        <v>190</v>
      </c>
      <c r="D23" s="100" t="s">
        <v>191</v>
      </c>
      <c r="E23" s="99" t="s">
        <v>80</v>
      </c>
      <c r="F23" s="102">
        <v>45790</v>
      </c>
      <c r="G23" s="102">
        <v>45792</v>
      </c>
      <c r="H23" s="102"/>
      <c r="I23" s="101">
        <v>0.5</v>
      </c>
      <c r="J23" s="101"/>
      <c r="K23" s="101"/>
      <c r="L23" s="101"/>
      <c r="M23" s="101"/>
      <c r="N23" s="101"/>
      <c r="O23" s="99"/>
      <c r="P23" s="99"/>
      <c r="Q23" s="228">
        <v>45</v>
      </c>
      <c r="R23" s="15">
        <v>3</v>
      </c>
      <c r="S23" s="15"/>
      <c r="T23" s="103"/>
      <c r="U23" s="15"/>
      <c r="V23" s="15"/>
      <c r="W23" s="15"/>
      <c r="X23" s="99"/>
      <c r="Y23" s="71">
        <f ca="1">Table25[[#This Row],[End Date]]+2-TODAY()</f>
        <v>262</v>
      </c>
      <c r="Z23" s="15">
        <f>IF(ISBLANK(Table25[[#This Row],[Roster Received By]]),1,0)</f>
        <v>1</v>
      </c>
      <c r="AA23" s="15">
        <f ca="1">IF(Table25[[#This Row],[Start Date]]&gt;TODAY(),1,)</f>
        <v>1</v>
      </c>
    </row>
    <row r="24" spans="1:27" s="136" customFormat="1" ht="14.25" hidden="1" customHeight="1" x14ac:dyDescent="0.25">
      <c r="A24" s="62"/>
      <c r="B24" s="99" t="s">
        <v>50</v>
      </c>
      <c r="C24" s="100" t="s">
        <v>190</v>
      </c>
      <c r="D24" s="100" t="s">
        <v>191</v>
      </c>
      <c r="E24" s="99" t="s">
        <v>80</v>
      </c>
      <c r="F24" s="102">
        <v>45804</v>
      </c>
      <c r="G24" s="102">
        <v>45806</v>
      </c>
      <c r="H24" s="102"/>
      <c r="I24" s="101">
        <v>0.5</v>
      </c>
      <c r="J24" s="101"/>
      <c r="K24" s="101"/>
      <c r="L24" s="101"/>
      <c r="M24" s="101"/>
      <c r="N24" s="101"/>
      <c r="O24" s="99"/>
      <c r="P24" s="99"/>
      <c r="Q24" s="228">
        <v>45</v>
      </c>
      <c r="R24" s="15">
        <v>3</v>
      </c>
      <c r="S24" s="15"/>
      <c r="T24" s="103"/>
      <c r="U24" s="15"/>
      <c r="V24" s="15"/>
      <c r="W24" s="100"/>
      <c r="X24" s="99"/>
      <c r="Y24" s="71">
        <f ca="1">Table25[[#This Row],[End Date]]+2-TODAY()</f>
        <v>276</v>
      </c>
      <c r="Z24" s="15">
        <f>IF(ISBLANK(Table25[[#This Row],[Roster Received By]]),1,0)</f>
        <v>1</v>
      </c>
      <c r="AA24" s="15">
        <f ca="1">IF(Table25[[#This Row],[Start Date]]&gt;TODAY(),1,)</f>
        <v>1</v>
      </c>
    </row>
    <row r="25" spans="1:27" s="106" customFormat="1" ht="14.25" hidden="1" customHeight="1" x14ac:dyDescent="0.25">
      <c r="A25" s="99"/>
      <c r="B25" s="99" t="s">
        <v>50</v>
      </c>
      <c r="C25" s="100" t="s">
        <v>190</v>
      </c>
      <c r="D25" s="100" t="s">
        <v>191</v>
      </c>
      <c r="E25" s="99" t="s">
        <v>80</v>
      </c>
      <c r="F25" s="102">
        <v>45818</v>
      </c>
      <c r="G25" s="102">
        <v>45820</v>
      </c>
      <c r="H25" s="105"/>
      <c r="I25" s="101">
        <v>0.5</v>
      </c>
      <c r="J25" s="101"/>
      <c r="K25" s="101"/>
      <c r="L25" s="101"/>
      <c r="M25" s="101"/>
      <c r="N25" s="101"/>
      <c r="O25" s="99"/>
      <c r="P25" s="99"/>
      <c r="Q25" s="228">
        <v>45</v>
      </c>
      <c r="R25" s="15">
        <v>3</v>
      </c>
      <c r="S25" s="103"/>
      <c r="T25" s="103"/>
      <c r="U25" s="15"/>
      <c r="V25" s="15"/>
      <c r="W25" s="15"/>
      <c r="X25" s="99"/>
      <c r="Y25" s="71">
        <f ca="1">Table25[[#This Row],[End Date]]+2-TODAY()</f>
        <v>290</v>
      </c>
      <c r="Z25" s="15">
        <f>IF(ISBLANK(Table25[[#This Row],[Roster Received By]]),1,0)</f>
        <v>1</v>
      </c>
      <c r="AA25" s="15">
        <f ca="1">IF(Table25[[#This Row],[Start Date]]&gt;TODAY(),1,)</f>
        <v>1</v>
      </c>
    </row>
    <row r="26" spans="1:27" s="106" customFormat="1" ht="14.25" hidden="1" customHeight="1" x14ac:dyDescent="0.25">
      <c r="A26" s="62"/>
      <c r="B26" s="99" t="s">
        <v>50</v>
      </c>
      <c r="C26" s="100" t="s">
        <v>190</v>
      </c>
      <c r="D26" s="100" t="s">
        <v>191</v>
      </c>
      <c r="E26" s="99" t="s">
        <v>80</v>
      </c>
      <c r="F26" s="102">
        <v>45838</v>
      </c>
      <c r="G26" s="102">
        <v>45840</v>
      </c>
      <c r="H26" s="102"/>
      <c r="I26" s="101">
        <v>0.5</v>
      </c>
      <c r="J26" s="101"/>
      <c r="K26" s="101"/>
      <c r="L26" s="101"/>
      <c r="M26" s="101"/>
      <c r="N26" s="101"/>
      <c r="O26" s="99"/>
      <c r="P26" s="99"/>
      <c r="Q26" s="228">
        <v>45</v>
      </c>
      <c r="R26" s="15">
        <v>3</v>
      </c>
      <c r="S26" s="15"/>
      <c r="T26" s="103"/>
      <c r="U26" s="15"/>
      <c r="V26" s="15"/>
      <c r="W26" s="15"/>
      <c r="X26" s="99"/>
      <c r="Y26" s="71">
        <f ca="1">Table25[[#This Row],[End Date]]+2-TODAY()</f>
        <v>310</v>
      </c>
      <c r="Z26" s="15">
        <f>IF(ISBLANK(Table25[[#This Row],[Roster Received By]]),1,0)</f>
        <v>1</v>
      </c>
      <c r="AA26" s="15">
        <f ca="1">IF(Table25[[#This Row],[Start Date]]&gt;TODAY(),1,)</f>
        <v>1</v>
      </c>
    </row>
    <row r="27" spans="1:27" s="106" customFormat="1" ht="14.25" hidden="1" customHeight="1" x14ac:dyDescent="0.25">
      <c r="A27" s="62"/>
      <c r="B27" s="99" t="s">
        <v>50</v>
      </c>
      <c r="C27" s="100" t="s">
        <v>190</v>
      </c>
      <c r="D27" s="100" t="s">
        <v>191</v>
      </c>
      <c r="E27" s="99" t="s">
        <v>80</v>
      </c>
      <c r="F27" s="102">
        <v>45853</v>
      </c>
      <c r="G27" s="102">
        <v>45855</v>
      </c>
      <c r="H27" s="102"/>
      <c r="I27" s="101">
        <v>0.5</v>
      </c>
      <c r="J27" s="101"/>
      <c r="K27" s="101"/>
      <c r="L27" s="101"/>
      <c r="M27" s="101"/>
      <c r="N27" s="101"/>
      <c r="O27" s="99"/>
      <c r="P27" s="99"/>
      <c r="Q27" s="228">
        <v>45</v>
      </c>
      <c r="R27" s="15">
        <v>3</v>
      </c>
      <c r="S27" s="15"/>
      <c r="T27" s="103"/>
      <c r="U27" s="15"/>
      <c r="V27" s="15"/>
      <c r="W27" s="15"/>
      <c r="X27" s="99"/>
      <c r="Y27" s="71">
        <f ca="1">Table25[[#This Row],[End Date]]+2-TODAY()</f>
        <v>325</v>
      </c>
      <c r="Z27" s="15">
        <f>IF(ISBLANK(Table25[[#This Row],[Roster Received By]]),1,0)</f>
        <v>1</v>
      </c>
      <c r="AA27" s="15">
        <f ca="1">IF(Table25[[#This Row],[Start Date]]&gt;TODAY(),1,)</f>
        <v>1</v>
      </c>
    </row>
    <row r="28" spans="1:27" s="106" customFormat="1" ht="14.25" hidden="1" customHeight="1" x14ac:dyDescent="0.25">
      <c r="A28" s="62"/>
      <c r="B28" s="99" t="s">
        <v>50</v>
      </c>
      <c r="C28" s="100" t="s">
        <v>190</v>
      </c>
      <c r="D28" s="100" t="s">
        <v>191</v>
      </c>
      <c r="E28" s="99" t="s">
        <v>80</v>
      </c>
      <c r="F28" s="102">
        <v>45874</v>
      </c>
      <c r="G28" s="102">
        <v>45876</v>
      </c>
      <c r="H28" s="105"/>
      <c r="I28" s="101">
        <v>0.5</v>
      </c>
      <c r="J28" s="102"/>
      <c r="K28" s="102"/>
      <c r="L28" s="102"/>
      <c r="M28" s="102"/>
      <c r="N28" s="102"/>
      <c r="O28" s="99"/>
      <c r="P28" s="99"/>
      <c r="Q28" s="228">
        <v>45</v>
      </c>
      <c r="R28" s="15">
        <v>3</v>
      </c>
      <c r="S28" s="15"/>
      <c r="T28" s="103"/>
      <c r="U28" s="15"/>
      <c r="V28" s="15"/>
      <c r="W28" s="15"/>
      <c r="X28" s="99"/>
      <c r="Y28" s="71">
        <f ca="1">Table25[[#This Row],[End Date]]+2-TODAY()</f>
        <v>346</v>
      </c>
      <c r="Z28" s="15">
        <f>IF(ISBLANK(Table25[[#This Row],[Roster Received By]]),1,0)</f>
        <v>1</v>
      </c>
      <c r="AA28" s="15">
        <f ca="1">IF(Table25[[#This Row],[Start Date]]&gt;TODAY(),1,)</f>
        <v>1</v>
      </c>
    </row>
    <row r="29" spans="1:27" s="106" customFormat="1" ht="14.25" hidden="1" customHeight="1" x14ac:dyDescent="0.25">
      <c r="A29" s="62"/>
      <c r="B29" s="99" t="s">
        <v>50</v>
      </c>
      <c r="C29" s="100" t="s">
        <v>190</v>
      </c>
      <c r="D29" s="100" t="s">
        <v>191</v>
      </c>
      <c r="E29" s="99" t="s">
        <v>80</v>
      </c>
      <c r="F29" s="102">
        <v>45888</v>
      </c>
      <c r="G29" s="102">
        <v>45890</v>
      </c>
      <c r="H29" s="105"/>
      <c r="I29" s="101">
        <v>0.5</v>
      </c>
      <c r="J29" s="105"/>
      <c r="K29" s="105"/>
      <c r="L29" s="105"/>
      <c r="M29" s="105"/>
      <c r="N29" s="105"/>
      <c r="O29" s="99"/>
      <c r="P29" s="99"/>
      <c r="Q29" s="228">
        <v>45</v>
      </c>
      <c r="R29" s="15">
        <v>3</v>
      </c>
      <c r="S29" s="15"/>
      <c r="T29" s="103"/>
      <c r="U29" s="15"/>
      <c r="V29" s="15"/>
      <c r="W29" s="15"/>
      <c r="X29" s="99"/>
      <c r="Y29" s="71">
        <f ca="1">Table25[[#This Row],[End Date]]+2-TODAY()</f>
        <v>360</v>
      </c>
      <c r="Z29" s="15">
        <f>IF(ISBLANK(Table25[[#This Row],[Roster Received By]]),1,0)</f>
        <v>1</v>
      </c>
      <c r="AA29" s="15">
        <f ca="1">IF(Table25[[#This Row],[Start Date]]&gt;TODAY(),1,)</f>
        <v>1</v>
      </c>
    </row>
    <row r="30" spans="1:27" s="106" customFormat="1" ht="14.25" hidden="1" customHeight="1" x14ac:dyDescent="0.25">
      <c r="A30" s="99"/>
      <c r="B30" s="99" t="s">
        <v>50</v>
      </c>
      <c r="C30" s="100" t="s">
        <v>190</v>
      </c>
      <c r="D30" s="100" t="s">
        <v>191</v>
      </c>
      <c r="E30" s="99" t="s">
        <v>80</v>
      </c>
      <c r="F30" s="102">
        <v>45902</v>
      </c>
      <c r="G30" s="102">
        <v>45904</v>
      </c>
      <c r="H30" s="105"/>
      <c r="I30" s="101">
        <v>0.5</v>
      </c>
      <c r="J30" s="105"/>
      <c r="K30" s="105"/>
      <c r="L30" s="105"/>
      <c r="M30" s="105"/>
      <c r="N30" s="105"/>
      <c r="O30" s="99"/>
      <c r="P30" s="99"/>
      <c r="Q30" s="228">
        <v>45</v>
      </c>
      <c r="R30" s="15">
        <v>3</v>
      </c>
      <c r="S30" s="15"/>
      <c r="T30" s="103"/>
      <c r="U30" s="15"/>
      <c r="V30" s="15"/>
      <c r="W30" s="15"/>
      <c r="X30" s="99"/>
      <c r="Y30" s="71">
        <f ca="1">Table25[[#This Row],[End Date]]+2-TODAY()</f>
        <v>374</v>
      </c>
      <c r="Z30" s="15">
        <f>IF(ISBLANK(Table25[[#This Row],[Roster Received By]]),1,0)</f>
        <v>1</v>
      </c>
      <c r="AA30" s="15">
        <f ca="1">IF(Table25[[#This Row],[Start Date]]&gt;TODAY(),1,)</f>
        <v>1</v>
      </c>
    </row>
    <row r="31" spans="1:27" s="106" customFormat="1" ht="14.25" hidden="1" customHeight="1" x14ac:dyDescent="0.25">
      <c r="A31" s="99"/>
      <c r="B31" s="99" t="s">
        <v>50</v>
      </c>
      <c r="C31" s="100" t="s">
        <v>190</v>
      </c>
      <c r="D31" s="100" t="s">
        <v>191</v>
      </c>
      <c r="E31" s="99" t="s">
        <v>80</v>
      </c>
      <c r="F31" s="102">
        <v>45916</v>
      </c>
      <c r="G31" s="102">
        <v>45918</v>
      </c>
      <c r="H31" s="108"/>
      <c r="I31" s="101">
        <v>0.5</v>
      </c>
      <c r="J31" s="102"/>
      <c r="K31" s="102"/>
      <c r="L31" s="102"/>
      <c r="M31" s="102"/>
      <c r="N31" s="102"/>
      <c r="O31" s="99"/>
      <c r="P31" s="99"/>
      <c r="Q31" s="228">
        <v>45</v>
      </c>
      <c r="R31" s="15">
        <v>3</v>
      </c>
      <c r="S31" s="15"/>
      <c r="T31" s="103"/>
      <c r="U31" s="15"/>
      <c r="V31" s="15"/>
      <c r="W31" s="15"/>
      <c r="X31" s="99"/>
      <c r="Y31" s="71">
        <f ca="1">Table25[[#This Row],[End Date]]+2-TODAY()</f>
        <v>388</v>
      </c>
      <c r="Z31" s="15">
        <f>IF(ISBLANK(Table25[[#This Row],[Roster Received By]]),1,0)</f>
        <v>1</v>
      </c>
      <c r="AA31" s="15">
        <f ca="1">IF(Table25[[#This Row],[Start Date]]&gt;TODAY(),1,)</f>
        <v>1</v>
      </c>
    </row>
    <row r="32" spans="1:27" s="106" customFormat="1" ht="14.25" hidden="1" customHeight="1" x14ac:dyDescent="0.25">
      <c r="A32" s="62"/>
      <c r="B32" s="99" t="s">
        <v>51</v>
      </c>
      <c r="C32" s="100" t="s">
        <v>194</v>
      </c>
      <c r="D32" s="100" t="s">
        <v>195</v>
      </c>
      <c r="E32" s="65" t="s">
        <v>80</v>
      </c>
      <c r="F32" s="67">
        <v>45580</v>
      </c>
      <c r="G32" s="102">
        <v>45583</v>
      </c>
      <c r="H32" s="105"/>
      <c r="I32" s="101">
        <v>0.5</v>
      </c>
      <c r="J32" s="102"/>
      <c r="K32" s="102"/>
      <c r="L32" s="102"/>
      <c r="M32" s="102"/>
      <c r="N32" s="102"/>
      <c r="O32" s="99"/>
      <c r="P32" s="99"/>
      <c r="Q32" s="228">
        <v>45</v>
      </c>
      <c r="R32" s="15">
        <v>4</v>
      </c>
      <c r="S32" s="15"/>
      <c r="T32" s="103"/>
      <c r="U32" s="15"/>
      <c r="V32" s="15"/>
      <c r="W32" s="15"/>
      <c r="X32" s="99"/>
      <c r="Y32" s="71">
        <f ca="1">Table25[[#This Row],[End Date]]+2-TODAY()</f>
        <v>53</v>
      </c>
      <c r="Z32" s="15">
        <f>IF(ISBLANK(Table25[[#This Row],[Roster Received By]]),1,0)</f>
        <v>1</v>
      </c>
      <c r="AA32" s="15">
        <f ca="1">IF(Table25[[#This Row],[Start Date]]&gt;TODAY(),1,)</f>
        <v>1</v>
      </c>
    </row>
    <row r="33" spans="1:27" s="106" customFormat="1" ht="16.5" hidden="1" customHeight="1" x14ac:dyDescent="0.25">
      <c r="A33" s="62"/>
      <c r="B33" s="99" t="s">
        <v>51</v>
      </c>
      <c r="C33" s="100" t="s">
        <v>194</v>
      </c>
      <c r="D33" s="100" t="s">
        <v>195</v>
      </c>
      <c r="E33" s="99" t="s">
        <v>80</v>
      </c>
      <c r="F33" s="102">
        <v>45600</v>
      </c>
      <c r="G33" s="102">
        <v>45603</v>
      </c>
      <c r="H33" s="102"/>
      <c r="I33" s="101">
        <v>0.5</v>
      </c>
      <c r="J33" s="101"/>
      <c r="K33" s="101"/>
      <c r="L33" s="101"/>
      <c r="M33" s="101"/>
      <c r="N33" s="101"/>
      <c r="O33" s="99"/>
      <c r="P33" s="99"/>
      <c r="Q33" s="228">
        <v>45</v>
      </c>
      <c r="R33" s="15">
        <v>4</v>
      </c>
      <c r="S33" s="15"/>
      <c r="T33" s="103"/>
      <c r="U33" s="15"/>
      <c r="V33" s="15"/>
      <c r="W33" s="15"/>
      <c r="X33" s="99"/>
      <c r="Y33" s="71">
        <f ca="1">Table25[[#This Row],[End Date]]+2-TODAY()</f>
        <v>73</v>
      </c>
      <c r="Z33" s="15">
        <f>IF(ISBLANK(Table25[[#This Row],[Roster Received By]]),1,0)</f>
        <v>1</v>
      </c>
      <c r="AA33" s="15">
        <f ca="1">IF(Table25[[#This Row],[Start Date]]&gt;TODAY(),1,)</f>
        <v>1</v>
      </c>
    </row>
    <row r="34" spans="1:27" s="106" customFormat="1" ht="16.5" hidden="1" customHeight="1" x14ac:dyDescent="0.25">
      <c r="A34" s="62"/>
      <c r="B34" s="99" t="s">
        <v>51</v>
      </c>
      <c r="C34" s="100" t="s">
        <v>194</v>
      </c>
      <c r="D34" s="100" t="s">
        <v>195</v>
      </c>
      <c r="E34" s="99" t="s">
        <v>80</v>
      </c>
      <c r="F34" s="102">
        <v>45614</v>
      </c>
      <c r="G34" s="102">
        <v>45617</v>
      </c>
      <c r="H34" s="102"/>
      <c r="I34" s="101">
        <v>0.5</v>
      </c>
      <c r="J34" s="101"/>
      <c r="K34" s="101"/>
      <c r="L34" s="101"/>
      <c r="M34" s="101"/>
      <c r="N34" s="101"/>
      <c r="O34" s="99"/>
      <c r="P34" s="99"/>
      <c r="Q34" s="228">
        <v>45</v>
      </c>
      <c r="R34" s="15">
        <v>4</v>
      </c>
      <c r="S34" s="15"/>
      <c r="T34" s="103"/>
      <c r="U34" s="15"/>
      <c r="V34" s="15"/>
      <c r="W34" s="15"/>
      <c r="X34" s="99"/>
      <c r="Y34" s="71">
        <f ca="1">Table25[[#This Row],[End Date]]+2-TODAY()</f>
        <v>87</v>
      </c>
      <c r="Z34" s="15">
        <f>IF(ISBLANK(Table25[[#This Row],[Roster Received By]]),1,0)</f>
        <v>1</v>
      </c>
      <c r="AA34" s="15">
        <f ca="1">IF(Table25[[#This Row],[Start Date]]&gt;TODAY(),1,)</f>
        <v>1</v>
      </c>
    </row>
    <row r="35" spans="1:27" s="106" customFormat="1" ht="14.25" hidden="1" customHeight="1" x14ac:dyDescent="0.25">
      <c r="A35" s="62"/>
      <c r="B35" s="99" t="s">
        <v>51</v>
      </c>
      <c r="C35" s="100" t="s">
        <v>194</v>
      </c>
      <c r="D35" s="100" t="s">
        <v>195</v>
      </c>
      <c r="E35" s="99" t="s">
        <v>80</v>
      </c>
      <c r="F35" s="102">
        <v>45663</v>
      </c>
      <c r="G35" s="102">
        <v>45666</v>
      </c>
      <c r="H35" s="102"/>
      <c r="I35" s="101">
        <v>0.5</v>
      </c>
      <c r="J35" s="101"/>
      <c r="K35" s="101"/>
      <c r="L35" s="101"/>
      <c r="M35" s="101"/>
      <c r="N35" s="101"/>
      <c r="O35" s="99"/>
      <c r="P35" s="99"/>
      <c r="Q35" s="228">
        <v>45</v>
      </c>
      <c r="R35" s="15">
        <v>4</v>
      </c>
      <c r="S35" s="15"/>
      <c r="T35" s="103"/>
      <c r="U35" s="15"/>
      <c r="V35" s="15"/>
      <c r="W35" s="15"/>
      <c r="X35" s="99"/>
      <c r="Y35" s="71">
        <f ca="1">Table25[[#This Row],[End Date]]+2-TODAY()</f>
        <v>136</v>
      </c>
      <c r="Z35" s="15">
        <f>IF(ISBLANK(Table25[[#This Row],[Roster Received By]]),1,0)</f>
        <v>1</v>
      </c>
      <c r="AA35" s="15">
        <f ca="1">IF(Table25[[#This Row],[Start Date]]&gt;TODAY(),1,)</f>
        <v>1</v>
      </c>
    </row>
    <row r="36" spans="1:27" s="106" customFormat="1" ht="14.25" hidden="1" customHeight="1" x14ac:dyDescent="0.25">
      <c r="A36" s="62"/>
      <c r="B36" s="99" t="s">
        <v>51</v>
      </c>
      <c r="C36" s="100" t="s">
        <v>194</v>
      </c>
      <c r="D36" s="100" t="s">
        <v>195</v>
      </c>
      <c r="E36" s="99" t="s">
        <v>80</v>
      </c>
      <c r="F36" s="102">
        <v>45678</v>
      </c>
      <c r="G36" s="102">
        <v>45681</v>
      </c>
      <c r="H36" s="102"/>
      <c r="I36" s="101">
        <v>0.5</v>
      </c>
      <c r="J36" s="101"/>
      <c r="K36" s="101"/>
      <c r="L36" s="101"/>
      <c r="M36" s="101"/>
      <c r="N36" s="101"/>
      <c r="O36" s="99"/>
      <c r="P36" s="99"/>
      <c r="Q36" s="228">
        <v>45</v>
      </c>
      <c r="R36" s="15">
        <v>4</v>
      </c>
      <c r="S36" s="15"/>
      <c r="T36" s="103"/>
      <c r="U36" s="15"/>
      <c r="V36" s="15"/>
      <c r="W36" s="15"/>
      <c r="X36" s="99"/>
      <c r="Y36" s="71">
        <f ca="1">Table25[[#This Row],[End Date]]+2-TODAY()</f>
        <v>151</v>
      </c>
      <c r="Z36" s="15">
        <f>IF(ISBLANK(Table25[[#This Row],[Roster Received By]]),1,0)</f>
        <v>1</v>
      </c>
      <c r="AA36" s="15">
        <f ca="1">IF(Table25[[#This Row],[Start Date]]&gt;TODAY(),1,)</f>
        <v>1</v>
      </c>
    </row>
    <row r="37" spans="1:27" s="106" customFormat="1" ht="14.25" hidden="1" customHeight="1" x14ac:dyDescent="0.25">
      <c r="A37" s="62"/>
      <c r="B37" s="99" t="s">
        <v>51</v>
      </c>
      <c r="C37" s="100" t="s">
        <v>194</v>
      </c>
      <c r="D37" s="100" t="s">
        <v>195</v>
      </c>
      <c r="E37" s="99" t="s">
        <v>80</v>
      </c>
      <c r="F37" s="102">
        <v>45712</v>
      </c>
      <c r="G37" s="102">
        <v>45715</v>
      </c>
      <c r="H37" s="108"/>
      <c r="I37" s="101">
        <v>0.5</v>
      </c>
      <c r="J37" s="102"/>
      <c r="K37" s="102"/>
      <c r="L37" s="102"/>
      <c r="M37" s="102"/>
      <c r="N37" s="102"/>
      <c r="O37" s="99"/>
      <c r="P37" s="99"/>
      <c r="Q37" s="228">
        <v>45</v>
      </c>
      <c r="R37" s="15">
        <v>4</v>
      </c>
      <c r="S37" s="15"/>
      <c r="T37" s="103"/>
      <c r="U37" s="15"/>
      <c r="V37" s="15"/>
      <c r="W37" s="107"/>
      <c r="X37" s="99"/>
      <c r="Y37" s="71">
        <f ca="1">Table25[[#This Row],[End Date]]+2-TODAY()</f>
        <v>185</v>
      </c>
      <c r="Z37" s="15">
        <f>IF(ISBLANK(Table25[[#This Row],[Roster Received By]]),1,0)</f>
        <v>1</v>
      </c>
      <c r="AA37" s="15">
        <f ca="1">IF(Table25[[#This Row],[Start Date]]&gt;TODAY(),1,)</f>
        <v>1</v>
      </c>
    </row>
    <row r="38" spans="1:27" s="106" customFormat="1" ht="14.25" hidden="1" customHeight="1" x14ac:dyDescent="0.25">
      <c r="A38" s="62"/>
      <c r="B38" s="99" t="s">
        <v>51</v>
      </c>
      <c r="C38" s="100" t="s">
        <v>194</v>
      </c>
      <c r="D38" s="100" t="s">
        <v>195</v>
      </c>
      <c r="E38" s="99" t="s">
        <v>80</v>
      </c>
      <c r="F38" s="102">
        <v>45740</v>
      </c>
      <c r="G38" s="102">
        <v>45743</v>
      </c>
      <c r="H38" s="102"/>
      <c r="I38" s="101">
        <v>0.5</v>
      </c>
      <c r="J38" s="101"/>
      <c r="K38" s="101"/>
      <c r="L38" s="101"/>
      <c r="M38" s="101"/>
      <c r="N38" s="101"/>
      <c r="O38" s="99"/>
      <c r="P38" s="99"/>
      <c r="Q38" s="228">
        <v>45</v>
      </c>
      <c r="R38" s="15">
        <v>4</v>
      </c>
      <c r="S38" s="15"/>
      <c r="T38" s="103"/>
      <c r="U38" s="15"/>
      <c r="V38" s="15"/>
      <c r="W38" s="15"/>
      <c r="X38" s="99"/>
      <c r="Y38" s="71">
        <f ca="1">Table25[[#This Row],[End Date]]+2-TODAY()</f>
        <v>213</v>
      </c>
      <c r="Z38" s="15">
        <f>IF(ISBLANK(Table25[[#This Row],[Roster Received By]]),1,0)</f>
        <v>1</v>
      </c>
      <c r="AA38" s="15">
        <f ca="1">IF(Table25[[#This Row],[Start Date]]&gt;TODAY(),1,)</f>
        <v>1</v>
      </c>
    </row>
    <row r="39" spans="1:27" s="138" customFormat="1" ht="14.25" hidden="1" customHeight="1" x14ac:dyDescent="0.25">
      <c r="A39" s="62"/>
      <c r="B39" s="99" t="s">
        <v>51</v>
      </c>
      <c r="C39" s="100" t="s">
        <v>194</v>
      </c>
      <c r="D39" s="100" t="s">
        <v>195</v>
      </c>
      <c r="E39" s="99" t="s">
        <v>80</v>
      </c>
      <c r="F39" s="102">
        <v>45775</v>
      </c>
      <c r="G39" s="102">
        <v>45778</v>
      </c>
      <c r="H39" s="102"/>
      <c r="I39" s="101">
        <v>0.5</v>
      </c>
      <c r="J39" s="101"/>
      <c r="K39" s="101"/>
      <c r="L39" s="101"/>
      <c r="M39" s="101"/>
      <c r="N39" s="101"/>
      <c r="O39" s="99"/>
      <c r="P39" s="99"/>
      <c r="Q39" s="228">
        <v>45</v>
      </c>
      <c r="R39" s="15">
        <v>4</v>
      </c>
      <c r="S39" s="15"/>
      <c r="T39" s="103"/>
      <c r="U39" s="15"/>
      <c r="V39" s="15"/>
      <c r="W39" s="15"/>
      <c r="X39" s="99"/>
      <c r="Y39" s="71">
        <f ca="1">Table25[[#This Row],[End Date]]+2-TODAY()</f>
        <v>248</v>
      </c>
      <c r="Z39" s="15">
        <f>IF(ISBLANK(Table25[[#This Row],[Roster Received By]]),1,0)</f>
        <v>1</v>
      </c>
      <c r="AA39" s="15">
        <f ca="1">IF(Table25[[#This Row],[Start Date]]&gt;TODAY(),1,)</f>
        <v>1</v>
      </c>
    </row>
    <row r="40" spans="1:27" s="106" customFormat="1" ht="16.5" hidden="1" customHeight="1" x14ac:dyDescent="0.25">
      <c r="A40" s="62"/>
      <c r="B40" s="99" t="s">
        <v>51</v>
      </c>
      <c r="C40" s="100" t="s">
        <v>194</v>
      </c>
      <c r="D40" s="100" t="s">
        <v>195</v>
      </c>
      <c r="E40" s="140" t="s">
        <v>80</v>
      </c>
      <c r="F40" s="102">
        <v>45796</v>
      </c>
      <c r="G40" s="102">
        <v>45799</v>
      </c>
      <c r="H40" s="102"/>
      <c r="I40" s="101">
        <v>0.5</v>
      </c>
      <c r="J40" s="101"/>
      <c r="K40" s="101"/>
      <c r="L40" s="101"/>
      <c r="M40" s="101"/>
      <c r="N40" s="101"/>
      <c r="O40" s="99"/>
      <c r="P40" s="99"/>
      <c r="Q40" s="228">
        <v>45</v>
      </c>
      <c r="R40" s="15">
        <v>4</v>
      </c>
      <c r="S40" s="15"/>
      <c r="T40" s="103"/>
      <c r="U40" s="15"/>
      <c r="V40" s="15"/>
      <c r="W40" s="15"/>
      <c r="X40" s="99"/>
      <c r="Y40" s="71">
        <f ca="1">Table25[[#This Row],[End Date]]+2-TODAY()</f>
        <v>269</v>
      </c>
      <c r="Z40" s="15">
        <f>IF(ISBLANK(Table25[[#This Row],[Roster Received By]]),1,0)</f>
        <v>1</v>
      </c>
      <c r="AA40" s="15">
        <f ca="1">IF(Table25[[#This Row],[Start Date]]&gt;TODAY(),1,)</f>
        <v>1</v>
      </c>
    </row>
    <row r="41" spans="1:27" s="106" customFormat="1" ht="16.5" hidden="1" customHeight="1" x14ac:dyDescent="0.25">
      <c r="A41" s="62"/>
      <c r="B41" s="99" t="s">
        <v>51</v>
      </c>
      <c r="C41" s="100" t="s">
        <v>194</v>
      </c>
      <c r="D41" s="100" t="s">
        <v>195</v>
      </c>
      <c r="E41" s="65" t="s">
        <v>80</v>
      </c>
      <c r="F41" s="102">
        <v>45810</v>
      </c>
      <c r="G41" s="102">
        <v>45813</v>
      </c>
      <c r="H41" s="105"/>
      <c r="I41" s="101">
        <v>0.5</v>
      </c>
      <c r="J41" s="102"/>
      <c r="K41" s="102"/>
      <c r="L41" s="102"/>
      <c r="M41" s="102"/>
      <c r="N41" s="102"/>
      <c r="O41" s="99"/>
      <c r="P41" s="99"/>
      <c r="Q41" s="228">
        <v>45</v>
      </c>
      <c r="R41" s="15">
        <v>4</v>
      </c>
      <c r="S41" s="15"/>
      <c r="T41" s="103"/>
      <c r="U41" s="15"/>
      <c r="V41" s="15"/>
      <c r="W41" s="15"/>
      <c r="X41" s="99"/>
      <c r="Y41" s="71">
        <f ca="1">Table25[[#This Row],[End Date]]+2-TODAY()</f>
        <v>283</v>
      </c>
      <c r="Z41" s="15">
        <f>IF(ISBLANK(Table25[[#This Row],[Roster Received By]]),1,0)</f>
        <v>1</v>
      </c>
      <c r="AA41" s="15">
        <f ca="1">IF(Table25[[#This Row],[Start Date]]&gt;TODAY(),1,)</f>
        <v>1</v>
      </c>
    </row>
    <row r="42" spans="1:27" s="106" customFormat="1" ht="14.25" hidden="1" customHeight="1" x14ac:dyDescent="0.25">
      <c r="A42" s="62"/>
      <c r="B42" s="99" t="s">
        <v>51</v>
      </c>
      <c r="C42" s="100" t="s">
        <v>194</v>
      </c>
      <c r="D42" s="100" t="s">
        <v>195</v>
      </c>
      <c r="E42" s="65" t="s">
        <v>80</v>
      </c>
      <c r="F42" s="102">
        <v>45831</v>
      </c>
      <c r="G42" s="102">
        <v>45834</v>
      </c>
      <c r="H42" s="105"/>
      <c r="I42" s="101">
        <v>0.5</v>
      </c>
      <c r="J42" s="102"/>
      <c r="K42" s="102"/>
      <c r="L42" s="102"/>
      <c r="M42" s="102"/>
      <c r="N42" s="102"/>
      <c r="O42" s="99"/>
      <c r="P42" s="99"/>
      <c r="Q42" s="228">
        <v>45</v>
      </c>
      <c r="R42" s="15">
        <v>4</v>
      </c>
      <c r="S42" s="15"/>
      <c r="T42" s="103"/>
      <c r="U42" s="15"/>
      <c r="V42" s="15"/>
      <c r="W42" s="15"/>
      <c r="X42" s="99"/>
      <c r="Y42" s="71">
        <f ca="1">Table25[[#This Row],[End Date]]+2-TODAY()</f>
        <v>304</v>
      </c>
      <c r="Z42" s="15">
        <f>IF(ISBLANK(Table25[[#This Row],[Roster Received By]]),1,0)</f>
        <v>1</v>
      </c>
      <c r="AA42" s="15">
        <f ca="1">IF(Table25[[#This Row],[Start Date]]&gt;TODAY(),1,)</f>
        <v>1</v>
      </c>
    </row>
    <row r="43" spans="1:27" s="106" customFormat="1" ht="14.25" hidden="1" customHeight="1" x14ac:dyDescent="0.25">
      <c r="A43" s="62"/>
      <c r="B43" s="99" t="s">
        <v>51</v>
      </c>
      <c r="C43" s="100" t="s">
        <v>194</v>
      </c>
      <c r="D43" s="100" t="s">
        <v>195</v>
      </c>
      <c r="E43" s="65" t="s">
        <v>80</v>
      </c>
      <c r="F43" s="67">
        <v>45845</v>
      </c>
      <c r="G43" s="102">
        <v>45848</v>
      </c>
      <c r="H43" s="105"/>
      <c r="I43" s="101">
        <v>0.5</v>
      </c>
      <c r="J43" s="102"/>
      <c r="K43" s="102"/>
      <c r="L43" s="102"/>
      <c r="M43" s="102"/>
      <c r="N43" s="102"/>
      <c r="O43" s="99"/>
      <c r="P43" s="99"/>
      <c r="Q43" s="228">
        <v>45</v>
      </c>
      <c r="R43" s="15">
        <v>4</v>
      </c>
      <c r="S43" s="15"/>
      <c r="T43" s="103"/>
      <c r="U43" s="15"/>
      <c r="V43" s="15"/>
      <c r="W43" s="15"/>
      <c r="X43" s="99"/>
      <c r="Y43" s="71">
        <f ca="1">Table25[[#This Row],[End Date]]+2-TODAY()</f>
        <v>318</v>
      </c>
      <c r="Z43" s="15">
        <f>IF(ISBLANK(Table25[[#This Row],[Roster Received By]]),1,0)</f>
        <v>1</v>
      </c>
      <c r="AA43" s="15">
        <f ca="1">IF(Table25[[#This Row],[Start Date]]&gt;TODAY(),1,)</f>
        <v>1</v>
      </c>
    </row>
    <row r="44" spans="1:27" s="106" customFormat="1" ht="14.25" hidden="1" customHeight="1" x14ac:dyDescent="0.25">
      <c r="A44" s="99"/>
      <c r="B44" s="99" t="s">
        <v>51</v>
      </c>
      <c r="C44" s="100" t="s">
        <v>194</v>
      </c>
      <c r="D44" s="100" t="s">
        <v>195</v>
      </c>
      <c r="E44" s="99" t="s">
        <v>80</v>
      </c>
      <c r="F44" s="102">
        <v>45859</v>
      </c>
      <c r="G44" s="102">
        <v>45862</v>
      </c>
      <c r="H44" s="105"/>
      <c r="I44" s="101">
        <v>0.5</v>
      </c>
      <c r="J44" s="105"/>
      <c r="K44" s="105"/>
      <c r="L44" s="105"/>
      <c r="M44" s="105"/>
      <c r="N44" s="105"/>
      <c r="O44" s="99"/>
      <c r="P44" s="99"/>
      <c r="Q44" s="228">
        <v>45</v>
      </c>
      <c r="R44" s="15">
        <v>4</v>
      </c>
      <c r="S44" s="15"/>
      <c r="T44" s="103"/>
      <c r="U44" s="15"/>
      <c r="V44" s="15"/>
      <c r="W44" s="15"/>
      <c r="X44" s="99"/>
      <c r="Y44" s="71">
        <f ca="1">Table25[[#This Row],[End Date]]+2-TODAY()</f>
        <v>332</v>
      </c>
      <c r="Z44" s="15">
        <f>IF(ISBLANK(Table25[[#This Row],[Roster Received By]]),1,0)</f>
        <v>1</v>
      </c>
      <c r="AA44" s="15">
        <f ca="1">IF(Table25[[#This Row],[Start Date]]&gt;TODAY(),1,)</f>
        <v>1</v>
      </c>
    </row>
    <row r="45" spans="1:27" s="106" customFormat="1" ht="16.5" hidden="1" customHeight="1" x14ac:dyDescent="0.25">
      <c r="A45" s="62"/>
      <c r="B45" s="99" t="s">
        <v>51</v>
      </c>
      <c r="C45" s="100" t="s">
        <v>194</v>
      </c>
      <c r="D45" s="100" t="s">
        <v>195</v>
      </c>
      <c r="E45" s="99" t="s">
        <v>80</v>
      </c>
      <c r="F45" s="102">
        <v>45887</v>
      </c>
      <c r="G45" s="102">
        <v>45890</v>
      </c>
      <c r="H45" s="102"/>
      <c r="I45" s="101">
        <v>0.5</v>
      </c>
      <c r="J45" s="101"/>
      <c r="K45" s="101"/>
      <c r="L45" s="101"/>
      <c r="M45" s="101"/>
      <c r="N45" s="101"/>
      <c r="O45" s="99"/>
      <c r="P45" s="99"/>
      <c r="Q45" s="228">
        <v>45</v>
      </c>
      <c r="R45" s="15">
        <v>4</v>
      </c>
      <c r="S45" s="15"/>
      <c r="T45" s="103"/>
      <c r="U45" s="15"/>
      <c r="V45" s="15"/>
      <c r="W45" s="15"/>
      <c r="X45" s="99"/>
      <c r="Y45" s="71">
        <f ca="1">Table25[[#This Row],[End Date]]+2-TODAY()</f>
        <v>360</v>
      </c>
      <c r="Z45" s="15">
        <f>IF(ISBLANK(Table25[[#This Row],[Roster Received By]]),1,0)</f>
        <v>1</v>
      </c>
      <c r="AA45" s="15">
        <f ca="1">IF(Table25[[#This Row],[Start Date]]&gt;TODAY(),1,)</f>
        <v>1</v>
      </c>
    </row>
    <row r="46" spans="1:27" s="106" customFormat="1" ht="16.5" hidden="1" customHeight="1" x14ac:dyDescent="0.25">
      <c r="A46" s="62"/>
      <c r="B46" s="99" t="s">
        <v>51</v>
      </c>
      <c r="C46" s="100" t="s">
        <v>194</v>
      </c>
      <c r="D46" s="100" t="s">
        <v>195</v>
      </c>
      <c r="E46" s="99" t="s">
        <v>80</v>
      </c>
      <c r="F46" s="102">
        <v>45902</v>
      </c>
      <c r="G46" s="102">
        <v>45905</v>
      </c>
      <c r="H46" s="102"/>
      <c r="I46" s="101">
        <v>0.5</v>
      </c>
      <c r="J46" s="101"/>
      <c r="K46" s="101"/>
      <c r="L46" s="101"/>
      <c r="M46" s="101"/>
      <c r="N46" s="101"/>
      <c r="O46" s="99"/>
      <c r="P46" s="99"/>
      <c r="Q46" s="228">
        <v>45</v>
      </c>
      <c r="R46" s="15">
        <v>4</v>
      </c>
      <c r="S46" s="15"/>
      <c r="T46" s="103"/>
      <c r="U46" s="15"/>
      <c r="V46" s="15"/>
      <c r="W46" s="15"/>
      <c r="X46" s="99"/>
      <c r="Y46" s="71">
        <f ca="1">Table25[[#This Row],[End Date]]+2-TODAY()</f>
        <v>375</v>
      </c>
      <c r="Z46" s="15">
        <f>IF(ISBLANK(Table25[[#This Row],[Roster Received By]]),1,0)</f>
        <v>1</v>
      </c>
      <c r="AA46" s="15">
        <f ca="1">IF(Table25[[#This Row],[Start Date]]&gt;TODAY(),1,)</f>
        <v>1</v>
      </c>
    </row>
    <row r="47" spans="1:27" s="106" customFormat="1" ht="14.25" hidden="1" customHeight="1" x14ac:dyDescent="0.25">
      <c r="A47" s="62"/>
      <c r="B47" s="99" t="s">
        <v>51</v>
      </c>
      <c r="C47" s="100" t="s">
        <v>194</v>
      </c>
      <c r="D47" s="100" t="s">
        <v>195</v>
      </c>
      <c r="E47" s="99" t="s">
        <v>80</v>
      </c>
      <c r="F47" s="110">
        <v>45922</v>
      </c>
      <c r="G47" s="110">
        <v>45925</v>
      </c>
      <c r="H47" s="102"/>
      <c r="I47" s="101">
        <v>0.5</v>
      </c>
      <c r="J47" s="101"/>
      <c r="K47" s="101"/>
      <c r="L47" s="101"/>
      <c r="M47" s="101"/>
      <c r="N47" s="101"/>
      <c r="O47" s="99"/>
      <c r="P47" s="99"/>
      <c r="Q47" s="228">
        <v>45</v>
      </c>
      <c r="R47" s="15">
        <v>4</v>
      </c>
      <c r="S47" s="15"/>
      <c r="T47" s="103"/>
      <c r="U47" s="15"/>
      <c r="V47" s="15"/>
      <c r="W47" s="15"/>
      <c r="X47" s="99"/>
      <c r="Y47" s="71">
        <f ca="1">Table25[[#This Row],[End Date]]+2-TODAY()</f>
        <v>395</v>
      </c>
      <c r="Z47" s="15">
        <f>IF(ISBLANK(Table25[[#This Row],[Roster Received By]]),1,0)</f>
        <v>1</v>
      </c>
      <c r="AA47" s="15">
        <f ca="1">IF(Table25[[#This Row],[Start Date]]&gt;TODAY(),1,)</f>
        <v>1</v>
      </c>
    </row>
    <row r="48" spans="1:27" s="106" customFormat="1" ht="14.25" hidden="1" customHeight="1" x14ac:dyDescent="0.25">
      <c r="A48" s="62"/>
      <c r="B48" s="99" t="s">
        <v>52</v>
      </c>
      <c r="C48" s="100" t="s">
        <v>220</v>
      </c>
      <c r="D48" s="100">
        <v>3555</v>
      </c>
      <c r="E48" s="99" t="s">
        <v>80</v>
      </c>
      <c r="F48" s="67">
        <v>45572</v>
      </c>
      <c r="G48" s="67">
        <v>45575</v>
      </c>
      <c r="H48" s="101"/>
      <c r="I48" s="101">
        <v>0.5</v>
      </c>
      <c r="J48" s="102"/>
      <c r="K48" s="102"/>
      <c r="L48" s="102"/>
      <c r="M48" s="102"/>
      <c r="N48" s="102"/>
      <c r="O48" s="99"/>
      <c r="P48" s="99"/>
      <c r="Q48" s="228">
        <v>45</v>
      </c>
      <c r="R48" s="15">
        <v>4</v>
      </c>
      <c r="S48" s="15"/>
      <c r="T48" s="103"/>
      <c r="U48" s="15"/>
      <c r="V48" s="15"/>
      <c r="W48" s="15"/>
      <c r="X48" s="99"/>
      <c r="Y48" s="71">
        <f ca="1">Table25[[#This Row],[End Date]]+2-TODAY()</f>
        <v>45</v>
      </c>
      <c r="Z48" s="15">
        <f>IF(ISBLANK(Table25[[#This Row],[Roster Received By]]),1,0)</f>
        <v>1</v>
      </c>
      <c r="AA48" s="15">
        <f ca="1">IF(Table25[[#This Row],[Start Date]]&gt;TODAY(),1,)</f>
        <v>1</v>
      </c>
    </row>
    <row r="49" spans="1:27" s="106" customFormat="1" ht="14.25" hidden="1" customHeight="1" x14ac:dyDescent="0.25">
      <c r="A49" s="62"/>
      <c r="B49" s="99" t="s">
        <v>52</v>
      </c>
      <c r="C49" s="100" t="s">
        <v>220</v>
      </c>
      <c r="D49" s="100">
        <v>3555</v>
      </c>
      <c r="E49" s="65" t="s">
        <v>80</v>
      </c>
      <c r="F49" s="102">
        <v>45614</v>
      </c>
      <c r="G49" s="102">
        <v>45617</v>
      </c>
      <c r="H49" s="105"/>
      <c r="I49" s="101">
        <v>0.5</v>
      </c>
      <c r="J49" s="102"/>
      <c r="K49" s="102"/>
      <c r="L49" s="102"/>
      <c r="M49" s="102"/>
      <c r="N49" s="102"/>
      <c r="O49" s="99"/>
      <c r="P49" s="99"/>
      <c r="Q49" s="228">
        <v>45</v>
      </c>
      <c r="R49" s="15">
        <v>4</v>
      </c>
      <c r="S49" s="15"/>
      <c r="T49" s="103"/>
      <c r="U49" s="15"/>
      <c r="V49" s="15"/>
      <c r="W49" s="15"/>
      <c r="X49" s="99"/>
      <c r="Y49" s="71">
        <f ca="1">Table25[[#This Row],[End Date]]+2-TODAY()</f>
        <v>87</v>
      </c>
      <c r="Z49" s="15">
        <f>IF(ISBLANK(Table25[[#This Row],[Roster Received By]]),1,0)</f>
        <v>1</v>
      </c>
      <c r="AA49" s="15">
        <f ca="1">IF(Table25[[#This Row],[Start Date]]&gt;TODAY(),1,)</f>
        <v>1</v>
      </c>
    </row>
    <row r="50" spans="1:27" s="106" customFormat="1" ht="14.25" hidden="1" customHeight="1" x14ac:dyDescent="0.25">
      <c r="A50" s="62"/>
      <c r="B50" s="99" t="s">
        <v>52</v>
      </c>
      <c r="C50" s="100" t="s">
        <v>220</v>
      </c>
      <c r="D50" s="100">
        <v>3555</v>
      </c>
      <c r="E50" s="99" t="s">
        <v>80</v>
      </c>
      <c r="F50" s="102">
        <v>45670</v>
      </c>
      <c r="G50" s="102">
        <v>45673</v>
      </c>
      <c r="H50" s="102"/>
      <c r="I50" s="101">
        <v>0.5</v>
      </c>
      <c r="J50" s="101"/>
      <c r="K50" s="101"/>
      <c r="L50" s="101"/>
      <c r="M50" s="101"/>
      <c r="N50" s="101"/>
      <c r="O50" s="99"/>
      <c r="P50" s="99"/>
      <c r="Q50" s="228">
        <v>45</v>
      </c>
      <c r="R50" s="15">
        <v>4</v>
      </c>
      <c r="S50" s="15"/>
      <c r="T50" s="103"/>
      <c r="U50" s="15"/>
      <c r="V50" s="15"/>
      <c r="W50" s="15"/>
      <c r="X50" s="99"/>
      <c r="Y50" s="71">
        <f ca="1">Table25[[#This Row],[End Date]]+2-TODAY()</f>
        <v>143</v>
      </c>
      <c r="Z50" s="15">
        <f>IF(ISBLANK(Table25[[#This Row],[Roster Received By]]),1,0)</f>
        <v>1</v>
      </c>
      <c r="AA50" s="15">
        <f ca="1">IF(Table25[[#This Row],[Start Date]]&gt;TODAY(),1,)</f>
        <v>1</v>
      </c>
    </row>
    <row r="51" spans="1:27" s="139" customFormat="1" ht="14.25" hidden="1" customHeight="1" x14ac:dyDescent="0.25">
      <c r="A51" s="62"/>
      <c r="B51" s="99" t="s">
        <v>52</v>
      </c>
      <c r="C51" s="100" t="s">
        <v>220</v>
      </c>
      <c r="D51" s="100">
        <v>3555</v>
      </c>
      <c r="E51" s="99" t="s">
        <v>80</v>
      </c>
      <c r="F51" s="102">
        <v>45691</v>
      </c>
      <c r="G51" s="102">
        <v>45694</v>
      </c>
      <c r="H51" s="102"/>
      <c r="I51" s="101">
        <v>0.5</v>
      </c>
      <c r="J51" s="101"/>
      <c r="K51" s="101"/>
      <c r="L51" s="101"/>
      <c r="M51" s="101"/>
      <c r="N51" s="101"/>
      <c r="O51" s="99"/>
      <c r="P51" s="99"/>
      <c r="Q51" s="228">
        <v>45</v>
      </c>
      <c r="R51" s="15">
        <v>4</v>
      </c>
      <c r="S51" s="15"/>
      <c r="T51" s="103"/>
      <c r="U51" s="15"/>
      <c r="V51" s="15"/>
      <c r="W51" s="15"/>
      <c r="X51" s="99"/>
      <c r="Y51" s="71">
        <f ca="1">Table25[[#This Row],[End Date]]+2-TODAY()</f>
        <v>164</v>
      </c>
      <c r="Z51" s="15">
        <f>IF(ISBLANK(Table25[[#This Row],[Roster Received By]]),1,0)</f>
        <v>1</v>
      </c>
      <c r="AA51" s="15">
        <f ca="1">IF(Table25[[#This Row],[Start Date]]&gt;TODAY(),1,)</f>
        <v>1</v>
      </c>
    </row>
    <row r="52" spans="1:27" s="135" customFormat="1" ht="14.25" hidden="1" customHeight="1" x14ac:dyDescent="0.25">
      <c r="A52" s="62"/>
      <c r="B52" s="99" t="s">
        <v>52</v>
      </c>
      <c r="C52" s="100" t="s">
        <v>220</v>
      </c>
      <c r="D52" s="100">
        <v>3555</v>
      </c>
      <c r="E52" s="99" t="s">
        <v>80</v>
      </c>
      <c r="F52" s="102">
        <v>45712</v>
      </c>
      <c r="G52" s="102">
        <v>45715</v>
      </c>
      <c r="H52" s="105"/>
      <c r="I52" s="101">
        <v>0.5</v>
      </c>
      <c r="J52" s="105"/>
      <c r="K52" s="105"/>
      <c r="L52" s="105"/>
      <c r="M52" s="105"/>
      <c r="N52" s="102"/>
      <c r="O52" s="99"/>
      <c r="P52" s="99"/>
      <c r="Q52" s="228">
        <v>45</v>
      </c>
      <c r="R52" s="15">
        <v>4</v>
      </c>
      <c r="S52" s="15"/>
      <c r="T52" s="103"/>
      <c r="U52" s="15"/>
      <c r="V52" s="15"/>
      <c r="W52" s="15"/>
      <c r="X52" s="99"/>
      <c r="Y52" s="71">
        <f ca="1">Table25[[#This Row],[End Date]]+2-TODAY()</f>
        <v>185</v>
      </c>
      <c r="Z52" s="15">
        <f>IF(ISBLANK(Table25[[#This Row],[Roster Received By]]),1,0)</f>
        <v>1</v>
      </c>
      <c r="AA52" s="15">
        <f ca="1">IF(Table25[[#This Row],[Start Date]]&gt;TODAY(),1,)</f>
        <v>1</v>
      </c>
    </row>
    <row r="53" spans="1:27" s="135" customFormat="1" ht="14.25" hidden="1" customHeight="1" x14ac:dyDescent="0.25">
      <c r="A53" s="62"/>
      <c r="B53" s="99" t="s">
        <v>52</v>
      </c>
      <c r="C53" s="100" t="s">
        <v>220</v>
      </c>
      <c r="D53" s="100">
        <v>3555</v>
      </c>
      <c r="E53" s="99" t="s">
        <v>80</v>
      </c>
      <c r="F53" s="102">
        <v>45726</v>
      </c>
      <c r="G53" s="102">
        <v>45729</v>
      </c>
      <c r="H53" s="102"/>
      <c r="I53" s="101">
        <v>0.5</v>
      </c>
      <c r="J53" s="101"/>
      <c r="K53" s="101"/>
      <c r="L53" s="101"/>
      <c r="M53" s="101"/>
      <c r="N53" s="101"/>
      <c r="O53" s="99"/>
      <c r="P53" s="99"/>
      <c r="Q53" s="228">
        <v>45</v>
      </c>
      <c r="R53" s="15">
        <v>4</v>
      </c>
      <c r="S53" s="15"/>
      <c r="T53" s="103"/>
      <c r="U53" s="15"/>
      <c r="V53" s="15"/>
      <c r="W53" s="15"/>
      <c r="X53" s="99"/>
      <c r="Y53" s="71">
        <f ca="1">Table25[[#This Row],[End Date]]+2-TODAY()</f>
        <v>199</v>
      </c>
      <c r="Z53" s="15">
        <f>IF(ISBLANK(Table25[[#This Row],[Roster Received By]]),1,0)</f>
        <v>1</v>
      </c>
      <c r="AA53" s="15">
        <f ca="1">IF(Table25[[#This Row],[Start Date]]&gt;TODAY(),1,)</f>
        <v>1</v>
      </c>
    </row>
    <row r="54" spans="1:27" s="106" customFormat="1" ht="14.25" hidden="1" customHeight="1" x14ac:dyDescent="0.25">
      <c r="A54" s="62"/>
      <c r="B54" s="99" t="s">
        <v>52</v>
      </c>
      <c r="C54" s="100" t="s">
        <v>220</v>
      </c>
      <c r="D54" s="100">
        <v>3555</v>
      </c>
      <c r="E54" s="99" t="s">
        <v>80</v>
      </c>
      <c r="F54" s="102">
        <v>45747</v>
      </c>
      <c r="G54" s="102">
        <v>45750</v>
      </c>
      <c r="H54" s="108"/>
      <c r="I54" s="101">
        <v>0.5</v>
      </c>
      <c r="J54" s="102"/>
      <c r="K54" s="102"/>
      <c r="L54" s="102"/>
      <c r="M54" s="102"/>
      <c r="N54" s="102"/>
      <c r="O54" s="99"/>
      <c r="P54" s="99"/>
      <c r="Q54" s="228">
        <v>45</v>
      </c>
      <c r="R54" s="15">
        <v>4</v>
      </c>
      <c r="S54" s="15"/>
      <c r="T54" s="103"/>
      <c r="U54" s="15"/>
      <c r="V54" s="15"/>
      <c r="W54" s="15"/>
      <c r="X54" s="99"/>
      <c r="Y54" s="71">
        <f ca="1">Table25[[#This Row],[End Date]]+2-TODAY()</f>
        <v>220</v>
      </c>
      <c r="Z54" s="15">
        <f>IF(ISBLANK(Table25[[#This Row],[Roster Received By]]),1,0)</f>
        <v>1</v>
      </c>
      <c r="AA54" s="15">
        <f ca="1">IF(Table25[[#This Row],[Start Date]]&gt;TODAY(),1,)</f>
        <v>1</v>
      </c>
    </row>
    <row r="55" spans="1:27" s="106" customFormat="1" ht="14.25" hidden="1" customHeight="1" x14ac:dyDescent="0.25">
      <c r="A55" s="62"/>
      <c r="B55" s="99" t="s">
        <v>52</v>
      </c>
      <c r="C55" s="100" t="s">
        <v>220</v>
      </c>
      <c r="D55" s="100">
        <v>3555</v>
      </c>
      <c r="E55" s="65" t="s">
        <v>80</v>
      </c>
      <c r="F55" s="102">
        <v>45782</v>
      </c>
      <c r="G55" s="102">
        <v>45785</v>
      </c>
      <c r="H55" s="105"/>
      <c r="I55" s="101">
        <v>0.5</v>
      </c>
      <c r="J55" s="102"/>
      <c r="K55" s="102"/>
      <c r="L55" s="102"/>
      <c r="M55" s="102"/>
      <c r="N55" s="102"/>
      <c r="O55" s="99"/>
      <c r="P55" s="99"/>
      <c r="Q55" s="228">
        <v>45</v>
      </c>
      <c r="R55" s="15">
        <v>4</v>
      </c>
      <c r="S55" s="15"/>
      <c r="T55" s="103"/>
      <c r="U55" s="15"/>
      <c r="V55" s="15"/>
      <c r="W55" s="15"/>
      <c r="X55" s="99"/>
      <c r="Y55" s="71">
        <f ca="1">Table25[[#This Row],[End Date]]+2-TODAY()</f>
        <v>255</v>
      </c>
      <c r="Z55" s="15">
        <f>IF(ISBLANK(Table25[[#This Row],[Roster Received By]]),1,0)</f>
        <v>1</v>
      </c>
      <c r="AA55" s="15">
        <f ca="1">IF(Table25[[#This Row],[Start Date]]&gt;TODAY(),1,)</f>
        <v>1</v>
      </c>
    </row>
    <row r="56" spans="1:27" s="106" customFormat="1" ht="14.25" hidden="1" customHeight="1" x14ac:dyDescent="0.25">
      <c r="A56" s="62"/>
      <c r="B56" s="99" t="s">
        <v>52</v>
      </c>
      <c r="C56" s="100" t="s">
        <v>220</v>
      </c>
      <c r="D56" s="100">
        <v>3555</v>
      </c>
      <c r="E56" s="65" t="s">
        <v>80</v>
      </c>
      <c r="F56" s="102">
        <v>45804</v>
      </c>
      <c r="G56" s="102">
        <v>45807</v>
      </c>
      <c r="H56" s="105"/>
      <c r="I56" s="101">
        <v>0.5</v>
      </c>
      <c r="J56" s="102"/>
      <c r="K56" s="102"/>
      <c r="L56" s="102"/>
      <c r="M56" s="102"/>
      <c r="N56" s="102"/>
      <c r="O56" s="99"/>
      <c r="P56" s="99"/>
      <c r="Q56" s="228">
        <v>45</v>
      </c>
      <c r="R56" s="15">
        <v>4</v>
      </c>
      <c r="S56" s="15"/>
      <c r="T56" s="103"/>
      <c r="U56" s="15"/>
      <c r="V56" s="15"/>
      <c r="W56" s="15"/>
      <c r="X56" s="99"/>
      <c r="Y56" s="71">
        <f ca="1">Table25[[#This Row],[End Date]]+2-TODAY()</f>
        <v>277</v>
      </c>
      <c r="Z56" s="15">
        <f>IF(ISBLANK(Table25[[#This Row],[Roster Received By]]),1,0)</f>
        <v>1</v>
      </c>
      <c r="AA56" s="15">
        <f ca="1">IF(Table25[[#This Row],[Start Date]]&gt;TODAY(),1,)</f>
        <v>1</v>
      </c>
    </row>
    <row r="57" spans="1:27" s="106" customFormat="1" ht="14.25" hidden="1" customHeight="1" x14ac:dyDescent="0.25">
      <c r="A57" s="62"/>
      <c r="B57" s="99" t="s">
        <v>52</v>
      </c>
      <c r="C57" s="100" t="s">
        <v>220</v>
      </c>
      <c r="D57" s="100">
        <v>3555</v>
      </c>
      <c r="E57" s="99" t="s">
        <v>80</v>
      </c>
      <c r="F57" s="102">
        <v>45817</v>
      </c>
      <c r="G57" s="102">
        <v>45820</v>
      </c>
      <c r="H57" s="102"/>
      <c r="I57" s="101">
        <v>0.5</v>
      </c>
      <c r="J57" s="101"/>
      <c r="K57" s="101"/>
      <c r="L57" s="101"/>
      <c r="M57" s="101"/>
      <c r="N57" s="101"/>
      <c r="O57" s="99"/>
      <c r="P57" s="99"/>
      <c r="Q57" s="228">
        <v>45</v>
      </c>
      <c r="R57" s="15">
        <v>4</v>
      </c>
      <c r="S57" s="15"/>
      <c r="T57" s="103"/>
      <c r="U57" s="15"/>
      <c r="V57" s="15"/>
      <c r="W57" s="15"/>
      <c r="X57" s="99"/>
      <c r="Y57" s="71">
        <f ca="1">Table25[[#This Row],[End Date]]+2-TODAY()</f>
        <v>290</v>
      </c>
      <c r="Z57" s="15">
        <f>IF(ISBLANK(Table25[[#This Row],[Roster Received By]]),1,0)</f>
        <v>1</v>
      </c>
      <c r="AA57" s="15">
        <f ca="1">IF(Table25[[#This Row],[Start Date]]&gt;TODAY(),1,)</f>
        <v>1</v>
      </c>
    </row>
    <row r="58" spans="1:27" s="106" customFormat="1" ht="14.25" hidden="1" customHeight="1" x14ac:dyDescent="0.25">
      <c r="A58" s="62"/>
      <c r="B58" s="99" t="s">
        <v>52</v>
      </c>
      <c r="C58" s="100" t="s">
        <v>220</v>
      </c>
      <c r="D58" s="100">
        <v>3555</v>
      </c>
      <c r="E58" s="99" t="s">
        <v>80</v>
      </c>
      <c r="F58" s="102">
        <v>45831</v>
      </c>
      <c r="G58" s="102">
        <v>45834</v>
      </c>
      <c r="H58" s="105"/>
      <c r="I58" s="101">
        <v>0.5</v>
      </c>
      <c r="J58" s="102"/>
      <c r="K58" s="102"/>
      <c r="L58" s="102"/>
      <c r="M58" s="102"/>
      <c r="N58" s="102"/>
      <c r="O58" s="99"/>
      <c r="P58" s="99"/>
      <c r="Q58" s="228">
        <v>45</v>
      </c>
      <c r="R58" s="15">
        <v>4</v>
      </c>
      <c r="S58" s="15"/>
      <c r="T58" s="103"/>
      <c r="U58" s="15"/>
      <c r="V58" s="15"/>
      <c r="W58" s="15"/>
      <c r="X58" s="99"/>
      <c r="Y58" s="71">
        <f ca="1">Table25[[#This Row],[End Date]]+2-TODAY()</f>
        <v>304</v>
      </c>
      <c r="Z58" s="15">
        <f>IF(ISBLANK(Table25[[#This Row],[Roster Received By]]),1,0)</f>
        <v>1</v>
      </c>
      <c r="AA58" s="15">
        <f ca="1">IF(Table25[[#This Row],[Start Date]]&gt;TODAY(),1,)</f>
        <v>1</v>
      </c>
    </row>
    <row r="59" spans="1:27" s="106" customFormat="1" ht="16.5" hidden="1" customHeight="1" x14ac:dyDescent="0.25">
      <c r="A59" s="62"/>
      <c r="B59" s="99" t="s">
        <v>52</v>
      </c>
      <c r="C59" s="100" t="s">
        <v>220</v>
      </c>
      <c r="D59" s="100">
        <v>3555</v>
      </c>
      <c r="E59" s="99" t="s">
        <v>80</v>
      </c>
      <c r="F59" s="67">
        <v>45866</v>
      </c>
      <c r="G59" s="67">
        <v>45869</v>
      </c>
      <c r="H59" s="67"/>
      <c r="I59" s="101">
        <v>0.5</v>
      </c>
      <c r="J59" s="101"/>
      <c r="K59" s="101"/>
      <c r="L59" s="101"/>
      <c r="M59" s="101"/>
      <c r="N59" s="101"/>
      <c r="O59" s="99"/>
      <c r="P59" s="99"/>
      <c r="Q59" s="228">
        <v>45</v>
      </c>
      <c r="R59" s="15">
        <v>4</v>
      </c>
      <c r="S59" s="15"/>
      <c r="T59" s="103"/>
      <c r="U59" s="15"/>
      <c r="V59" s="15"/>
      <c r="W59" s="15"/>
      <c r="X59" s="99"/>
      <c r="Y59" s="71">
        <f ca="1">Table25[[#This Row],[End Date]]+2-TODAY()</f>
        <v>339</v>
      </c>
      <c r="Z59" s="15">
        <f>IF(ISBLANK(Table25[[#This Row],[Roster Received By]]),1,0)</f>
        <v>1</v>
      </c>
      <c r="AA59" s="15">
        <f ca="1">IF(Table25[[#This Row],[Start Date]]&gt;TODAY(),1,)</f>
        <v>1</v>
      </c>
    </row>
    <row r="60" spans="1:27" s="106" customFormat="1" ht="14.25" hidden="1" customHeight="1" x14ac:dyDescent="0.25">
      <c r="A60" s="62"/>
      <c r="B60" s="99" t="s">
        <v>52</v>
      </c>
      <c r="C60" s="100" t="s">
        <v>220</v>
      </c>
      <c r="D60" s="100">
        <v>3555</v>
      </c>
      <c r="E60" s="99" t="s">
        <v>80</v>
      </c>
      <c r="F60" s="102">
        <v>45880</v>
      </c>
      <c r="G60" s="102">
        <v>45883</v>
      </c>
      <c r="H60" s="102"/>
      <c r="I60" s="101">
        <v>0.5</v>
      </c>
      <c r="J60" s="101"/>
      <c r="K60" s="101"/>
      <c r="L60" s="101"/>
      <c r="M60" s="101"/>
      <c r="N60" s="101"/>
      <c r="O60" s="99"/>
      <c r="P60" s="99"/>
      <c r="Q60" s="228">
        <v>45</v>
      </c>
      <c r="R60" s="15">
        <v>4</v>
      </c>
      <c r="S60" s="15"/>
      <c r="T60" s="103"/>
      <c r="U60" s="15"/>
      <c r="V60" s="15"/>
      <c r="W60" s="15"/>
      <c r="X60" s="99"/>
      <c r="Y60" s="71">
        <f ca="1">Table25[[#This Row],[End Date]]+2-TODAY()</f>
        <v>353</v>
      </c>
      <c r="Z60" s="15">
        <f>IF(ISBLANK(Table25[[#This Row],[Roster Received By]]),1,0)</f>
        <v>1</v>
      </c>
      <c r="AA60" s="15">
        <f ca="1">IF(Table25[[#This Row],[Start Date]]&gt;TODAY(),1,)</f>
        <v>1</v>
      </c>
    </row>
    <row r="61" spans="1:27" s="106" customFormat="1" ht="16.5" hidden="1" customHeight="1" x14ac:dyDescent="0.25">
      <c r="A61" s="62"/>
      <c r="B61" s="99" t="s">
        <v>52</v>
      </c>
      <c r="C61" s="100" t="s">
        <v>220</v>
      </c>
      <c r="D61" s="100">
        <v>3555</v>
      </c>
      <c r="E61" s="99" t="s">
        <v>80</v>
      </c>
      <c r="F61" s="102">
        <v>45894</v>
      </c>
      <c r="G61" s="102">
        <v>45897</v>
      </c>
      <c r="H61" s="102"/>
      <c r="I61" s="101">
        <v>0.5</v>
      </c>
      <c r="J61" s="101"/>
      <c r="K61" s="101"/>
      <c r="L61" s="101"/>
      <c r="M61" s="101"/>
      <c r="N61" s="101"/>
      <c r="O61" s="99"/>
      <c r="P61" s="99"/>
      <c r="Q61" s="228">
        <v>45</v>
      </c>
      <c r="R61" s="15">
        <v>4</v>
      </c>
      <c r="S61" s="15"/>
      <c r="T61" s="103"/>
      <c r="U61" s="15"/>
      <c r="V61" s="15"/>
      <c r="W61" s="15"/>
      <c r="X61" s="99"/>
      <c r="Y61" s="71">
        <f ca="1">Table25[[#This Row],[End Date]]+2-TODAY()</f>
        <v>367</v>
      </c>
      <c r="Z61" s="15">
        <f>IF(ISBLANK(Table25[[#This Row],[Roster Received By]]),1,0)</f>
        <v>1</v>
      </c>
      <c r="AA61" s="15">
        <f ca="1">IF(Table25[[#This Row],[Start Date]]&gt;TODAY(),1,)</f>
        <v>1</v>
      </c>
    </row>
    <row r="62" spans="1:27" s="135" customFormat="1" ht="14.25" hidden="1" customHeight="1" x14ac:dyDescent="0.25">
      <c r="A62" s="62"/>
      <c r="B62" s="99" t="s">
        <v>52</v>
      </c>
      <c r="C62" s="100" t="s">
        <v>220</v>
      </c>
      <c r="D62" s="100">
        <v>3555</v>
      </c>
      <c r="E62" s="99" t="s">
        <v>80</v>
      </c>
      <c r="F62" s="102">
        <v>45908</v>
      </c>
      <c r="G62" s="102">
        <v>45911</v>
      </c>
      <c r="H62" s="102"/>
      <c r="I62" s="101">
        <v>0.5</v>
      </c>
      <c r="J62" s="101"/>
      <c r="K62" s="101"/>
      <c r="L62" s="101"/>
      <c r="M62" s="101"/>
      <c r="N62" s="101"/>
      <c r="O62" s="99"/>
      <c r="P62" s="99"/>
      <c r="Q62" s="228">
        <v>45</v>
      </c>
      <c r="R62" s="15">
        <v>4</v>
      </c>
      <c r="S62" s="15"/>
      <c r="T62" s="103"/>
      <c r="U62" s="15"/>
      <c r="V62" s="15"/>
      <c r="W62" s="107"/>
      <c r="X62" s="99"/>
      <c r="Y62" s="71">
        <f ca="1">Table25[[#This Row],[End Date]]+2-TODAY()</f>
        <v>381</v>
      </c>
      <c r="Z62" s="15">
        <f>IF(ISBLANK(Table25[[#This Row],[Roster Received By]]),1,0)</f>
        <v>1</v>
      </c>
      <c r="AA62" s="15">
        <f ca="1">IF(Table25[[#This Row],[Start Date]]&gt;TODAY(),1,)</f>
        <v>1</v>
      </c>
    </row>
    <row r="63" spans="1:27" s="106" customFormat="1" ht="14.25" hidden="1" customHeight="1" x14ac:dyDescent="0.25">
      <c r="A63" s="62"/>
      <c r="B63" s="99" t="s">
        <v>52</v>
      </c>
      <c r="C63" s="100" t="s">
        <v>220</v>
      </c>
      <c r="D63" s="100">
        <v>3555</v>
      </c>
      <c r="E63" s="99" t="s">
        <v>80</v>
      </c>
      <c r="F63" s="102">
        <v>45922</v>
      </c>
      <c r="G63" s="102">
        <v>45925</v>
      </c>
      <c r="H63" s="105"/>
      <c r="I63" s="101">
        <v>0.5</v>
      </c>
      <c r="J63" s="102"/>
      <c r="K63" s="102"/>
      <c r="L63" s="102"/>
      <c r="M63" s="102"/>
      <c r="N63" s="102"/>
      <c r="O63" s="99"/>
      <c r="P63" s="99"/>
      <c r="Q63" s="228">
        <v>45</v>
      </c>
      <c r="R63" s="15">
        <v>4</v>
      </c>
      <c r="S63" s="15"/>
      <c r="T63" s="103"/>
      <c r="U63" s="15"/>
      <c r="V63" s="15"/>
      <c r="W63" s="15"/>
      <c r="X63" s="99"/>
      <c r="Y63" s="71">
        <f ca="1">Table25[[#This Row],[End Date]]+2-TODAY()</f>
        <v>395</v>
      </c>
      <c r="Z63" s="15">
        <f>IF(ISBLANK(Table25[[#This Row],[Roster Received By]]),1,0)</f>
        <v>1</v>
      </c>
      <c r="AA63" s="15">
        <f ca="1">IF(Table25[[#This Row],[Start Date]]&gt;TODAY(),1,)</f>
        <v>1</v>
      </c>
    </row>
    <row r="64" spans="1:27" s="106" customFormat="1" ht="14.25" hidden="1" customHeight="1" x14ac:dyDescent="0.25">
      <c r="A64" s="62"/>
      <c r="B64" s="137" t="s">
        <v>49</v>
      </c>
      <c r="C64" s="100" t="s">
        <v>188</v>
      </c>
      <c r="D64" s="100">
        <v>5891</v>
      </c>
      <c r="E64" s="99" t="s">
        <v>176</v>
      </c>
      <c r="F64" s="102">
        <v>45804</v>
      </c>
      <c r="G64" s="102">
        <v>45806</v>
      </c>
      <c r="H64" s="105">
        <v>0.33333333333333331</v>
      </c>
      <c r="I64" s="101"/>
      <c r="J64" s="101"/>
      <c r="K64" s="101"/>
      <c r="L64" s="101"/>
      <c r="M64" s="101"/>
      <c r="N64" s="101"/>
      <c r="O64" s="99"/>
      <c r="P64" s="99"/>
      <c r="Q64" s="15">
        <v>25</v>
      </c>
      <c r="R64" s="15">
        <v>3</v>
      </c>
      <c r="S64" s="15"/>
      <c r="T64" s="103"/>
      <c r="U64" s="15"/>
      <c r="V64" s="15"/>
      <c r="W64" s="104"/>
      <c r="X64" s="99"/>
      <c r="Y64" s="71">
        <f ca="1">Table25[[#This Row],[End Date]]+2-TODAY()</f>
        <v>276</v>
      </c>
      <c r="Z64" s="15">
        <f>IF(ISBLANK(Table25[[#This Row],[Roster Received By]]),1,0)</f>
        <v>1</v>
      </c>
      <c r="AA64" s="15">
        <f ca="1">IF(Table25[[#This Row],[Start Date]]&gt;TODAY(),1,)</f>
        <v>1</v>
      </c>
    </row>
    <row r="65" spans="1:27" s="106" customFormat="1" ht="14.25" customHeight="1" x14ac:dyDescent="0.25">
      <c r="A65" s="62"/>
      <c r="B65" s="99" t="s">
        <v>53</v>
      </c>
      <c r="C65" s="100" t="s">
        <v>228</v>
      </c>
      <c r="D65" s="100" t="s">
        <v>229</v>
      </c>
      <c r="E65" s="99" t="s">
        <v>183</v>
      </c>
      <c r="F65" s="102">
        <v>45628</v>
      </c>
      <c r="G65" s="102">
        <v>45632</v>
      </c>
      <c r="H65" s="105">
        <v>0.33333333333333331</v>
      </c>
      <c r="I65" s="101"/>
      <c r="J65" s="105"/>
      <c r="K65" s="105"/>
      <c r="L65" s="105"/>
      <c r="M65" s="105"/>
      <c r="N65" s="105"/>
      <c r="O65" s="99"/>
      <c r="P65" s="99"/>
      <c r="Q65" s="15">
        <v>30</v>
      </c>
      <c r="R65" s="15">
        <v>5</v>
      </c>
      <c r="S65" s="15"/>
      <c r="T65" s="103"/>
      <c r="U65" s="15"/>
      <c r="V65" s="15"/>
      <c r="W65" s="100"/>
      <c r="X65" s="99"/>
      <c r="Y65" s="71">
        <f ca="1">Table25[[#This Row],[End Date]]+2-TODAY()</f>
        <v>102</v>
      </c>
      <c r="Z65" s="15">
        <f>IF(ISBLANK(Table25[[#This Row],[Roster Received By]]),1,0)</f>
        <v>1</v>
      </c>
      <c r="AA65" s="15">
        <f ca="1">IF(Table25[[#This Row],[Start Date]]&gt;TODAY(),1,)</f>
        <v>1</v>
      </c>
    </row>
    <row r="66" spans="1:27" s="106" customFormat="1" ht="14.25" customHeight="1" x14ac:dyDescent="0.25">
      <c r="A66" s="62"/>
      <c r="B66" s="99" t="s">
        <v>53</v>
      </c>
      <c r="C66" s="100" t="s">
        <v>228</v>
      </c>
      <c r="D66" s="100" t="s">
        <v>229</v>
      </c>
      <c r="E66" s="99" t="s">
        <v>202</v>
      </c>
      <c r="F66" s="102">
        <v>45796</v>
      </c>
      <c r="G66" s="102">
        <v>45800</v>
      </c>
      <c r="H66" s="105">
        <v>0.33333333333333331</v>
      </c>
      <c r="I66" s="105"/>
      <c r="J66" s="102"/>
      <c r="K66" s="102"/>
      <c r="L66" s="102"/>
      <c r="M66" s="102"/>
      <c r="N66" s="102"/>
      <c r="O66" s="99"/>
      <c r="P66" s="99"/>
      <c r="Q66" s="15">
        <v>30</v>
      </c>
      <c r="R66" s="15">
        <v>5</v>
      </c>
      <c r="S66" s="15"/>
      <c r="T66" s="103"/>
      <c r="U66" s="15"/>
      <c r="V66" s="15"/>
      <c r="W66" s="15"/>
      <c r="X66" s="99"/>
      <c r="Y66" s="71">
        <f ca="1">Table25[[#This Row],[End Date]]+2-TODAY()</f>
        <v>270</v>
      </c>
      <c r="Z66" s="15">
        <f>IF(ISBLANK(Table25[[#This Row],[Roster Received By]]),1,0)</f>
        <v>1</v>
      </c>
      <c r="AA66" s="15">
        <f ca="1">IF(Table25[[#This Row],[Start Date]]&gt;TODAY(),1,)</f>
        <v>1</v>
      </c>
    </row>
    <row r="67" spans="1:27" s="106" customFormat="1" ht="14.25" hidden="1" customHeight="1" x14ac:dyDescent="0.25">
      <c r="A67" s="62"/>
      <c r="B67" s="99" t="s">
        <v>49</v>
      </c>
      <c r="C67" s="100" t="s">
        <v>188</v>
      </c>
      <c r="D67" s="100">
        <v>5891</v>
      </c>
      <c r="E67" s="99" t="s">
        <v>206</v>
      </c>
      <c r="F67" s="102">
        <v>45839</v>
      </c>
      <c r="G67" s="102">
        <v>45841</v>
      </c>
      <c r="H67" s="105">
        <v>0.33333333333333331</v>
      </c>
      <c r="I67" s="101"/>
      <c r="J67" s="101"/>
      <c r="K67" s="101"/>
      <c r="L67" s="101"/>
      <c r="M67" s="101"/>
      <c r="N67" s="101"/>
      <c r="O67" s="99"/>
      <c r="P67" s="99"/>
      <c r="Q67" s="15">
        <v>25</v>
      </c>
      <c r="R67" s="15">
        <v>3</v>
      </c>
      <c r="S67" s="15"/>
      <c r="T67" s="103"/>
      <c r="U67" s="15"/>
      <c r="V67" s="15"/>
      <c r="W67" s="15"/>
      <c r="X67" s="99"/>
      <c r="Y67" s="71">
        <f ca="1">Table25[[#This Row],[End Date]]+2-TODAY()</f>
        <v>311</v>
      </c>
      <c r="Z67" s="15">
        <f>IF(ISBLANK(Table25[[#This Row],[Roster Received By]]),1,0)</f>
        <v>1</v>
      </c>
      <c r="AA67" s="15">
        <f ca="1">IF(Table25[[#This Row],[Start Date]]&gt;TODAY(),1,)</f>
        <v>1</v>
      </c>
    </row>
    <row r="68" spans="1:27" s="106" customFormat="1" ht="14.25" customHeight="1" x14ac:dyDescent="0.25">
      <c r="A68" s="62"/>
      <c r="B68" s="99" t="s">
        <v>53</v>
      </c>
      <c r="C68" s="100" t="s">
        <v>228</v>
      </c>
      <c r="D68" s="100" t="s">
        <v>229</v>
      </c>
      <c r="E68" s="99" t="s">
        <v>206</v>
      </c>
      <c r="F68" s="67">
        <v>45845</v>
      </c>
      <c r="G68" s="67">
        <v>45849</v>
      </c>
      <c r="H68" s="105">
        <v>0.33333333333333331</v>
      </c>
      <c r="I68" s="101"/>
      <c r="J68" s="101"/>
      <c r="K68" s="101"/>
      <c r="L68" s="101"/>
      <c r="M68" s="101"/>
      <c r="N68" s="101"/>
      <c r="O68" s="99"/>
      <c r="P68" s="99"/>
      <c r="Q68" s="15">
        <v>30</v>
      </c>
      <c r="R68" s="15">
        <v>5</v>
      </c>
      <c r="S68" s="15"/>
      <c r="T68" s="103"/>
      <c r="U68" s="15"/>
      <c r="V68" s="15"/>
      <c r="W68" s="15"/>
      <c r="X68" s="99"/>
      <c r="Y68" s="71">
        <f ca="1">Table25[[#This Row],[End Date]]+2-TODAY()</f>
        <v>319</v>
      </c>
      <c r="Z68" s="15">
        <f>IF(ISBLANK(Table25[[#This Row],[Roster Received By]]),1,0)</f>
        <v>1</v>
      </c>
      <c r="AA68" s="15">
        <f ca="1">IF(Table25[[#This Row],[Start Date]]&gt;TODAY(),1,)</f>
        <v>1</v>
      </c>
    </row>
    <row r="69" spans="1:27" s="106" customFormat="1" ht="14.25" customHeight="1" x14ac:dyDescent="0.25">
      <c r="A69" s="62"/>
      <c r="B69" s="99" t="s">
        <v>53</v>
      </c>
      <c r="C69" s="100" t="s">
        <v>228</v>
      </c>
      <c r="D69" s="100" t="s">
        <v>229</v>
      </c>
      <c r="E69" s="99" t="s">
        <v>221</v>
      </c>
      <c r="F69" s="102">
        <v>45684</v>
      </c>
      <c r="G69" s="102">
        <v>45688</v>
      </c>
      <c r="H69" s="105">
        <v>0.33333333333333331</v>
      </c>
      <c r="I69" s="101"/>
      <c r="J69" s="105"/>
      <c r="K69" s="105"/>
      <c r="L69" s="105"/>
      <c r="M69" s="105"/>
      <c r="N69" s="105"/>
      <c r="O69" s="99"/>
      <c r="P69" s="99"/>
      <c r="Q69" s="15">
        <v>30</v>
      </c>
      <c r="R69" s="15">
        <v>5</v>
      </c>
      <c r="S69" s="15"/>
      <c r="T69" s="103"/>
      <c r="U69" s="15"/>
      <c r="V69" s="15"/>
      <c r="W69" s="15"/>
      <c r="X69" s="99"/>
      <c r="Y69" s="71">
        <f ca="1">Table25[[#This Row],[End Date]]+2-TODAY()</f>
        <v>158</v>
      </c>
      <c r="Z69" s="15">
        <f>IF(ISBLANK(Table25[[#This Row],[Roster Received By]]),1,0)</f>
        <v>1</v>
      </c>
      <c r="AA69" s="15">
        <f ca="1">IF(Table25[[#This Row],[Start Date]]&gt;TODAY(),1,)</f>
        <v>1</v>
      </c>
    </row>
    <row r="70" spans="1:27" s="106" customFormat="1" ht="14.25" customHeight="1" x14ac:dyDescent="0.25">
      <c r="A70" s="62"/>
      <c r="B70" s="99" t="s">
        <v>53</v>
      </c>
      <c r="C70" s="100" t="s">
        <v>228</v>
      </c>
      <c r="D70" s="100" t="s">
        <v>229</v>
      </c>
      <c r="E70" s="99" t="s">
        <v>221</v>
      </c>
      <c r="F70" s="67">
        <v>45831</v>
      </c>
      <c r="G70" s="67">
        <v>45835</v>
      </c>
      <c r="H70" s="105">
        <v>0.33333333333333331</v>
      </c>
      <c r="I70" s="101"/>
      <c r="J70" s="101"/>
      <c r="K70" s="101"/>
      <c r="L70" s="101"/>
      <c r="M70" s="101"/>
      <c r="N70" s="101"/>
      <c r="O70" s="99"/>
      <c r="P70" s="99"/>
      <c r="Q70" s="15">
        <v>30</v>
      </c>
      <c r="R70" s="15">
        <v>5</v>
      </c>
      <c r="S70" s="15"/>
      <c r="T70" s="103"/>
      <c r="U70" s="15"/>
      <c r="V70" s="15"/>
      <c r="W70" s="15"/>
      <c r="X70" s="99"/>
      <c r="Y70" s="71">
        <f ca="1">Table25[[#This Row],[End Date]]+2-TODAY()</f>
        <v>305</v>
      </c>
      <c r="Z70" s="15">
        <f>IF(ISBLANK(Table25[[#This Row],[Roster Received By]]),1,0)</f>
        <v>1</v>
      </c>
      <c r="AA70" s="15">
        <f ca="1">IF(Table25[[#This Row],[Start Date]]&gt;TODAY(),1,)</f>
        <v>1</v>
      </c>
    </row>
    <row r="71" spans="1:27" s="106" customFormat="1" ht="14.25" customHeight="1" x14ac:dyDescent="0.25">
      <c r="A71" s="62"/>
      <c r="B71" s="99" t="s">
        <v>53</v>
      </c>
      <c r="C71" s="100" t="s">
        <v>228</v>
      </c>
      <c r="D71" s="100" t="s">
        <v>229</v>
      </c>
      <c r="E71" s="99" t="s">
        <v>241</v>
      </c>
      <c r="F71" s="102">
        <v>45852</v>
      </c>
      <c r="G71" s="102">
        <v>45856</v>
      </c>
      <c r="H71" s="105">
        <v>0.33333333333333331</v>
      </c>
      <c r="I71" s="101"/>
      <c r="J71" s="101"/>
      <c r="K71" s="101"/>
      <c r="L71" s="101"/>
      <c r="M71" s="101"/>
      <c r="N71" s="101"/>
      <c r="O71" s="99"/>
      <c r="P71" s="99"/>
      <c r="Q71" s="15">
        <v>30</v>
      </c>
      <c r="R71" s="15">
        <v>5</v>
      </c>
      <c r="S71" s="15"/>
      <c r="T71" s="103"/>
      <c r="U71" s="15"/>
      <c r="V71" s="15"/>
      <c r="W71" s="15"/>
      <c r="X71" s="99"/>
      <c r="Y71" s="71">
        <f ca="1">Table25[[#This Row],[End Date]]+2-TODAY()</f>
        <v>326</v>
      </c>
      <c r="Z71" s="15">
        <f>IF(ISBLANK(Table25[[#This Row],[Roster Received By]]),1,0)</f>
        <v>1</v>
      </c>
      <c r="AA71" s="15">
        <f ca="1">IF(Table25[[#This Row],[Start Date]]&gt;TODAY(),1,)</f>
        <v>1</v>
      </c>
    </row>
    <row r="72" spans="1:27" s="106" customFormat="1" ht="14.25" customHeight="1" x14ac:dyDescent="0.25">
      <c r="A72" s="62"/>
      <c r="B72" s="99" t="s">
        <v>53</v>
      </c>
      <c r="C72" s="100" t="s">
        <v>228</v>
      </c>
      <c r="D72" s="100" t="s">
        <v>229</v>
      </c>
      <c r="E72" s="99" t="s">
        <v>257</v>
      </c>
      <c r="F72" s="102">
        <v>45719</v>
      </c>
      <c r="G72" s="102">
        <v>45723</v>
      </c>
      <c r="H72" s="105">
        <v>0.33333333333333331</v>
      </c>
      <c r="I72" s="101"/>
      <c r="J72" s="105"/>
      <c r="K72" s="105"/>
      <c r="L72" s="105"/>
      <c r="M72" s="105"/>
      <c r="N72" s="105"/>
      <c r="O72" s="99"/>
      <c r="P72" s="99"/>
      <c r="Q72" s="15">
        <v>30</v>
      </c>
      <c r="R72" s="15">
        <v>5</v>
      </c>
      <c r="S72" s="15"/>
      <c r="T72" s="103"/>
      <c r="U72" s="15"/>
      <c r="V72" s="15"/>
      <c r="W72" s="103"/>
      <c r="X72" s="99"/>
      <c r="Y72" s="71">
        <f ca="1">Table25[[#This Row],[End Date]]+2-TODAY()</f>
        <v>193</v>
      </c>
      <c r="Z72" s="15">
        <f>IF(ISBLANK(Table25[[#This Row],[Roster Received By]]),1,0)</f>
        <v>1</v>
      </c>
      <c r="AA72" s="15">
        <f ca="1">IF(Table25[[#This Row],[Start Date]]&gt;TODAY(),1,)</f>
        <v>1</v>
      </c>
    </row>
    <row r="73" spans="1:27" s="106" customFormat="1" ht="14.25" hidden="1" customHeight="1" x14ac:dyDescent="0.25">
      <c r="A73" s="99"/>
      <c r="B73" s="99" t="s">
        <v>41</v>
      </c>
      <c r="C73" s="100" t="s">
        <v>89</v>
      </c>
      <c r="D73" s="100">
        <v>3878</v>
      </c>
      <c r="E73" s="65" t="s">
        <v>267</v>
      </c>
      <c r="F73" s="102">
        <v>45593</v>
      </c>
      <c r="G73" s="102">
        <v>45595</v>
      </c>
      <c r="H73" s="105">
        <v>0.33333333333333331</v>
      </c>
      <c r="I73" s="105"/>
      <c r="J73" s="102"/>
      <c r="K73" s="102"/>
      <c r="L73" s="102"/>
      <c r="M73" s="102"/>
      <c r="N73" s="102"/>
      <c r="O73" s="99"/>
      <c r="P73" s="99"/>
      <c r="Q73" s="15">
        <v>25</v>
      </c>
      <c r="R73" s="15">
        <v>3</v>
      </c>
      <c r="S73" s="15"/>
      <c r="T73" s="103"/>
      <c r="U73" s="15"/>
      <c r="V73" s="15"/>
      <c r="W73" s="15"/>
      <c r="X73" s="99"/>
      <c r="Y73" s="71">
        <f ca="1">Table25[[#This Row],[End Date]]+2-TODAY()</f>
        <v>65</v>
      </c>
      <c r="Z73" s="15">
        <f>IF(ISBLANK(Table25[[#This Row],[Roster Received By]]),1,0)</f>
        <v>1</v>
      </c>
      <c r="AA73" s="15">
        <f ca="1">IF(Table25[[#This Row],[Start Date]]&gt;TODAY(),1,)</f>
        <v>1</v>
      </c>
    </row>
    <row r="74" spans="1:27" s="106" customFormat="1" ht="14.25" hidden="1" customHeight="1" x14ac:dyDescent="0.25">
      <c r="A74" s="62"/>
      <c r="B74" s="99" t="s">
        <v>42</v>
      </c>
      <c r="C74" s="100" t="s">
        <v>93</v>
      </c>
      <c r="D74" s="100">
        <v>3879</v>
      </c>
      <c r="E74" s="99" t="s">
        <v>267</v>
      </c>
      <c r="F74" s="102">
        <v>45581</v>
      </c>
      <c r="G74" s="102">
        <v>45581</v>
      </c>
      <c r="H74" s="105">
        <v>0.33333333333333331</v>
      </c>
      <c r="I74" s="101"/>
      <c r="J74" s="101"/>
      <c r="K74" s="101"/>
      <c r="L74" s="101"/>
      <c r="M74" s="101"/>
      <c r="N74" s="101"/>
      <c r="O74" s="99"/>
      <c r="P74" s="99"/>
      <c r="Q74" s="15">
        <v>30</v>
      </c>
      <c r="R74" s="15">
        <v>1</v>
      </c>
      <c r="S74" s="15"/>
      <c r="T74" s="103"/>
      <c r="U74" s="15"/>
      <c r="V74" s="15"/>
      <c r="W74" s="15"/>
      <c r="X74" s="99"/>
      <c r="Y74" s="71">
        <f ca="1">Table25[[#This Row],[End Date]]+2-TODAY()</f>
        <v>51</v>
      </c>
      <c r="Z74" s="15">
        <f>IF(ISBLANK(Table25[[#This Row],[Roster Received By]]),1,0)</f>
        <v>1</v>
      </c>
      <c r="AA74" s="15">
        <f ca="1">IF(Table25[[#This Row],[Start Date]]&gt;TODAY(),1,)</f>
        <v>1</v>
      </c>
    </row>
    <row r="75" spans="1:27" s="106" customFormat="1" ht="14.25" hidden="1" customHeight="1" x14ac:dyDescent="0.25">
      <c r="A75" s="62"/>
      <c r="B75" s="99" t="s">
        <v>43</v>
      </c>
      <c r="C75" s="100" t="s">
        <v>98</v>
      </c>
      <c r="D75" s="100">
        <v>3882</v>
      </c>
      <c r="E75" s="99" t="s">
        <v>267</v>
      </c>
      <c r="F75" s="102">
        <v>45596</v>
      </c>
      <c r="G75" s="102">
        <v>45597</v>
      </c>
      <c r="H75" s="105">
        <v>0.33333333333333331</v>
      </c>
      <c r="I75" s="105"/>
      <c r="J75" s="102"/>
      <c r="K75" s="102"/>
      <c r="L75" s="102"/>
      <c r="M75" s="102"/>
      <c r="N75" s="102"/>
      <c r="O75" s="99"/>
      <c r="P75" s="99"/>
      <c r="Q75" s="15">
        <v>25</v>
      </c>
      <c r="R75" s="15">
        <v>2</v>
      </c>
      <c r="S75" s="15"/>
      <c r="T75" s="103"/>
      <c r="U75" s="15"/>
      <c r="V75" s="15"/>
      <c r="W75" s="100"/>
      <c r="X75" s="99"/>
      <c r="Y75" s="71">
        <f ca="1">Table25[[#This Row],[End Date]]+2-TODAY()</f>
        <v>67</v>
      </c>
      <c r="Z75" s="15">
        <f>IF(ISBLANK(Table25[[#This Row],[Roster Received By]]),1,0)</f>
        <v>1</v>
      </c>
      <c r="AA75" s="15">
        <f ca="1">IF(Table25[[#This Row],[Start Date]]&gt;TODAY(),1,)</f>
        <v>1</v>
      </c>
    </row>
    <row r="76" spans="1:27" s="106" customFormat="1" hidden="1" x14ac:dyDescent="0.25">
      <c r="A76" s="62"/>
      <c r="B76" s="99" t="s">
        <v>44</v>
      </c>
      <c r="C76" s="100" t="s">
        <v>101</v>
      </c>
      <c r="D76" s="100">
        <v>3888</v>
      </c>
      <c r="E76" s="99" t="s">
        <v>267</v>
      </c>
      <c r="F76" s="102">
        <v>45581</v>
      </c>
      <c r="G76" s="102">
        <v>45581</v>
      </c>
      <c r="H76" s="101">
        <v>0.5</v>
      </c>
      <c r="I76" s="105"/>
      <c r="J76" s="102"/>
      <c r="K76" s="102"/>
      <c r="L76" s="102"/>
      <c r="M76" s="102"/>
      <c r="N76" s="102"/>
      <c r="O76" s="99"/>
      <c r="P76" s="99"/>
      <c r="Q76" s="103">
        <v>30</v>
      </c>
      <c r="R76" s="104">
        <v>1</v>
      </c>
      <c r="S76" s="103"/>
      <c r="T76" s="103"/>
      <c r="U76" s="15"/>
      <c r="V76" s="15"/>
      <c r="W76" s="15"/>
      <c r="X76" s="99"/>
      <c r="Y76" s="71">
        <f ca="1">Table25[[#This Row],[End Date]]+2-TODAY()</f>
        <v>51</v>
      </c>
      <c r="Z76" s="15">
        <f>IF(ISBLANK(Table25[[#This Row],[Roster Received By]]),1,0)</f>
        <v>1</v>
      </c>
      <c r="AA76" s="15">
        <f ca="1">IF(Table25[[#This Row],[Start Date]]&gt;TODAY(),1,)</f>
        <v>1</v>
      </c>
    </row>
    <row r="77" spans="1:27" s="106" customFormat="1" hidden="1" x14ac:dyDescent="0.25">
      <c r="A77" s="62"/>
      <c r="B77" s="99" t="s">
        <v>45</v>
      </c>
      <c r="C77" s="100" t="s">
        <v>104</v>
      </c>
      <c r="D77" s="100" t="s">
        <v>105</v>
      </c>
      <c r="E77" s="99" t="s">
        <v>267</v>
      </c>
      <c r="F77" s="102">
        <v>45586</v>
      </c>
      <c r="G77" s="102">
        <v>45590</v>
      </c>
      <c r="H77" s="105">
        <v>0.33333333333333331</v>
      </c>
      <c r="I77" s="101"/>
      <c r="J77" s="101"/>
      <c r="K77" s="101"/>
      <c r="L77" s="101"/>
      <c r="M77" s="101"/>
      <c r="N77" s="101"/>
      <c r="O77" s="99"/>
      <c r="P77" s="99"/>
      <c r="Q77" s="15">
        <v>25</v>
      </c>
      <c r="R77" s="15">
        <v>5</v>
      </c>
      <c r="S77" s="15"/>
      <c r="T77" s="103"/>
      <c r="U77" s="15"/>
      <c r="V77" s="15"/>
      <c r="W77" s="15"/>
      <c r="X77" s="99"/>
      <c r="Y77" s="71">
        <f ca="1">Table25[[#This Row],[End Date]]+2-TODAY()</f>
        <v>60</v>
      </c>
      <c r="Z77" s="15">
        <f>IF(ISBLANK(Table25[[#This Row],[Roster Received By]]),1,0)</f>
        <v>1</v>
      </c>
      <c r="AA77" s="15">
        <f ca="1">IF(Table25[[#This Row],[Start Date]]&gt;TODAY(),1,)</f>
        <v>1</v>
      </c>
    </row>
    <row r="78" spans="1:27" s="106" customFormat="1" ht="14.25" hidden="1" customHeight="1" x14ac:dyDescent="0.25">
      <c r="A78" s="99"/>
      <c r="B78" s="99" t="s">
        <v>46</v>
      </c>
      <c r="C78" s="100" t="s">
        <v>108</v>
      </c>
      <c r="D78" s="100" t="s">
        <v>109</v>
      </c>
      <c r="E78" s="99" t="s">
        <v>267</v>
      </c>
      <c r="F78" s="102">
        <v>45580</v>
      </c>
      <c r="G78" s="102">
        <v>45580</v>
      </c>
      <c r="H78" s="105">
        <v>0.33333333333333331</v>
      </c>
      <c r="I78" s="105"/>
      <c r="J78" s="102"/>
      <c r="K78" s="102"/>
      <c r="L78" s="102"/>
      <c r="M78" s="102"/>
      <c r="N78" s="102"/>
      <c r="O78" s="99"/>
      <c r="P78" s="99"/>
      <c r="Q78" s="15">
        <v>30</v>
      </c>
      <c r="R78" s="15">
        <v>1</v>
      </c>
      <c r="S78" s="15"/>
      <c r="T78" s="103"/>
      <c r="U78" s="15"/>
      <c r="V78" s="15"/>
      <c r="W78" s="15"/>
      <c r="X78" s="99"/>
      <c r="Y78" s="71">
        <f ca="1">Table25[[#This Row],[End Date]]+2-TODAY()</f>
        <v>50</v>
      </c>
      <c r="Z78" s="15">
        <f>IF(ISBLANK(Table25[[#This Row],[Roster Received By]]),1,0)</f>
        <v>1</v>
      </c>
      <c r="AA78" s="15">
        <f ca="1">IF(Table25[[#This Row],[Start Date]]&gt;TODAY(),1,)</f>
        <v>1</v>
      </c>
    </row>
    <row r="79" spans="1:27" s="106" customFormat="1" ht="14.25" hidden="1" customHeight="1" x14ac:dyDescent="0.25">
      <c r="A79" s="62"/>
      <c r="B79" s="99" t="s">
        <v>49</v>
      </c>
      <c r="C79" s="100" t="s">
        <v>188</v>
      </c>
      <c r="D79" s="100">
        <v>5891</v>
      </c>
      <c r="E79" s="99" t="s">
        <v>267</v>
      </c>
      <c r="F79" s="102">
        <v>45782</v>
      </c>
      <c r="G79" s="102">
        <v>45784</v>
      </c>
      <c r="H79" s="105">
        <v>0.33333333333333331</v>
      </c>
      <c r="I79" s="101"/>
      <c r="J79" s="101"/>
      <c r="K79" s="101"/>
      <c r="L79" s="101"/>
      <c r="M79" s="101"/>
      <c r="N79" s="101"/>
      <c r="O79" s="99"/>
      <c r="P79" s="99"/>
      <c r="Q79" s="15">
        <v>25</v>
      </c>
      <c r="R79" s="15">
        <v>3</v>
      </c>
      <c r="S79" s="15"/>
      <c r="T79" s="103"/>
      <c r="U79" s="15"/>
      <c r="V79" s="15"/>
      <c r="W79" s="15"/>
      <c r="X79" s="99"/>
      <c r="Y79" s="71">
        <f ca="1">Table25[[#This Row],[End Date]]+2-TODAY()</f>
        <v>254</v>
      </c>
      <c r="Z79" s="15">
        <f>IF(ISBLANK(Table25[[#This Row],[Roster Received By]]),1,0)</f>
        <v>1</v>
      </c>
      <c r="AA79" s="15">
        <f ca="1">IF(Table25[[#This Row],[Start Date]]&gt;TODAY(),1,)</f>
        <v>1</v>
      </c>
    </row>
    <row r="80" spans="1:27" s="106" customFormat="1" ht="14.25" hidden="1" customHeight="1" x14ac:dyDescent="0.25">
      <c r="A80" s="62"/>
      <c r="B80" s="99" t="s">
        <v>49</v>
      </c>
      <c r="C80" s="100" t="s">
        <v>188</v>
      </c>
      <c r="D80" s="100">
        <v>5891</v>
      </c>
      <c r="E80" s="99" t="s">
        <v>267</v>
      </c>
      <c r="F80" s="102">
        <v>45824</v>
      </c>
      <c r="G80" s="102">
        <v>45826</v>
      </c>
      <c r="H80" s="105">
        <v>0.33333333333333331</v>
      </c>
      <c r="I80" s="108"/>
      <c r="J80" s="102"/>
      <c r="K80" s="102"/>
      <c r="L80" s="102"/>
      <c r="M80" s="102"/>
      <c r="N80" s="102"/>
      <c r="O80" s="99"/>
      <c r="P80" s="99"/>
      <c r="Q80" s="15">
        <v>25</v>
      </c>
      <c r="R80" s="15">
        <v>3</v>
      </c>
      <c r="S80" s="15"/>
      <c r="T80" s="103"/>
      <c r="U80" s="15"/>
      <c r="V80" s="15"/>
      <c r="W80" s="15"/>
      <c r="X80" s="99"/>
      <c r="Y80" s="71">
        <f ca="1">Table25[[#This Row],[End Date]]+2-TODAY()</f>
        <v>296</v>
      </c>
      <c r="Z80" s="15">
        <f>IF(ISBLANK(Table25[[#This Row],[Roster Received By]]),1,0)</f>
        <v>1</v>
      </c>
      <c r="AA80" s="15">
        <f ca="1">IF(Table25[[#This Row],[Start Date]]&gt;TODAY(),1,)</f>
        <v>1</v>
      </c>
    </row>
    <row r="81" spans="1:27" s="106" customFormat="1" ht="14.25" hidden="1" customHeight="1" x14ac:dyDescent="0.25">
      <c r="A81" s="62"/>
      <c r="B81" s="99" t="s">
        <v>49</v>
      </c>
      <c r="C81" s="100" t="s">
        <v>188</v>
      </c>
      <c r="D81" s="100">
        <v>5891</v>
      </c>
      <c r="E81" s="99" t="s">
        <v>267</v>
      </c>
      <c r="F81" s="102">
        <v>45908</v>
      </c>
      <c r="G81" s="102" t="s">
        <v>643</v>
      </c>
      <c r="H81" s="105">
        <v>0.33333333333333331</v>
      </c>
      <c r="I81" s="105"/>
      <c r="J81" s="105"/>
      <c r="K81" s="105"/>
      <c r="L81" s="105"/>
      <c r="M81" s="105"/>
      <c r="N81" s="102"/>
      <c r="O81" s="99"/>
      <c r="P81" s="99"/>
      <c r="Q81" s="15">
        <v>25</v>
      </c>
      <c r="R81" s="15">
        <v>3</v>
      </c>
      <c r="S81" s="15"/>
      <c r="T81" s="103"/>
      <c r="U81" s="15"/>
      <c r="V81" s="15"/>
      <c r="W81" s="15"/>
      <c r="X81" s="99"/>
      <c r="Y81" s="71" t="e">
        <f ca="1">Table25[[#This Row],[End Date]]+2-TODAY()</f>
        <v>#VALUE!</v>
      </c>
      <c r="Z81" s="15">
        <f>IF(ISBLANK(Table25[[#This Row],[Roster Received By]]),1,0)</f>
        <v>1</v>
      </c>
      <c r="AA81" s="15">
        <f ca="1">IF(Table25[[#This Row],[Start Date]]&gt;TODAY(),1,)</f>
        <v>1</v>
      </c>
    </row>
    <row r="82" spans="1:27" s="139" customFormat="1" ht="14.25" customHeight="1" x14ac:dyDescent="0.25">
      <c r="A82" s="62"/>
      <c r="B82" s="99" t="s">
        <v>53</v>
      </c>
      <c r="C82" s="100" t="s">
        <v>228</v>
      </c>
      <c r="D82" s="100" t="s">
        <v>229</v>
      </c>
      <c r="E82" s="65" t="s">
        <v>267</v>
      </c>
      <c r="F82" s="102">
        <v>45565</v>
      </c>
      <c r="G82" s="102">
        <v>45569</v>
      </c>
      <c r="H82" s="108">
        <v>0.33333333333333331</v>
      </c>
      <c r="I82" s="108"/>
      <c r="J82" s="102"/>
      <c r="K82" s="102"/>
      <c r="L82" s="102"/>
      <c r="M82" s="102"/>
      <c r="N82" s="102"/>
      <c r="O82" s="99"/>
      <c r="P82" s="99"/>
      <c r="Q82" s="15">
        <v>30</v>
      </c>
      <c r="R82" s="15">
        <v>5</v>
      </c>
      <c r="S82" s="15"/>
      <c r="T82" s="103"/>
      <c r="U82" s="15"/>
      <c r="V82" s="15"/>
      <c r="W82" s="15"/>
      <c r="X82" s="99"/>
      <c r="Y82" s="71">
        <f ca="1">Table25[[#This Row],[End Date]]+2-TODAY()</f>
        <v>39</v>
      </c>
      <c r="Z82" s="15">
        <f>IF(ISBLANK(Table25[[#This Row],[Roster Received By]]),1,0)</f>
        <v>1</v>
      </c>
      <c r="AA82" s="15">
        <f ca="1">IF(Table25[[#This Row],[Start Date]]&gt;TODAY(),1,)</f>
        <v>1</v>
      </c>
    </row>
    <row r="83" spans="1:27" s="106" customFormat="1" ht="14.25" customHeight="1" x14ac:dyDescent="0.25">
      <c r="A83" s="62"/>
      <c r="B83" s="137" t="s">
        <v>53</v>
      </c>
      <c r="C83" s="100" t="s">
        <v>228</v>
      </c>
      <c r="D83" s="100" t="s">
        <v>229</v>
      </c>
      <c r="E83" s="99" t="s">
        <v>267</v>
      </c>
      <c r="F83" s="102">
        <v>45593</v>
      </c>
      <c r="G83" s="102">
        <v>45597</v>
      </c>
      <c r="H83" s="105">
        <v>0.33333333333333331</v>
      </c>
      <c r="I83" s="101"/>
      <c r="J83" s="105"/>
      <c r="K83" s="105"/>
      <c r="L83" s="105"/>
      <c r="M83" s="105"/>
      <c r="N83" s="105"/>
      <c r="O83" s="99"/>
      <c r="P83" s="99"/>
      <c r="Q83" s="15">
        <v>30</v>
      </c>
      <c r="R83" s="15">
        <v>5</v>
      </c>
      <c r="S83" s="15"/>
      <c r="T83" s="103"/>
      <c r="U83" s="15"/>
      <c r="V83" s="15"/>
      <c r="W83" s="15"/>
      <c r="X83" s="99"/>
      <c r="Y83" s="71">
        <f ca="1">Table25[[#This Row],[End Date]]+2-TODAY()</f>
        <v>67</v>
      </c>
      <c r="Z83" s="15">
        <f>IF(ISBLANK(Table25[[#This Row],[Roster Received By]]),1,0)</f>
        <v>1</v>
      </c>
      <c r="AA83" s="15">
        <f ca="1">IF(Table25[[#This Row],[Start Date]]&gt;TODAY(),1,)</f>
        <v>1</v>
      </c>
    </row>
    <row r="84" spans="1:27" s="106" customFormat="1" ht="14.25" customHeight="1" x14ac:dyDescent="0.25">
      <c r="A84" s="62"/>
      <c r="B84" s="99" t="s">
        <v>53</v>
      </c>
      <c r="C84" s="100" t="s">
        <v>228</v>
      </c>
      <c r="D84" s="100" t="s">
        <v>229</v>
      </c>
      <c r="E84" s="65" t="s">
        <v>267</v>
      </c>
      <c r="F84" s="102">
        <v>45614</v>
      </c>
      <c r="G84" s="102">
        <v>45618</v>
      </c>
      <c r="H84" s="105">
        <v>0.33333333333333331</v>
      </c>
      <c r="I84" s="105"/>
      <c r="J84" s="102"/>
      <c r="K84" s="102"/>
      <c r="L84" s="102"/>
      <c r="M84" s="102"/>
      <c r="N84" s="102"/>
      <c r="O84" s="99"/>
      <c r="P84" s="99"/>
      <c r="Q84" s="15">
        <v>30</v>
      </c>
      <c r="R84" s="15">
        <v>5</v>
      </c>
      <c r="S84" s="15"/>
      <c r="T84" s="103"/>
      <c r="U84" s="15"/>
      <c r="V84" s="15"/>
      <c r="W84" s="15"/>
      <c r="X84" s="99"/>
      <c r="Y84" s="71">
        <f ca="1">Table25[[#This Row],[End Date]]+2-TODAY()</f>
        <v>88</v>
      </c>
      <c r="Z84" s="15">
        <f>IF(ISBLANK(Table25[[#This Row],[Roster Received By]]),1,0)</f>
        <v>1</v>
      </c>
      <c r="AA84" s="15">
        <f ca="1">IF(Table25[[#This Row],[Start Date]]&gt;TODAY(),1,)</f>
        <v>1</v>
      </c>
    </row>
    <row r="85" spans="1:27" s="106" customFormat="1" ht="14.25" customHeight="1" x14ac:dyDescent="0.25">
      <c r="A85" s="65"/>
      <c r="B85" s="99" t="s">
        <v>53</v>
      </c>
      <c r="C85" s="100" t="s">
        <v>228</v>
      </c>
      <c r="D85" s="100" t="s">
        <v>229</v>
      </c>
      <c r="E85" s="99" t="s">
        <v>267</v>
      </c>
      <c r="F85" s="102">
        <v>45754</v>
      </c>
      <c r="G85" s="102">
        <v>45758</v>
      </c>
      <c r="H85" s="105">
        <v>0.33333333333333331</v>
      </c>
      <c r="I85" s="105"/>
      <c r="J85" s="105"/>
      <c r="K85" s="105"/>
      <c r="L85" s="105"/>
      <c r="M85" s="105"/>
      <c r="N85" s="105"/>
      <c r="O85" s="99"/>
      <c r="P85" s="99"/>
      <c r="Q85" s="15">
        <v>30</v>
      </c>
      <c r="R85" s="15">
        <v>5</v>
      </c>
      <c r="S85" s="103"/>
      <c r="T85" s="103"/>
      <c r="U85" s="15"/>
      <c r="V85" s="15"/>
      <c r="W85" s="100"/>
      <c r="X85" s="99"/>
      <c r="Y85" s="71">
        <f ca="1">Table25[[#This Row],[End Date]]+2-TODAY()</f>
        <v>228</v>
      </c>
      <c r="Z85" s="15">
        <f>IF(ISBLANK(Table25[[#This Row],[Roster Received By]]),1,0)</f>
        <v>1</v>
      </c>
      <c r="AA85" s="15">
        <f ca="1">IF(Table25[[#This Row],[Start Date]]&gt;TODAY(),1,)</f>
        <v>1</v>
      </c>
    </row>
    <row r="86" spans="1:27" s="106" customFormat="1" ht="14.25" customHeight="1" x14ac:dyDescent="0.25">
      <c r="A86" s="99"/>
      <c r="B86" s="99" t="s">
        <v>53</v>
      </c>
      <c r="C86" s="100" t="s">
        <v>228</v>
      </c>
      <c r="D86" s="100" t="s">
        <v>229</v>
      </c>
      <c r="E86" s="99" t="s">
        <v>267</v>
      </c>
      <c r="F86" s="102">
        <v>45775</v>
      </c>
      <c r="G86" s="102">
        <v>45779</v>
      </c>
      <c r="H86" s="105">
        <v>0.33333333333333331</v>
      </c>
      <c r="I86" s="101"/>
      <c r="J86" s="105"/>
      <c r="K86" s="105"/>
      <c r="L86" s="105"/>
      <c r="M86" s="105"/>
      <c r="N86" s="105"/>
      <c r="O86" s="99"/>
      <c r="P86" s="99"/>
      <c r="Q86" s="15">
        <v>30</v>
      </c>
      <c r="R86" s="15">
        <v>5</v>
      </c>
      <c r="S86" s="103"/>
      <c r="T86" s="103"/>
      <c r="U86" s="15"/>
      <c r="V86" s="15"/>
      <c r="W86" s="103"/>
      <c r="X86" s="99"/>
      <c r="Y86" s="71">
        <f ca="1">Table25[[#This Row],[End Date]]+2-TODAY()</f>
        <v>249</v>
      </c>
      <c r="Z86" s="15">
        <f>IF(ISBLANK(Table25[[#This Row],[Roster Received By]]),1,0)</f>
        <v>1</v>
      </c>
      <c r="AA86" s="15">
        <f ca="1">IF(Table25[[#This Row],[Start Date]]&gt;TODAY(),1,)</f>
        <v>1</v>
      </c>
    </row>
    <row r="87" spans="1:27" s="135" customFormat="1" ht="14.25" customHeight="1" x14ac:dyDescent="0.25">
      <c r="A87" s="62"/>
      <c r="B87" s="99" t="s">
        <v>53</v>
      </c>
      <c r="C87" s="100" t="s">
        <v>228</v>
      </c>
      <c r="D87" s="100" t="s">
        <v>229</v>
      </c>
      <c r="E87" s="99" t="s">
        <v>267</v>
      </c>
      <c r="F87" s="67">
        <v>45873</v>
      </c>
      <c r="G87" s="67">
        <v>45877</v>
      </c>
      <c r="H87" s="105">
        <v>0.33333333333333331</v>
      </c>
      <c r="I87" s="101"/>
      <c r="J87" s="101"/>
      <c r="K87" s="101"/>
      <c r="L87" s="101"/>
      <c r="M87" s="101"/>
      <c r="N87" s="101"/>
      <c r="O87" s="99"/>
      <c r="P87" s="99"/>
      <c r="Q87" s="15">
        <v>30</v>
      </c>
      <c r="R87" s="15">
        <v>5</v>
      </c>
      <c r="S87" s="15"/>
      <c r="T87" s="103"/>
      <c r="U87" s="15"/>
      <c r="V87" s="15"/>
      <c r="W87" s="15"/>
      <c r="X87" s="99"/>
      <c r="Y87" s="71">
        <f ca="1">Table25[[#This Row],[End Date]]+2-TODAY()</f>
        <v>347</v>
      </c>
      <c r="Z87" s="15">
        <f>IF(ISBLANK(Table25[[#This Row],[Roster Received By]]),1,0)</f>
        <v>1</v>
      </c>
      <c r="AA87" s="15">
        <f ca="1">IF(Table25[[#This Row],[Start Date]]&gt;TODAY(),1,)</f>
        <v>1</v>
      </c>
    </row>
    <row r="88" spans="1:27" s="106" customFormat="1" ht="14.25" hidden="1" customHeight="1" x14ac:dyDescent="0.25">
      <c r="A88" s="62"/>
      <c r="B88" s="99" t="s">
        <v>41</v>
      </c>
      <c r="C88" s="100" t="s">
        <v>89</v>
      </c>
      <c r="D88" s="100">
        <v>3878</v>
      </c>
      <c r="E88" s="65" t="s">
        <v>276</v>
      </c>
      <c r="F88" s="102">
        <v>45852</v>
      </c>
      <c r="G88" s="102">
        <v>45854</v>
      </c>
      <c r="H88" s="105">
        <v>0.33333333333333331</v>
      </c>
      <c r="I88" s="105"/>
      <c r="J88" s="102"/>
      <c r="K88" s="102"/>
      <c r="L88" s="102"/>
      <c r="M88" s="102"/>
      <c r="N88" s="102"/>
      <c r="O88" s="99"/>
      <c r="P88" s="99"/>
      <c r="Q88" s="103">
        <v>25</v>
      </c>
      <c r="R88" s="104">
        <v>3</v>
      </c>
      <c r="S88" s="103"/>
      <c r="T88" s="103"/>
      <c r="U88" s="15"/>
      <c r="V88" s="15"/>
      <c r="W88" s="100"/>
      <c r="X88" s="99"/>
      <c r="Y88" s="71">
        <f ca="1">Table25[[#This Row],[End Date]]+2-TODAY()</f>
        <v>324</v>
      </c>
      <c r="Z88" s="15">
        <f>IF(ISBLANK(Table25[[#This Row],[Roster Received By]]),1,0)</f>
        <v>1</v>
      </c>
      <c r="AA88" s="15">
        <f ca="1">IF(Table25[[#This Row],[Start Date]]&gt;TODAY(),1,)</f>
        <v>1</v>
      </c>
    </row>
    <row r="89" spans="1:27" s="106" customFormat="1" ht="14.25" hidden="1" customHeight="1" x14ac:dyDescent="0.25">
      <c r="A89" s="62"/>
      <c r="B89" s="99" t="s">
        <v>42</v>
      </c>
      <c r="C89" s="100" t="s">
        <v>93</v>
      </c>
      <c r="D89" s="100">
        <v>3879</v>
      </c>
      <c r="E89" s="99" t="s">
        <v>276</v>
      </c>
      <c r="F89" s="102">
        <v>45860</v>
      </c>
      <c r="G89" s="102">
        <v>45860</v>
      </c>
      <c r="H89" s="105">
        <v>0.33333333333333331</v>
      </c>
      <c r="I89" s="105"/>
      <c r="J89" s="102"/>
      <c r="K89" s="102"/>
      <c r="L89" s="102"/>
      <c r="M89" s="102"/>
      <c r="N89" s="102"/>
      <c r="O89" s="99"/>
      <c r="P89" s="99"/>
      <c r="Q89" s="103">
        <v>30</v>
      </c>
      <c r="R89" s="104">
        <v>1</v>
      </c>
      <c r="S89" s="103"/>
      <c r="T89" s="103"/>
      <c r="U89" s="15"/>
      <c r="V89" s="15"/>
      <c r="W89" s="100"/>
      <c r="X89" s="99"/>
      <c r="Y89" s="71">
        <f ca="1">Table25[[#This Row],[End Date]]+2-TODAY()</f>
        <v>330</v>
      </c>
      <c r="Z89" s="15">
        <f>IF(ISBLANK(Table25[[#This Row],[Roster Received By]]),1,0)</f>
        <v>1</v>
      </c>
      <c r="AA89" s="15">
        <f ca="1">IF(Table25[[#This Row],[Start Date]]&gt;TODAY(),1,)</f>
        <v>1</v>
      </c>
    </row>
    <row r="90" spans="1:27" s="106" customFormat="1" ht="14.25" hidden="1" customHeight="1" x14ac:dyDescent="0.25">
      <c r="A90" s="62"/>
      <c r="B90" s="99" t="s">
        <v>43</v>
      </c>
      <c r="C90" s="100" t="s">
        <v>98</v>
      </c>
      <c r="D90" s="100">
        <v>3882</v>
      </c>
      <c r="E90" s="99" t="s">
        <v>276</v>
      </c>
      <c r="F90" s="102">
        <v>45855</v>
      </c>
      <c r="G90" s="102">
        <v>45856</v>
      </c>
      <c r="H90" s="105">
        <v>0.33333333333333331</v>
      </c>
      <c r="I90" s="105"/>
      <c r="J90" s="102"/>
      <c r="K90" s="102"/>
      <c r="L90" s="102"/>
      <c r="M90" s="102"/>
      <c r="N90" s="102"/>
      <c r="O90" s="99"/>
      <c r="P90" s="99"/>
      <c r="Q90" s="103">
        <v>25</v>
      </c>
      <c r="R90" s="104">
        <v>2</v>
      </c>
      <c r="S90" s="103"/>
      <c r="T90" s="103"/>
      <c r="U90" s="15"/>
      <c r="V90" s="15"/>
      <c r="W90" s="100"/>
      <c r="X90" s="99"/>
      <c r="Y90" s="71">
        <f ca="1">Table25[[#This Row],[End Date]]+2-TODAY()</f>
        <v>326</v>
      </c>
      <c r="Z90" s="15">
        <f>IF(ISBLANK(Table25[[#This Row],[Roster Received By]]),1,0)</f>
        <v>1</v>
      </c>
      <c r="AA90" s="15">
        <f ca="1">IF(Table25[[#This Row],[Start Date]]&gt;TODAY(),1,)</f>
        <v>1</v>
      </c>
    </row>
    <row r="91" spans="1:27" s="106" customFormat="1" ht="14.25" hidden="1" customHeight="1" x14ac:dyDescent="0.25">
      <c r="A91" s="62"/>
      <c r="B91" s="99" t="s">
        <v>44</v>
      </c>
      <c r="C91" s="100" t="s">
        <v>101</v>
      </c>
      <c r="D91" s="100">
        <v>3888</v>
      </c>
      <c r="E91" s="99" t="s">
        <v>276</v>
      </c>
      <c r="F91" s="102">
        <v>45860</v>
      </c>
      <c r="G91" s="102">
        <v>45860</v>
      </c>
      <c r="H91" s="101">
        <v>0.5</v>
      </c>
      <c r="I91" s="105"/>
      <c r="J91" s="102"/>
      <c r="K91" s="102"/>
      <c r="L91" s="102"/>
      <c r="M91" s="102"/>
      <c r="N91" s="102"/>
      <c r="O91" s="99"/>
      <c r="P91" s="99"/>
      <c r="Q91" s="103">
        <v>30</v>
      </c>
      <c r="R91" s="104">
        <v>1</v>
      </c>
      <c r="S91" s="103"/>
      <c r="T91" s="103"/>
      <c r="U91" s="15"/>
      <c r="V91" s="15"/>
      <c r="W91" s="100"/>
      <c r="X91" s="99"/>
      <c r="Y91" s="71">
        <f ca="1">Table25[[#This Row],[End Date]]+2-TODAY()</f>
        <v>330</v>
      </c>
      <c r="Z91" s="15">
        <f>IF(ISBLANK(Table25[[#This Row],[Roster Received By]]),1,0)</f>
        <v>1</v>
      </c>
      <c r="AA91" s="15">
        <f ca="1">IF(Table25[[#This Row],[Start Date]]&gt;TODAY(),1,)</f>
        <v>1</v>
      </c>
    </row>
    <row r="92" spans="1:27" s="106" customFormat="1" ht="14.25" hidden="1" customHeight="1" x14ac:dyDescent="0.25">
      <c r="A92" s="62"/>
      <c r="B92" s="99" t="s">
        <v>45</v>
      </c>
      <c r="C92" s="100" t="s">
        <v>104</v>
      </c>
      <c r="D92" s="100" t="s">
        <v>105</v>
      </c>
      <c r="E92" s="99" t="s">
        <v>276</v>
      </c>
      <c r="F92" s="102">
        <v>45845</v>
      </c>
      <c r="G92" s="102">
        <v>45849</v>
      </c>
      <c r="H92" s="105">
        <v>0.33333333333333331</v>
      </c>
      <c r="I92" s="105"/>
      <c r="J92" s="102"/>
      <c r="K92" s="102"/>
      <c r="L92" s="102"/>
      <c r="M92" s="102"/>
      <c r="N92" s="102"/>
      <c r="O92" s="99"/>
      <c r="P92" s="99"/>
      <c r="Q92" s="103">
        <v>25</v>
      </c>
      <c r="R92" s="104">
        <v>5</v>
      </c>
      <c r="S92" s="103"/>
      <c r="T92" s="103"/>
      <c r="U92" s="15"/>
      <c r="V92" s="15"/>
      <c r="W92" s="100"/>
      <c r="X92" s="99"/>
      <c r="Y92" s="71">
        <f ca="1">Table25[[#This Row],[End Date]]+2-TODAY()</f>
        <v>319</v>
      </c>
      <c r="Z92" s="15">
        <f>IF(ISBLANK(Table25[[#This Row],[Roster Received By]]),1,0)</f>
        <v>1</v>
      </c>
      <c r="AA92" s="15">
        <f ca="1">IF(Table25[[#This Row],[Start Date]]&gt;TODAY(),1,)</f>
        <v>1</v>
      </c>
    </row>
    <row r="93" spans="1:27" s="106" customFormat="1" ht="14.25" hidden="1" customHeight="1" x14ac:dyDescent="0.25">
      <c r="A93" s="62"/>
      <c r="B93" s="99" t="s">
        <v>46</v>
      </c>
      <c r="C93" s="100" t="s">
        <v>108</v>
      </c>
      <c r="D93" s="100" t="s">
        <v>109</v>
      </c>
      <c r="E93" s="99" t="s">
        <v>276</v>
      </c>
      <c r="F93" s="102">
        <v>45859</v>
      </c>
      <c r="G93" s="102">
        <v>45859</v>
      </c>
      <c r="H93" s="105">
        <v>0.33333333333333331</v>
      </c>
      <c r="I93" s="105"/>
      <c r="J93" s="102"/>
      <c r="K93" s="102"/>
      <c r="L93" s="102"/>
      <c r="M93" s="102"/>
      <c r="N93" s="102"/>
      <c r="O93" s="99"/>
      <c r="P93" s="99"/>
      <c r="Q93" s="103">
        <v>30</v>
      </c>
      <c r="R93" s="104">
        <v>1</v>
      </c>
      <c r="S93" s="103"/>
      <c r="T93" s="103"/>
      <c r="U93" s="15"/>
      <c r="V93" s="15"/>
      <c r="W93" s="100"/>
      <c r="X93" s="99"/>
      <c r="Y93" s="71">
        <f ca="1">Table25[[#This Row],[End Date]]+2-TODAY()</f>
        <v>329</v>
      </c>
      <c r="Z93" s="15">
        <f>IF(ISBLANK(Table25[[#This Row],[Roster Received By]]),1,0)</f>
        <v>1</v>
      </c>
      <c r="AA93" s="15">
        <f ca="1">IF(Table25[[#This Row],[Start Date]]&gt;TODAY(),1,)</f>
        <v>1</v>
      </c>
    </row>
    <row r="94" spans="1:27" s="106" customFormat="1" ht="14.25" hidden="1" customHeight="1" x14ac:dyDescent="0.25">
      <c r="A94" s="62"/>
      <c r="B94" s="99" t="s">
        <v>49</v>
      </c>
      <c r="C94" s="100" t="s">
        <v>188</v>
      </c>
      <c r="D94" s="100">
        <v>5891</v>
      </c>
      <c r="E94" s="99" t="s">
        <v>276</v>
      </c>
      <c r="F94" s="102">
        <v>45861</v>
      </c>
      <c r="G94" s="102">
        <v>45863</v>
      </c>
      <c r="H94" s="105">
        <v>0.33333333333333331</v>
      </c>
      <c r="I94" s="105"/>
      <c r="J94" s="102"/>
      <c r="K94" s="102"/>
      <c r="L94" s="102"/>
      <c r="M94" s="102"/>
      <c r="N94" s="102"/>
      <c r="O94" s="99"/>
      <c r="P94" s="99"/>
      <c r="Q94" s="15">
        <v>25</v>
      </c>
      <c r="R94" s="15">
        <v>3</v>
      </c>
      <c r="S94" s="15"/>
      <c r="T94" s="103"/>
      <c r="U94" s="15"/>
      <c r="V94" s="15"/>
      <c r="W94" s="15"/>
      <c r="X94" s="99"/>
      <c r="Y94" s="71">
        <f ca="1">Table25[[#This Row],[End Date]]+2-TODAY()</f>
        <v>333</v>
      </c>
      <c r="Z94" s="15">
        <f>IF(ISBLANK(Table25[[#This Row],[Roster Received By]]),1,0)</f>
        <v>1</v>
      </c>
      <c r="AA94" s="15">
        <f ca="1">IF(Table25[[#This Row],[Start Date]]&gt;TODAY(),1,)</f>
        <v>1</v>
      </c>
    </row>
    <row r="95" spans="1:27" s="106" customFormat="1" ht="14.25" customHeight="1" x14ac:dyDescent="0.25">
      <c r="A95" s="62"/>
      <c r="B95" s="99" t="s">
        <v>53</v>
      </c>
      <c r="C95" s="100" t="s">
        <v>228</v>
      </c>
      <c r="D95" s="100" t="s">
        <v>229</v>
      </c>
      <c r="E95" s="99" t="s">
        <v>276</v>
      </c>
      <c r="F95" s="102">
        <v>45663</v>
      </c>
      <c r="G95" s="102">
        <v>45667</v>
      </c>
      <c r="H95" s="105">
        <v>0.33333333333333331</v>
      </c>
      <c r="I95" s="101"/>
      <c r="J95" s="105"/>
      <c r="K95" s="105"/>
      <c r="L95" s="105"/>
      <c r="M95" s="105"/>
      <c r="N95" s="105"/>
      <c r="O95" s="99"/>
      <c r="P95" s="99"/>
      <c r="Q95" s="15">
        <v>30</v>
      </c>
      <c r="R95" s="15">
        <v>5</v>
      </c>
      <c r="S95" s="15"/>
      <c r="T95" s="103"/>
      <c r="U95" s="15"/>
      <c r="V95" s="15"/>
      <c r="W95" s="15"/>
      <c r="X95" s="99"/>
      <c r="Y95" s="71">
        <f ca="1">Table25[[#This Row],[End Date]]+2-TODAY()</f>
        <v>137</v>
      </c>
      <c r="Z95" s="15">
        <f>IF(ISBLANK(Table25[[#This Row],[Roster Received By]]),1,0)</f>
        <v>1</v>
      </c>
      <c r="AA95" s="15">
        <f ca="1">IF(Table25[[#This Row],[Start Date]]&gt;TODAY(),1,)</f>
        <v>1</v>
      </c>
    </row>
    <row r="96" spans="1:27" s="106" customFormat="1" ht="14.25" customHeight="1" x14ac:dyDescent="0.25">
      <c r="A96" s="62"/>
      <c r="B96" s="99" t="s">
        <v>53</v>
      </c>
      <c r="C96" s="100" t="s">
        <v>228</v>
      </c>
      <c r="D96" s="100" t="s">
        <v>229</v>
      </c>
      <c r="E96" s="99" t="s">
        <v>276</v>
      </c>
      <c r="F96" s="102">
        <v>45915</v>
      </c>
      <c r="G96" s="102">
        <v>45919</v>
      </c>
      <c r="H96" s="105">
        <v>0.33333333333333331</v>
      </c>
      <c r="I96" s="105"/>
      <c r="J96" s="105"/>
      <c r="K96" s="105"/>
      <c r="L96" s="105"/>
      <c r="M96" s="105"/>
      <c r="N96" s="105"/>
      <c r="O96" s="99"/>
      <c r="P96" s="99"/>
      <c r="Q96" s="15">
        <v>30</v>
      </c>
      <c r="R96" s="15">
        <v>5</v>
      </c>
      <c r="S96" s="103"/>
      <c r="T96" s="103"/>
      <c r="U96" s="15"/>
      <c r="V96" s="15"/>
      <c r="W96" s="15"/>
      <c r="X96" s="99"/>
      <c r="Y96" s="71">
        <f ca="1">Table25[[#This Row],[End Date]]+2-TODAY()</f>
        <v>389</v>
      </c>
      <c r="Z96" s="15">
        <f>IF(ISBLANK(Table25[[#This Row],[Roster Received By]]),1,0)</f>
        <v>1</v>
      </c>
      <c r="AA96" s="15">
        <f ca="1">IF(Table25[[#This Row],[Start Date]]&gt;TODAY(),1,)</f>
        <v>1</v>
      </c>
    </row>
    <row r="97" spans="1:27" s="106" customFormat="1" ht="14.25" hidden="1" customHeight="1" x14ac:dyDescent="0.25">
      <c r="A97" s="62"/>
      <c r="B97" s="65" t="s">
        <v>49</v>
      </c>
      <c r="C97" s="100" t="s">
        <v>188</v>
      </c>
      <c r="D97" s="100">
        <v>5891</v>
      </c>
      <c r="E97" s="65" t="s">
        <v>292</v>
      </c>
      <c r="F97" s="67">
        <v>45728</v>
      </c>
      <c r="G97" s="67">
        <v>45730</v>
      </c>
      <c r="H97" s="105">
        <v>0.33333333333333331</v>
      </c>
      <c r="I97" s="101"/>
      <c r="J97" s="102"/>
      <c r="K97" s="102"/>
      <c r="L97" s="102"/>
      <c r="M97" s="102"/>
      <c r="N97" s="102"/>
      <c r="O97" s="99"/>
      <c r="P97" s="99"/>
      <c r="Q97" s="15">
        <v>25</v>
      </c>
      <c r="R97" s="15">
        <v>3</v>
      </c>
      <c r="S97" s="15"/>
      <c r="T97" s="103"/>
      <c r="U97" s="15"/>
      <c r="V97" s="15"/>
      <c r="W97" s="15"/>
      <c r="X97" s="99"/>
      <c r="Y97" s="71">
        <f ca="1">Table25[[#This Row],[End Date]]+2-TODAY()</f>
        <v>200</v>
      </c>
      <c r="Z97" s="15">
        <f>IF(ISBLANK(Table25[[#This Row],[Roster Received By]]),1,0)</f>
        <v>1</v>
      </c>
      <c r="AA97" s="15">
        <f ca="1">IF(Table25[[#This Row],[Start Date]]&gt;TODAY(),1,)</f>
        <v>1</v>
      </c>
    </row>
    <row r="98" spans="1:27" s="106" customFormat="1" ht="14.25" customHeight="1" x14ac:dyDescent="0.25">
      <c r="A98" s="62"/>
      <c r="B98" s="99" t="s">
        <v>53</v>
      </c>
      <c r="C98" s="100" t="s">
        <v>228</v>
      </c>
      <c r="D98" s="100" t="s">
        <v>229</v>
      </c>
      <c r="E98" s="99" t="s">
        <v>292</v>
      </c>
      <c r="F98" s="102">
        <v>45691</v>
      </c>
      <c r="G98" s="102">
        <v>45695</v>
      </c>
      <c r="H98" s="105">
        <v>0.33333333333333331</v>
      </c>
      <c r="I98" s="101"/>
      <c r="J98" s="105"/>
      <c r="K98" s="105"/>
      <c r="L98" s="105"/>
      <c r="M98" s="105"/>
      <c r="N98" s="105"/>
      <c r="O98" s="99"/>
      <c r="P98" s="99"/>
      <c r="Q98" s="15">
        <v>30</v>
      </c>
      <c r="R98" s="15">
        <v>5</v>
      </c>
      <c r="S98" s="15"/>
      <c r="T98" s="103"/>
      <c r="U98" s="15"/>
      <c r="V98" s="15"/>
      <c r="W98" s="15"/>
      <c r="X98" s="99"/>
      <c r="Y98" s="71">
        <f ca="1">Table25[[#This Row],[End Date]]+2-TODAY()</f>
        <v>165</v>
      </c>
      <c r="Z98" s="15">
        <f>IF(ISBLANK(Table25[[#This Row],[Roster Received By]]),1,0)</f>
        <v>1</v>
      </c>
      <c r="AA98" s="15">
        <f ca="1">IF(Table25[[#This Row],[Start Date]]&gt;TODAY(),1,)</f>
        <v>1</v>
      </c>
    </row>
    <row r="99" spans="1:27" s="106" customFormat="1" ht="14.25" customHeight="1" x14ac:dyDescent="0.25">
      <c r="A99" s="62"/>
      <c r="B99" s="99" t="s">
        <v>53</v>
      </c>
      <c r="C99" s="100" t="s">
        <v>228</v>
      </c>
      <c r="D99" s="100" t="s">
        <v>229</v>
      </c>
      <c r="E99" s="99" t="s">
        <v>292</v>
      </c>
      <c r="F99" s="67">
        <v>45733</v>
      </c>
      <c r="G99" s="102">
        <v>45737</v>
      </c>
      <c r="H99" s="105">
        <v>0.33333333333333331</v>
      </c>
      <c r="I99" s="101"/>
      <c r="J99" s="101"/>
      <c r="K99" s="101"/>
      <c r="L99" s="101"/>
      <c r="M99" s="101"/>
      <c r="N99" s="101"/>
      <c r="O99" s="99"/>
      <c r="P99" s="99"/>
      <c r="Q99" s="15">
        <v>30</v>
      </c>
      <c r="R99" s="15">
        <v>5</v>
      </c>
      <c r="S99" s="15"/>
      <c r="T99" s="103"/>
      <c r="U99" s="15"/>
      <c r="V99" s="15"/>
      <c r="W99" s="15"/>
      <c r="X99" s="99"/>
      <c r="Y99" s="71">
        <f ca="1">Table25[[#This Row],[End Date]]+2-TODAY()</f>
        <v>207</v>
      </c>
      <c r="Z99" s="15">
        <f>IF(ISBLANK(Table25[[#This Row],[Roster Received By]]),1,0)</f>
        <v>1</v>
      </c>
      <c r="AA99" s="15">
        <f ca="1">IF(Table25[[#This Row],[Start Date]]&gt;TODAY(),1,)</f>
        <v>1</v>
      </c>
    </row>
    <row r="100" spans="1:27" s="106" customFormat="1" ht="14.25" customHeight="1" x14ac:dyDescent="0.25">
      <c r="A100" s="62"/>
      <c r="B100" s="99" t="s">
        <v>53</v>
      </c>
      <c r="C100" s="100" t="s">
        <v>228</v>
      </c>
      <c r="D100" s="100" t="s">
        <v>229</v>
      </c>
      <c r="E100" s="99" t="s">
        <v>292</v>
      </c>
      <c r="F100" s="102">
        <v>45908</v>
      </c>
      <c r="G100" s="102">
        <v>45912</v>
      </c>
      <c r="H100" s="105">
        <v>0.33333333333333331</v>
      </c>
      <c r="I100" s="105"/>
      <c r="J100" s="105"/>
      <c r="K100" s="105"/>
      <c r="L100" s="105"/>
      <c r="M100" s="105"/>
      <c r="N100" s="105"/>
      <c r="O100" s="99"/>
      <c r="P100" s="99"/>
      <c r="Q100" s="15">
        <v>30</v>
      </c>
      <c r="R100" s="15">
        <v>5</v>
      </c>
      <c r="S100" s="15"/>
      <c r="T100" s="103"/>
      <c r="U100" s="15"/>
      <c r="V100" s="15"/>
      <c r="W100" s="15"/>
      <c r="X100" s="99"/>
      <c r="Y100" s="71">
        <f ca="1">Table25[[#This Row],[End Date]]+2-TODAY()</f>
        <v>382</v>
      </c>
      <c r="Z100" s="15">
        <f>IF(ISBLANK(Table25[[#This Row],[Roster Received By]]),1,0)</f>
        <v>1</v>
      </c>
      <c r="AA100" s="15">
        <f ca="1">IF(Table25[[#This Row],[Start Date]]&gt;TODAY(),1,)</f>
        <v>1</v>
      </c>
    </row>
    <row r="101" spans="1:27" s="106" customFormat="1" ht="14.25" hidden="1" customHeight="1" x14ac:dyDescent="0.25">
      <c r="A101" s="62"/>
      <c r="B101" s="99" t="s">
        <v>49</v>
      </c>
      <c r="C101" s="100" t="s">
        <v>188</v>
      </c>
      <c r="D101" s="100">
        <v>5891</v>
      </c>
      <c r="E101" s="99" t="s">
        <v>304</v>
      </c>
      <c r="F101" s="102">
        <v>45917</v>
      </c>
      <c r="G101" s="102">
        <v>45919</v>
      </c>
      <c r="H101" s="105">
        <v>0.33333333333333331</v>
      </c>
      <c r="I101" s="105"/>
      <c r="J101" s="105"/>
      <c r="K101" s="105"/>
      <c r="L101" s="105"/>
      <c r="M101" s="105"/>
      <c r="N101" s="102"/>
      <c r="O101" s="99"/>
      <c r="P101" s="99"/>
      <c r="Q101" s="15">
        <v>25</v>
      </c>
      <c r="R101" s="15">
        <v>3</v>
      </c>
      <c r="S101" s="15"/>
      <c r="T101" s="103"/>
      <c r="U101" s="15"/>
      <c r="V101" s="15"/>
      <c r="W101" s="15"/>
      <c r="X101" s="99"/>
      <c r="Y101" s="71">
        <f ca="1">Table25[[#This Row],[End Date]]+2-TODAY()</f>
        <v>389</v>
      </c>
      <c r="Z101" s="15">
        <f>IF(ISBLANK(Table25[[#This Row],[Roster Received By]]),1,0)</f>
        <v>1</v>
      </c>
      <c r="AA101" s="15">
        <f ca="1">IF(Table25[[#This Row],[Start Date]]&gt;TODAY(),1,)</f>
        <v>1</v>
      </c>
    </row>
    <row r="102" spans="1:27" s="106" customFormat="1" ht="14.25" customHeight="1" x14ac:dyDescent="0.25">
      <c r="A102" s="62"/>
      <c r="B102" s="99" t="s">
        <v>53</v>
      </c>
      <c r="C102" s="100" t="s">
        <v>228</v>
      </c>
      <c r="D102" s="100" t="s">
        <v>229</v>
      </c>
      <c r="E102" s="99" t="s">
        <v>304</v>
      </c>
      <c r="F102" s="102">
        <v>45922</v>
      </c>
      <c r="G102" s="102">
        <v>45926</v>
      </c>
      <c r="H102" s="105">
        <v>0.33333333333333331</v>
      </c>
      <c r="I102" s="105"/>
      <c r="J102" s="102"/>
      <c r="K102" s="102"/>
      <c r="L102" s="102"/>
      <c r="M102" s="102"/>
      <c r="N102" s="102"/>
      <c r="O102" s="99"/>
      <c r="P102" s="99"/>
      <c r="Q102" s="15">
        <v>30</v>
      </c>
      <c r="R102" s="15">
        <v>5</v>
      </c>
      <c r="S102" s="15"/>
      <c r="T102" s="103"/>
      <c r="U102" s="15"/>
      <c r="V102" s="15"/>
      <c r="W102" s="15"/>
      <c r="X102" s="99"/>
      <c r="Y102" s="71">
        <f ca="1">Table25[[#This Row],[End Date]]+2-TODAY()</f>
        <v>396</v>
      </c>
      <c r="Z102" s="15">
        <f>IF(ISBLANK(Table25[[#This Row],[Roster Received By]]),1,0)</f>
        <v>1</v>
      </c>
      <c r="AA102" s="15">
        <f ca="1">IF(Table25[[#This Row],[Start Date]]&gt;TODAY(),1,)</f>
        <v>1</v>
      </c>
    </row>
    <row r="103" spans="1:27" s="106" customFormat="1" ht="14.25" customHeight="1" x14ac:dyDescent="0.25">
      <c r="A103" s="62"/>
      <c r="B103" s="99" t="s">
        <v>53</v>
      </c>
      <c r="C103" s="100" t="s">
        <v>228</v>
      </c>
      <c r="D103" s="100" t="s">
        <v>229</v>
      </c>
      <c r="E103" s="99" t="s">
        <v>305</v>
      </c>
      <c r="F103" s="67">
        <v>45866</v>
      </c>
      <c r="G103" s="67">
        <v>45870</v>
      </c>
      <c r="H103" s="105">
        <v>0.33333333333333331</v>
      </c>
      <c r="I103" s="101"/>
      <c r="J103" s="101"/>
      <c r="K103" s="101"/>
      <c r="L103" s="101"/>
      <c r="M103" s="101"/>
      <c r="N103" s="101"/>
      <c r="O103" s="99"/>
      <c r="P103" s="99"/>
      <c r="Q103" s="15">
        <v>30</v>
      </c>
      <c r="R103" s="15">
        <v>5</v>
      </c>
      <c r="S103" s="15"/>
      <c r="T103" s="103"/>
      <c r="U103" s="15"/>
      <c r="V103" s="15"/>
      <c r="W103" s="100"/>
      <c r="X103" s="99"/>
      <c r="Y103" s="71">
        <f ca="1">Table25[[#This Row],[End Date]]+2-TODAY()</f>
        <v>340</v>
      </c>
      <c r="Z103" s="15">
        <f>IF(ISBLANK(Table25[[#This Row],[Roster Received By]]),1,0)</f>
        <v>1</v>
      </c>
      <c r="AA103" s="15">
        <f ca="1">IF(Table25[[#This Row],[Start Date]]&gt;TODAY(),1,)</f>
        <v>1</v>
      </c>
    </row>
    <row r="104" spans="1:27" s="135" customFormat="1" hidden="1" x14ac:dyDescent="0.25">
      <c r="A104" s="99"/>
      <c r="B104" s="99" t="s">
        <v>49</v>
      </c>
      <c r="C104" s="100" t="s">
        <v>188</v>
      </c>
      <c r="D104" s="100">
        <v>5891</v>
      </c>
      <c r="E104" s="99" t="s">
        <v>306</v>
      </c>
      <c r="F104" s="102">
        <v>45882</v>
      </c>
      <c r="G104" s="102">
        <v>45884</v>
      </c>
      <c r="H104" s="105">
        <v>0.33333333333333331</v>
      </c>
      <c r="I104" s="101"/>
      <c r="J104" s="101"/>
      <c r="K104" s="101"/>
      <c r="L104" s="101"/>
      <c r="M104" s="101"/>
      <c r="N104" s="101"/>
      <c r="O104" s="99"/>
      <c r="P104" s="99"/>
      <c r="Q104" s="15">
        <v>25</v>
      </c>
      <c r="R104" s="15">
        <v>3</v>
      </c>
      <c r="S104" s="15"/>
      <c r="T104" s="103"/>
      <c r="U104" s="15"/>
      <c r="V104" s="15"/>
      <c r="W104" s="15"/>
      <c r="X104" s="99"/>
      <c r="Y104" s="71">
        <f ca="1">Table25[[#This Row],[End Date]]+2-TODAY()</f>
        <v>354</v>
      </c>
      <c r="Z104" s="15">
        <f>IF(ISBLANK(Table25[[#This Row],[Roster Received By]]),1,0)</f>
        <v>1</v>
      </c>
      <c r="AA104" s="15">
        <f ca="1">IF(Table25[[#This Row],[Start Date]]&gt;TODAY(),1,)</f>
        <v>1</v>
      </c>
    </row>
    <row r="105" spans="1:27" s="106" customFormat="1" ht="14.25" customHeight="1" x14ac:dyDescent="0.25">
      <c r="A105" s="62"/>
      <c r="B105" s="99" t="s">
        <v>53</v>
      </c>
      <c r="C105" s="100" t="s">
        <v>228</v>
      </c>
      <c r="D105" s="100" t="s">
        <v>229</v>
      </c>
      <c r="E105" s="65" t="s">
        <v>306</v>
      </c>
      <c r="F105" s="102">
        <v>45887</v>
      </c>
      <c r="G105" s="102">
        <v>45891</v>
      </c>
      <c r="H105" s="105">
        <v>0.33333333333333331</v>
      </c>
      <c r="I105" s="105"/>
      <c r="J105" s="102"/>
      <c r="K105" s="102"/>
      <c r="L105" s="102"/>
      <c r="M105" s="102"/>
      <c r="N105" s="102"/>
      <c r="O105" s="99"/>
      <c r="P105" s="99"/>
      <c r="Q105" s="15">
        <v>30</v>
      </c>
      <c r="R105" s="15">
        <v>5</v>
      </c>
      <c r="S105" s="15"/>
      <c r="T105" s="103"/>
      <c r="U105" s="15"/>
      <c r="V105" s="15"/>
      <c r="W105" s="15"/>
      <c r="X105" s="99"/>
      <c r="Y105" s="71">
        <f ca="1">Table25[[#This Row],[End Date]]+2-TODAY()</f>
        <v>361</v>
      </c>
      <c r="Z105" s="15">
        <f>IF(ISBLANK(Table25[[#This Row],[Roster Received By]]),1,0)</f>
        <v>1</v>
      </c>
      <c r="AA105" s="15">
        <f ca="1">IF(Table25[[#This Row],[Start Date]]&gt;TODAY(),1,)</f>
        <v>1</v>
      </c>
    </row>
    <row r="106" spans="1:27" s="135" customFormat="1" ht="14.25" hidden="1" customHeight="1" x14ac:dyDescent="0.25">
      <c r="A106" s="62"/>
      <c r="B106" s="99" t="s">
        <v>49</v>
      </c>
      <c r="C106" s="100" t="s">
        <v>188</v>
      </c>
      <c r="D106" s="100">
        <v>5891</v>
      </c>
      <c r="E106" s="99" t="s">
        <v>309</v>
      </c>
      <c r="F106" s="102">
        <v>45707</v>
      </c>
      <c r="G106" s="102">
        <v>45709</v>
      </c>
      <c r="H106" s="105">
        <v>0.33333333333333331</v>
      </c>
      <c r="I106" s="101"/>
      <c r="J106" s="101"/>
      <c r="K106" s="101"/>
      <c r="L106" s="101"/>
      <c r="M106" s="101"/>
      <c r="N106" s="101"/>
      <c r="O106" s="99"/>
      <c r="P106" s="99"/>
      <c r="Q106" s="15">
        <v>25</v>
      </c>
      <c r="R106" s="15">
        <v>3</v>
      </c>
      <c r="S106" s="15"/>
      <c r="T106" s="103"/>
      <c r="U106" s="15"/>
      <c r="V106" s="15"/>
      <c r="W106" s="15"/>
      <c r="X106" s="99"/>
      <c r="Y106" s="71">
        <f ca="1">Table25[[#This Row],[End Date]]+2-TODAY()</f>
        <v>179</v>
      </c>
      <c r="Z106" s="15">
        <f>IF(ISBLANK(Table25[[#This Row],[Roster Received By]]),1,0)</f>
        <v>1</v>
      </c>
      <c r="AA106" s="15">
        <f ca="1">IF(Table25[[#This Row],[Start Date]]&gt;TODAY(),1,)</f>
        <v>1</v>
      </c>
    </row>
    <row r="107" spans="1:27" s="106" customFormat="1" ht="16.5" customHeight="1" x14ac:dyDescent="0.25">
      <c r="A107" s="62"/>
      <c r="B107" s="99" t="s">
        <v>53</v>
      </c>
      <c r="C107" s="100" t="s">
        <v>228</v>
      </c>
      <c r="D107" s="100" t="s">
        <v>229</v>
      </c>
      <c r="E107" s="65" t="s">
        <v>309</v>
      </c>
      <c r="F107" s="102">
        <v>45712</v>
      </c>
      <c r="G107" s="102">
        <v>45716</v>
      </c>
      <c r="H107" s="105">
        <v>0.33333333333333331</v>
      </c>
      <c r="I107" s="108"/>
      <c r="J107" s="102"/>
      <c r="K107" s="102"/>
      <c r="L107" s="102"/>
      <c r="M107" s="102"/>
      <c r="N107" s="102"/>
      <c r="O107" s="99"/>
      <c r="P107" s="99"/>
      <c r="Q107" s="15">
        <v>30</v>
      </c>
      <c r="R107" s="15">
        <v>5</v>
      </c>
      <c r="S107" s="15"/>
      <c r="T107" s="103"/>
      <c r="U107" s="15"/>
      <c r="V107" s="15"/>
      <c r="W107" s="103"/>
      <c r="X107" s="99"/>
      <c r="Y107" s="71">
        <f ca="1">Table25[[#This Row],[End Date]]+2-TODAY()</f>
        <v>186</v>
      </c>
      <c r="Z107" s="15">
        <f>IF(ISBLANK(Table25[[#This Row],[Roster Received By]]),1,0)</f>
        <v>1</v>
      </c>
      <c r="AA107" s="15">
        <f ca="1">IF(Table25[[#This Row],[Start Date]]&gt;TODAY(),1,)</f>
        <v>1</v>
      </c>
    </row>
    <row r="108" spans="1:27" s="106" customFormat="1" ht="14.25" hidden="1" customHeight="1" x14ac:dyDescent="0.25">
      <c r="A108" s="62" t="s">
        <v>644</v>
      </c>
      <c r="B108" s="99" t="s">
        <v>49</v>
      </c>
      <c r="C108" s="100" t="s">
        <v>188</v>
      </c>
      <c r="D108" s="100">
        <v>5891</v>
      </c>
      <c r="E108" s="99"/>
      <c r="F108" s="102">
        <v>45609</v>
      </c>
      <c r="G108" s="102">
        <v>45611</v>
      </c>
      <c r="H108" s="105">
        <v>0.33333333333333331</v>
      </c>
      <c r="I108" s="105"/>
      <c r="J108" s="105"/>
      <c r="K108" s="105"/>
      <c r="L108" s="105"/>
      <c r="M108" s="105"/>
      <c r="N108" s="102"/>
      <c r="O108" s="99"/>
      <c r="P108" s="99"/>
      <c r="Q108" s="15">
        <v>25</v>
      </c>
      <c r="R108" s="15">
        <v>3</v>
      </c>
      <c r="S108" s="15"/>
      <c r="T108" s="103"/>
      <c r="U108" s="15"/>
      <c r="V108" s="15"/>
      <c r="W108" s="15"/>
      <c r="X108" s="99"/>
      <c r="Y108" s="71">
        <f ca="1">Table25[[#This Row],[End Date]]+2-TODAY()</f>
        <v>81</v>
      </c>
      <c r="Z108" s="15">
        <f>IF(ISBLANK(Table25[[#This Row],[Roster Received By]]),1,0)</f>
        <v>1</v>
      </c>
      <c r="AA108" s="15">
        <f ca="1">IF(Table25[[#This Row],[Start Date]]&gt;TODAY(),1,)</f>
        <v>1</v>
      </c>
    </row>
    <row r="109" spans="1:27" s="106" customFormat="1" ht="14.25" hidden="1" customHeight="1" x14ac:dyDescent="0.25">
      <c r="A109" s="62" t="s">
        <v>644</v>
      </c>
      <c r="B109" s="99" t="s">
        <v>49</v>
      </c>
      <c r="C109" s="100" t="s">
        <v>188</v>
      </c>
      <c r="D109" s="100">
        <v>5891</v>
      </c>
      <c r="E109" s="99"/>
      <c r="F109" s="102">
        <v>45629</v>
      </c>
      <c r="G109" s="102">
        <v>45631</v>
      </c>
      <c r="H109" s="105">
        <v>0.33333333333333331</v>
      </c>
      <c r="I109" s="105"/>
      <c r="J109" s="101"/>
      <c r="K109" s="101"/>
      <c r="L109" s="101"/>
      <c r="M109" s="101"/>
      <c r="N109" s="101"/>
      <c r="O109" s="99"/>
      <c r="P109" s="99"/>
      <c r="Q109" s="15">
        <v>25</v>
      </c>
      <c r="R109" s="15">
        <v>3</v>
      </c>
      <c r="S109" s="15"/>
      <c r="T109" s="103"/>
      <c r="U109" s="15"/>
      <c r="V109" s="15"/>
      <c r="W109" s="15"/>
      <c r="X109" s="99"/>
      <c r="Y109" s="71">
        <f ca="1">Table25[[#This Row],[End Date]]+2-TODAY()</f>
        <v>101</v>
      </c>
      <c r="Z109" s="15">
        <f>IF(ISBLANK(Table25[[#This Row],[Roster Received By]]),1,0)</f>
        <v>1</v>
      </c>
      <c r="AA109" s="15">
        <f ca="1">IF(Table25[[#This Row],[Start Date]]&gt;TODAY(),1,)</f>
        <v>1</v>
      </c>
    </row>
    <row r="110" spans="1:27" s="106" customFormat="1" ht="14.25" hidden="1" customHeight="1" x14ac:dyDescent="0.25">
      <c r="A110" s="62" t="s">
        <v>644</v>
      </c>
      <c r="B110" s="99" t="s">
        <v>49</v>
      </c>
      <c r="C110" s="100" t="s">
        <v>188</v>
      </c>
      <c r="D110" s="100">
        <v>5891</v>
      </c>
      <c r="E110" s="99"/>
      <c r="F110" s="102">
        <v>45748</v>
      </c>
      <c r="G110" s="102">
        <v>45750</v>
      </c>
      <c r="H110" s="105">
        <v>0.33333333333333331</v>
      </c>
      <c r="I110" s="101"/>
      <c r="J110" s="101"/>
      <c r="K110" s="101"/>
      <c r="L110" s="101"/>
      <c r="M110" s="101"/>
      <c r="N110" s="101"/>
      <c r="O110" s="99"/>
      <c r="P110" s="99"/>
      <c r="Q110" s="15">
        <v>25</v>
      </c>
      <c r="R110" s="15">
        <v>3</v>
      </c>
      <c r="S110" s="15"/>
      <c r="T110" s="103"/>
      <c r="U110" s="15"/>
      <c r="V110" s="15"/>
      <c r="W110" s="100"/>
      <c r="X110" s="99"/>
      <c r="Y110" s="71">
        <f ca="1">Table25[[#This Row],[End Date]]+2-TODAY()</f>
        <v>220</v>
      </c>
      <c r="Z110" s="15">
        <f>IF(ISBLANK(Table25[[#This Row],[Roster Received By]]),1,0)</f>
        <v>1</v>
      </c>
      <c r="AA110" s="15">
        <f ca="1">IF(Table25[[#This Row],[Start Date]]&gt;TODAY(),1,)</f>
        <v>1</v>
      </c>
    </row>
    <row r="111" spans="1:27" s="106" customFormat="1" ht="14.25" customHeight="1" x14ac:dyDescent="0.25">
      <c r="A111" s="62" t="s">
        <v>644</v>
      </c>
      <c r="B111" s="99" t="s">
        <v>53</v>
      </c>
      <c r="C111" s="100" t="s">
        <v>228</v>
      </c>
      <c r="D111" s="100" t="s">
        <v>229</v>
      </c>
      <c r="E111" s="65"/>
      <c r="F111" s="102">
        <v>45635</v>
      </c>
      <c r="G111" s="102">
        <v>45639</v>
      </c>
      <c r="H111" s="105">
        <v>0.33333333333333331</v>
      </c>
      <c r="I111" s="108"/>
      <c r="J111" s="102"/>
      <c r="K111" s="102"/>
      <c r="L111" s="102"/>
      <c r="M111" s="102"/>
      <c r="N111" s="102"/>
      <c r="O111" s="99"/>
      <c r="P111" s="99"/>
      <c r="Q111" s="15">
        <v>30</v>
      </c>
      <c r="R111" s="15">
        <v>5</v>
      </c>
      <c r="S111" s="15"/>
      <c r="T111" s="103"/>
      <c r="U111" s="15"/>
      <c r="V111" s="15"/>
      <c r="W111" s="15"/>
      <c r="X111" s="99"/>
      <c r="Y111" s="71">
        <f ca="1">Table25[[#This Row],[End Date]]+2-TODAY()</f>
        <v>109</v>
      </c>
      <c r="Z111" s="15">
        <f>IF(ISBLANK(Table25[[#This Row],[Roster Received By]]),1,0)</f>
        <v>1</v>
      </c>
      <c r="AA111" s="15">
        <f ca="1">IF(Table25[[#This Row],[Start Date]]&gt;TODAY(),1,)</f>
        <v>1</v>
      </c>
    </row>
    <row r="112" spans="1:27" s="106" customFormat="1" ht="14.25" customHeight="1" x14ac:dyDescent="0.25">
      <c r="A112" s="62" t="s">
        <v>644</v>
      </c>
      <c r="B112" s="99" t="s">
        <v>53</v>
      </c>
      <c r="C112" s="100" t="s">
        <v>228</v>
      </c>
      <c r="D112" s="100" t="s">
        <v>229</v>
      </c>
      <c r="E112" s="99"/>
      <c r="F112" s="67">
        <v>45810</v>
      </c>
      <c r="G112" s="67">
        <v>45814</v>
      </c>
      <c r="H112" s="105">
        <v>0.33333333333333331</v>
      </c>
      <c r="I112" s="101"/>
      <c r="J112" s="101"/>
      <c r="K112" s="101"/>
      <c r="L112" s="101"/>
      <c r="M112" s="101"/>
      <c r="N112" s="101"/>
      <c r="O112" s="99"/>
      <c r="P112" s="99"/>
      <c r="Q112" s="15">
        <v>30</v>
      </c>
      <c r="R112" s="15">
        <v>5</v>
      </c>
      <c r="S112" s="107"/>
      <c r="T112" s="103"/>
      <c r="U112" s="15"/>
      <c r="V112" s="15"/>
      <c r="W112" s="15"/>
      <c r="X112" s="99"/>
      <c r="Y112" s="71">
        <f ca="1">Table25[[#This Row],[End Date]]+2-TODAY()</f>
        <v>284</v>
      </c>
      <c r="Z112" s="15">
        <f>IF(ISBLANK(Table25[[#This Row],[Roster Received By]]),1,0)</f>
        <v>1</v>
      </c>
      <c r="AA112" s="15">
        <f ca="1">IF(Table25[[#This Row],[Start Date]]&gt;TODAY(),1,)</f>
        <v>1</v>
      </c>
    </row>
    <row r="113" spans="1:27" s="106" customFormat="1" ht="14.25" hidden="1" customHeight="1" x14ac:dyDescent="0.25">
      <c r="A113" s="62"/>
      <c r="B113" s="99"/>
      <c r="C113" s="100" t="e">
        <v>#N/A</v>
      </c>
      <c r="D113" s="100" t="e">
        <v>#N/A</v>
      </c>
      <c r="E113" s="65"/>
      <c r="F113" s="67"/>
      <c r="G113" s="67"/>
      <c r="H113" s="101"/>
      <c r="I113" s="101"/>
      <c r="J113" s="102"/>
      <c r="K113" s="102"/>
      <c r="L113" s="102"/>
      <c r="M113" s="102"/>
      <c r="N113" s="102"/>
      <c r="O113" s="99"/>
      <c r="P113" s="99"/>
      <c r="Q113" s="15" t="e">
        <v>#N/A</v>
      </c>
      <c r="R113" s="15" t="e">
        <v>#N/A</v>
      </c>
      <c r="S113" s="15"/>
      <c r="T113" s="103"/>
      <c r="U113" s="15"/>
      <c r="V113" s="15"/>
      <c r="W113" s="15"/>
      <c r="X113" s="99"/>
      <c r="Y113" s="71">
        <f ca="1">Table25[[#This Row],[End Date]]+2-TODAY()</f>
        <v>-45530</v>
      </c>
      <c r="Z113" s="15">
        <f>IF(ISBLANK(Table25[[#This Row],[Roster Received By]]),1,0)</f>
        <v>1</v>
      </c>
      <c r="AA113" s="15">
        <f ca="1">IF(Table25[[#This Row],[Start Date]]&gt;TODAY(),1,)</f>
        <v>0</v>
      </c>
    </row>
    <row r="114" spans="1:27" s="106" customFormat="1" ht="14.25" hidden="1" customHeight="1" x14ac:dyDescent="0.25">
      <c r="A114" s="62"/>
      <c r="B114" s="99"/>
      <c r="C114" s="100" t="e">
        <v>#N/A</v>
      </c>
      <c r="D114" s="100" t="e">
        <v>#N/A</v>
      </c>
      <c r="E114" s="99"/>
      <c r="F114" s="67"/>
      <c r="G114" s="102"/>
      <c r="H114" s="102"/>
      <c r="I114" s="101"/>
      <c r="J114" s="101"/>
      <c r="K114" s="101"/>
      <c r="L114" s="101"/>
      <c r="M114" s="101"/>
      <c r="N114" s="101"/>
      <c r="O114" s="99"/>
      <c r="P114" s="99"/>
      <c r="Q114" s="15" t="e">
        <v>#N/A</v>
      </c>
      <c r="R114" s="15" t="e">
        <v>#N/A</v>
      </c>
      <c r="S114" s="15"/>
      <c r="T114" s="103"/>
      <c r="U114" s="15"/>
      <c r="V114" s="15"/>
      <c r="W114" s="15"/>
      <c r="X114" s="99"/>
      <c r="Y114" s="71">
        <f ca="1">Table25[[#This Row],[End Date]]+2-TODAY()</f>
        <v>-45530</v>
      </c>
      <c r="Z114" s="15">
        <f>IF(ISBLANK(Table25[[#This Row],[Roster Received By]]),1,0)</f>
        <v>1</v>
      </c>
      <c r="AA114" s="15">
        <f ca="1">IF(Table25[[#This Row],[Start Date]]&gt;TODAY(),1,)</f>
        <v>0</v>
      </c>
    </row>
    <row r="115" spans="1:27" s="106" customFormat="1" ht="14.25" hidden="1" customHeight="1" x14ac:dyDescent="0.25">
      <c r="A115" s="62"/>
      <c r="B115" s="99"/>
      <c r="C115" s="100" t="e">
        <v>#N/A</v>
      </c>
      <c r="D115" s="100" t="e">
        <v>#N/A</v>
      </c>
      <c r="E115" s="99"/>
      <c r="F115" s="102"/>
      <c r="G115" s="102"/>
      <c r="H115" s="105"/>
      <c r="I115" s="105"/>
      <c r="J115" s="102"/>
      <c r="K115" s="102"/>
      <c r="L115" s="102"/>
      <c r="M115" s="102"/>
      <c r="N115" s="102"/>
      <c r="O115" s="99"/>
      <c r="P115" s="99"/>
      <c r="Q115" s="15" t="e">
        <v>#N/A</v>
      </c>
      <c r="R115" s="15" t="e">
        <v>#N/A</v>
      </c>
      <c r="S115" s="15"/>
      <c r="T115" s="103"/>
      <c r="U115" s="15"/>
      <c r="V115" s="15"/>
      <c r="W115" s="15"/>
      <c r="X115" s="99"/>
      <c r="Y115" s="71">
        <f ca="1">Table25[[#This Row],[End Date]]+2-TODAY()</f>
        <v>-45530</v>
      </c>
      <c r="Z115" s="15">
        <f>IF(ISBLANK(Table25[[#This Row],[Roster Received By]]),1,0)</f>
        <v>1</v>
      </c>
      <c r="AA115" s="15">
        <f ca="1">IF(Table25[[#This Row],[Start Date]]&gt;TODAY(),1,)</f>
        <v>0</v>
      </c>
    </row>
    <row r="116" spans="1:27" s="106" customFormat="1" ht="14.25" hidden="1" customHeight="1" x14ac:dyDescent="0.25">
      <c r="A116" s="62"/>
      <c r="B116" s="99"/>
      <c r="C116" s="100" t="e">
        <v>#N/A</v>
      </c>
      <c r="D116" s="100" t="e">
        <v>#N/A</v>
      </c>
      <c r="E116" s="99"/>
      <c r="F116" s="102"/>
      <c r="G116" s="102"/>
      <c r="H116" s="105"/>
      <c r="I116" s="105"/>
      <c r="J116" s="105"/>
      <c r="K116" s="105"/>
      <c r="L116" s="105"/>
      <c r="M116" s="105"/>
      <c r="N116" s="102"/>
      <c r="O116" s="99"/>
      <c r="P116" s="99"/>
      <c r="Q116" s="15" t="e">
        <v>#N/A</v>
      </c>
      <c r="R116" s="15" t="e">
        <v>#N/A</v>
      </c>
      <c r="S116" s="15"/>
      <c r="T116" s="103"/>
      <c r="U116" s="15"/>
      <c r="V116" s="15"/>
      <c r="W116" s="15"/>
      <c r="X116" s="99"/>
      <c r="Y116" s="71">
        <f ca="1">Table25[[#This Row],[End Date]]+2-TODAY()</f>
        <v>-45530</v>
      </c>
      <c r="Z116" s="15">
        <f>IF(ISBLANK(Table25[[#This Row],[Roster Received By]]),1,0)</f>
        <v>1</v>
      </c>
      <c r="AA116" s="15">
        <f ca="1">IF(Table25[[#This Row],[Start Date]]&gt;TODAY(),1,)</f>
        <v>0</v>
      </c>
    </row>
    <row r="117" spans="1:27" s="106" customFormat="1" ht="14.25" hidden="1" customHeight="1" x14ac:dyDescent="0.25">
      <c r="A117" s="62"/>
      <c r="B117" s="99"/>
      <c r="C117" s="100" t="e">
        <v>#N/A</v>
      </c>
      <c r="D117" s="100" t="e">
        <v>#N/A</v>
      </c>
      <c r="E117" s="99"/>
      <c r="F117" s="102"/>
      <c r="G117" s="102"/>
      <c r="H117" s="105"/>
      <c r="I117" s="105"/>
      <c r="J117" s="102"/>
      <c r="K117" s="102"/>
      <c r="L117" s="102"/>
      <c r="M117" s="102"/>
      <c r="N117" s="102"/>
      <c r="O117" s="99"/>
      <c r="P117" s="99"/>
      <c r="Q117" s="15" t="e">
        <v>#N/A</v>
      </c>
      <c r="R117" s="15" t="e">
        <v>#N/A</v>
      </c>
      <c r="S117" s="15"/>
      <c r="T117" s="103"/>
      <c r="U117" s="15"/>
      <c r="V117" s="15"/>
      <c r="W117" s="15"/>
      <c r="X117" s="99"/>
      <c r="Y117" s="71">
        <f ca="1">Table25[[#This Row],[End Date]]+2-TODAY()</f>
        <v>-45530</v>
      </c>
      <c r="Z117" s="15">
        <f>IF(ISBLANK(Table25[[#This Row],[Roster Received By]]),1,0)</f>
        <v>1</v>
      </c>
      <c r="AA117" s="15">
        <f ca="1">IF(Table25[[#This Row],[Start Date]]&gt;TODAY(),1,)</f>
        <v>0</v>
      </c>
    </row>
    <row r="118" spans="1:27" s="106" customFormat="1" ht="14.25" hidden="1" customHeight="1" x14ac:dyDescent="0.25">
      <c r="A118" s="62"/>
      <c r="B118" s="99"/>
      <c r="C118" s="100" t="e">
        <v>#N/A</v>
      </c>
      <c r="D118" s="100" t="e">
        <v>#N/A</v>
      </c>
      <c r="E118" s="99"/>
      <c r="F118" s="102"/>
      <c r="G118" s="102"/>
      <c r="H118" s="102"/>
      <c r="I118" s="101"/>
      <c r="J118" s="101"/>
      <c r="K118" s="101"/>
      <c r="L118" s="101"/>
      <c r="M118" s="101"/>
      <c r="N118" s="101"/>
      <c r="O118" s="99"/>
      <c r="P118" s="99"/>
      <c r="Q118" s="15" t="e">
        <v>#N/A</v>
      </c>
      <c r="R118" s="15" t="e">
        <v>#N/A</v>
      </c>
      <c r="S118" s="15"/>
      <c r="T118" s="103"/>
      <c r="U118" s="15"/>
      <c r="V118" s="15"/>
      <c r="W118" s="15"/>
      <c r="X118" s="99"/>
      <c r="Y118" s="71">
        <f ca="1">Table25[[#This Row],[End Date]]+2-TODAY()</f>
        <v>-45530</v>
      </c>
      <c r="Z118" s="15">
        <f>IF(ISBLANK(Table25[[#This Row],[Roster Received By]]),1,0)</f>
        <v>1</v>
      </c>
      <c r="AA118" s="15">
        <f ca="1">IF(Table25[[#This Row],[Start Date]]&gt;TODAY(),1,)</f>
        <v>0</v>
      </c>
    </row>
    <row r="119" spans="1:27" s="106" customFormat="1" ht="14.25" hidden="1" customHeight="1" x14ac:dyDescent="0.25">
      <c r="A119" s="62"/>
      <c r="B119" s="99"/>
      <c r="C119" s="100" t="e">
        <v>#N/A</v>
      </c>
      <c r="D119" s="100" t="e">
        <v>#N/A</v>
      </c>
      <c r="E119" s="99"/>
      <c r="F119" s="67"/>
      <c r="G119" s="67"/>
      <c r="H119" s="67"/>
      <c r="I119" s="101"/>
      <c r="J119" s="101"/>
      <c r="K119" s="101"/>
      <c r="L119" s="101"/>
      <c r="M119" s="101"/>
      <c r="N119" s="101"/>
      <c r="O119" s="99"/>
      <c r="P119" s="99"/>
      <c r="Q119" s="15" t="e">
        <v>#N/A</v>
      </c>
      <c r="R119" s="15" t="e">
        <v>#N/A</v>
      </c>
      <c r="S119" s="15"/>
      <c r="T119" s="103"/>
      <c r="U119" s="15"/>
      <c r="V119" s="15"/>
      <c r="W119" s="15"/>
      <c r="X119" s="99"/>
      <c r="Y119" s="71">
        <f ca="1">Table25[[#This Row],[End Date]]+2-TODAY()</f>
        <v>-45530</v>
      </c>
      <c r="Z119" s="15">
        <f>IF(ISBLANK(Table25[[#This Row],[Roster Received By]]),1,0)</f>
        <v>1</v>
      </c>
      <c r="AA119" s="15">
        <f ca="1">IF(Table25[[#This Row],[Start Date]]&gt;TODAY(),1,)</f>
        <v>0</v>
      </c>
    </row>
    <row r="120" spans="1:27" s="106" customFormat="1" ht="14.25" hidden="1" customHeight="1" x14ac:dyDescent="0.25">
      <c r="A120" s="99"/>
      <c r="B120" s="99"/>
      <c r="C120" s="100" t="e">
        <v>#N/A</v>
      </c>
      <c r="D120" s="100" t="e">
        <v>#N/A</v>
      </c>
      <c r="E120" s="99"/>
      <c r="F120" s="102"/>
      <c r="G120" s="102"/>
      <c r="H120" s="102"/>
      <c r="I120" s="101"/>
      <c r="J120" s="101"/>
      <c r="K120" s="101"/>
      <c r="L120" s="101"/>
      <c r="M120" s="101"/>
      <c r="N120" s="101"/>
      <c r="O120" s="99"/>
      <c r="P120" s="99"/>
      <c r="Q120" s="15" t="e">
        <v>#N/A</v>
      </c>
      <c r="R120" s="15" t="e">
        <v>#N/A</v>
      </c>
      <c r="S120" s="15"/>
      <c r="T120" s="103"/>
      <c r="U120" s="15"/>
      <c r="V120" s="15"/>
      <c r="W120" s="15"/>
      <c r="X120" s="99"/>
      <c r="Y120" s="71">
        <f ca="1">Table25[[#This Row],[End Date]]+2-TODAY()</f>
        <v>-45530</v>
      </c>
      <c r="Z120" s="15">
        <f>IF(ISBLANK(Table25[[#This Row],[Roster Received By]]),1,0)</f>
        <v>1</v>
      </c>
      <c r="AA120" s="15">
        <f ca="1">IF(Table25[[#This Row],[Start Date]]&gt;TODAY(),1,)</f>
        <v>0</v>
      </c>
    </row>
    <row r="121" spans="1:27" s="106" customFormat="1" ht="14.25" hidden="1" customHeight="1" x14ac:dyDescent="0.25">
      <c r="A121" s="62"/>
      <c r="B121" s="99"/>
      <c r="C121" s="100" t="e">
        <v>#N/A</v>
      </c>
      <c r="D121" s="100" t="e">
        <v>#N/A</v>
      </c>
      <c r="E121" s="141"/>
      <c r="F121" s="67"/>
      <c r="G121" s="102"/>
      <c r="H121" s="105"/>
      <c r="I121" s="105"/>
      <c r="J121" s="102"/>
      <c r="K121" s="102"/>
      <c r="L121" s="102"/>
      <c r="M121" s="102"/>
      <c r="N121" s="102"/>
      <c r="O121" s="99"/>
      <c r="P121" s="99"/>
      <c r="Q121" s="15" t="e">
        <v>#N/A</v>
      </c>
      <c r="R121" s="15" t="e">
        <v>#N/A</v>
      </c>
      <c r="S121" s="15"/>
      <c r="T121" s="103"/>
      <c r="U121" s="15"/>
      <c r="V121" s="15"/>
      <c r="W121" s="100"/>
      <c r="X121" s="99"/>
      <c r="Y121" s="71">
        <f ca="1">Table25[[#This Row],[End Date]]+2-TODAY()</f>
        <v>-45530</v>
      </c>
      <c r="Z121" s="15">
        <f>IF(ISBLANK(Table25[[#This Row],[Roster Received By]]),1,0)</f>
        <v>1</v>
      </c>
      <c r="AA121" s="15">
        <f ca="1">IF(Table25[[#This Row],[Start Date]]&gt;TODAY(),1,)</f>
        <v>0</v>
      </c>
    </row>
    <row r="122" spans="1:27" s="106" customFormat="1" ht="14.25" hidden="1" customHeight="1" x14ac:dyDescent="0.25">
      <c r="A122" s="62"/>
      <c r="B122" s="99"/>
      <c r="C122" s="100" t="e">
        <v>#N/A</v>
      </c>
      <c r="D122" s="100" t="e">
        <v>#N/A</v>
      </c>
      <c r="E122" s="99"/>
      <c r="F122" s="102"/>
      <c r="G122" s="102"/>
      <c r="H122" s="105"/>
      <c r="I122" s="105"/>
      <c r="J122" s="102"/>
      <c r="K122" s="102"/>
      <c r="L122" s="102"/>
      <c r="M122" s="102"/>
      <c r="N122" s="102"/>
      <c r="O122" s="99"/>
      <c r="P122" s="99"/>
      <c r="Q122" s="15" t="e">
        <v>#N/A</v>
      </c>
      <c r="R122" s="15" t="e">
        <v>#N/A</v>
      </c>
      <c r="S122" s="15"/>
      <c r="T122" s="103"/>
      <c r="U122" s="15"/>
      <c r="V122" s="15"/>
      <c r="W122" s="15"/>
      <c r="X122" s="99"/>
      <c r="Y122" s="71">
        <f ca="1">Table25[[#This Row],[End Date]]+2-TODAY()</f>
        <v>-45530</v>
      </c>
      <c r="Z122" s="15">
        <f>IF(ISBLANK(Table25[[#This Row],[Roster Received By]]),1,0)</f>
        <v>1</v>
      </c>
      <c r="AA122" s="15">
        <f ca="1">IF(Table25[[#This Row],[Start Date]]&gt;TODAY(),1,)</f>
        <v>0</v>
      </c>
    </row>
    <row r="123" spans="1:27" s="106" customFormat="1" ht="14.25" hidden="1" customHeight="1" x14ac:dyDescent="0.25">
      <c r="A123" s="62"/>
      <c r="B123" s="99"/>
      <c r="C123" s="100" t="e">
        <v>#N/A</v>
      </c>
      <c r="D123" s="100" t="e">
        <v>#N/A</v>
      </c>
      <c r="E123" s="99"/>
      <c r="F123" s="102"/>
      <c r="G123" s="102"/>
      <c r="H123" s="105"/>
      <c r="I123" s="105"/>
      <c r="J123" s="102"/>
      <c r="K123" s="102"/>
      <c r="L123" s="102"/>
      <c r="M123" s="102"/>
      <c r="N123" s="102"/>
      <c r="O123" s="99"/>
      <c r="P123" s="99"/>
      <c r="Q123" s="15" t="e">
        <v>#N/A</v>
      </c>
      <c r="R123" s="15" t="e">
        <v>#N/A</v>
      </c>
      <c r="S123" s="15"/>
      <c r="T123" s="103"/>
      <c r="U123" s="15"/>
      <c r="V123" s="15"/>
      <c r="W123" s="15"/>
      <c r="X123" s="99"/>
      <c r="Y123" s="71">
        <f ca="1">Table25[[#This Row],[End Date]]+2-TODAY()</f>
        <v>-45530</v>
      </c>
      <c r="Z123" s="15">
        <f>IF(ISBLANK(Table25[[#This Row],[Roster Received By]]),1,0)</f>
        <v>1</v>
      </c>
      <c r="AA123" s="15">
        <f ca="1">IF(Table25[[#This Row],[Start Date]]&gt;TODAY(),1,)</f>
        <v>0</v>
      </c>
    </row>
    <row r="124" spans="1:27" s="106" customFormat="1" ht="14.25" hidden="1" customHeight="1" x14ac:dyDescent="0.25">
      <c r="A124" s="62"/>
      <c r="B124" s="99"/>
      <c r="C124" s="100" t="e">
        <v>#N/A</v>
      </c>
      <c r="D124" s="100" t="e">
        <v>#N/A</v>
      </c>
      <c r="E124" s="99"/>
      <c r="F124" s="102"/>
      <c r="G124" s="102"/>
      <c r="H124" s="102"/>
      <c r="I124" s="101"/>
      <c r="J124" s="101"/>
      <c r="K124" s="101"/>
      <c r="L124" s="101"/>
      <c r="M124" s="101"/>
      <c r="N124" s="101"/>
      <c r="O124" s="99"/>
      <c r="P124" s="99"/>
      <c r="Q124" s="15" t="e">
        <v>#N/A</v>
      </c>
      <c r="R124" s="15" t="e">
        <v>#N/A</v>
      </c>
      <c r="S124" s="15"/>
      <c r="T124" s="103"/>
      <c r="U124" s="15"/>
      <c r="V124" s="15"/>
      <c r="W124" s="15"/>
      <c r="X124" s="99"/>
      <c r="Y124" s="71">
        <f ca="1">Table25[[#This Row],[End Date]]+2-TODAY()</f>
        <v>-45530</v>
      </c>
      <c r="Z124" s="15">
        <f>IF(ISBLANK(Table25[[#This Row],[Roster Received By]]),1,0)</f>
        <v>1</v>
      </c>
      <c r="AA124" s="15">
        <f ca="1">IF(Table25[[#This Row],[Start Date]]&gt;TODAY(),1,)</f>
        <v>0</v>
      </c>
    </row>
    <row r="125" spans="1:27" s="106" customFormat="1" ht="14.25" hidden="1" customHeight="1" x14ac:dyDescent="0.25">
      <c r="A125" s="62"/>
      <c r="B125" s="99"/>
      <c r="C125" s="100" t="e">
        <v>#N/A</v>
      </c>
      <c r="D125" s="100" t="e">
        <v>#N/A</v>
      </c>
      <c r="E125" s="99"/>
      <c r="F125" s="102"/>
      <c r="G125" s="102"/>
      <c r="H125" s="102"/>
      <c r="I125" s="101"/>
      <c r="J125" s="101"/>
      <c r="K125" s="101"/>
      <c r="L125" s="101"/>
      <c r="M125" s="101"/>
      <c r="N125" s="101"/>
      <c r="O125" s="99"/>
      <c r="P125" s="99"/>
      <c r="Q125" s="15" t="e">
        <v>#N/A</v>
      </c>
      <c r="R125" s="15" t="e">
        <v>#N/A</v>
      </c>
      <c r="S125" s="15"/>
      <c r="T125" s="103"/>
      <c r="U125" s="15"/>
      <c r="V125" s="15"/>
      <c r="W125" s="15"/>
      <c r="X125" s="99"/>
      <c r="Y125" s="71">
        <f ca="1">Table25[[#This Row],[End Date]]+2-TODAY()</f>
        <v>-45530</v>
      </c>
      <c r="Z125" s="15">
        <f>IF(ISBLANK(Table25[[#This Row],[Roster Received By]]),1,0)</f>
        <v>1</v>
      </c>
      <c r="AA125" s="15">
        <f ca="1">IF(Table25[[#This Row],[Start Date]]&gt;TODAY(),1,)</f>
        <v>0</v>
      </c>
    </row>
    <row r="126" spans="1:27" s="106" customFormat="1" ht="14.25" hidden="1" customHeight="1" x14ac:dyDescent="0.25">
      <c r="A126" s="62"/>
      <c r="B126" s="99"/>
      <c r="C126" s="100" t="e">
        <v>#N/A</v>
      </c>
      <c r="D126" s="100" t="e">
        <v>#N/A</v>
      </c>
      <c r="E126" s="99"/>
      <c r="F126" s="102"/>
      <c r="G126" s="102"/>
      <c r="H126" s="105"/>
      <c r="I126" s="105"/>
      <c r="J126" s="102"/>
      <c r="K126" s="102"/>
      <c r="L126" s="102"/>
      <c r="M126" s="102"/>
      <c r="N126" s="102"/>
      <c r="O126" s="99"/>
      <c r="P126" s="99"/>
      <c r="Q126" s="15" t="e">
        <v>#N/A</v>
      </c>
      <c r="R126" s="15" t="e">
        <v>#N/A</v>
      </c>
      <c r="S126" s="15"/>
      <c r="T126" s="103"/>
      <c r="U126" s="15"/>
      <c r="V126" s="15"/>
      <c r="W126" s="15"/>
      <c r="X126" s="99"/>
      <c r="Y126" s="71">
        <f ca="1">Table25[[#This Row],[End Date]]+2-TODAY()</f>
        <v>-45530</v>
      </c>
      <c r="Z126" s="15">
        <f>IF(ISBLANK(Table25[[#This Row],[Roster Received By]]),1,0)</f>
        <v>1</v>
      </c>
      <c r="AA126" s="15">
        <f ca="1">IF(Table25[[#This Row],[Start Date]]&gt;TODAY(),1,)</f>
        <v>0</v>
      </c>
    </row>
    <row r="127" spans="1:27" s="106" customFormat="1" ht="14.25" hidden="1" customHeight="1" x14ac:dyDescent="0.25">
      <c r="A127" s="62"/>
      <c r="B127" s="99"/>
      <c r="C127" s="100" t="e">
        <v>#N/A</v>
      </c>
      <c r="D127" s="100" t="e">
        <v>#N/A</v>
      </c>
      <c r="E127" s="99"/>
      <c r="F127" s="102"/>
      <c r="G127" s="102"/>
      <c r="H127" s="102"/>
      <c r="I127" s="101"/>
      <c r="J127" s="101"/>
      <c r="K127" s="101"/>
      <c r="L127" s="101"/>
      <c r="M127" s="101"/>
      <c r="N127" s="101"/>
      <c r="O127" s="99"/>
      <c r="P127" s="99"/>
      <c r="Q127" s="15" t="e">
        <v>#N/A</v>
      </c>
      <c r="R127" s="15" t="e">
        <v>#N/A</v>
      </c>
      <c r="S127" s="15"/>
      <c r="T127" s="103"/>
      <c r="U127" s="15"/>
      <c r="V127" s="15"/>
      <c r="W127" s="15"/>
      <c r="X127" s="99"/>
      <c r="Y127" s="71">
        <f ca="1">Table25[[#This Row],[End Date]]+2-TODAY()</f>
        <v>-45530</v>
      </c>
      <c r="Z127" s="15">
        <f>IF(ISBLANK(Table25[[#This Row],[Roster Received By]]),1,0)</f>
        <v>1</v>
      </c>
      <c r="AA127" s="15">
        <f ca="1">IF(Table25[[#This Row],[Start Date]]&gt;TODAY(),1,)</f>
        <v>0</v>
      </c>
    </row>
    <row r="128" spans="1:27" s="106" customFormat="1" ht="14.25" hidden="1" customHeight="1" x14ac:dyDescent="0.25">
      <c r="A128" s="99"/>
      <c r="B128" s="99"/>
      <c r="C128" s="100" t="e">
        <v>#N/A</v>
      </c>
      <c r="D128" s="100" t="e">
        <v>#N/A</v>
      </c>
      <c r="E128" s="99"/>
      <c r="F128" s="102"/>
      <c r="G128" s="102"/>
      <c r="H128" s="105"/>
      <c r="I128" s="105"/>
      <c r="J128" s="102"/>
      <c r="K128" s="102"/>
      <c r="L128" s="102"/>
      <c r="M128" s="102"/>
      <c r="N128" s="102"/>
      <c r="O128" s="99"/>
      <c r="P128" s="99"/>
      <c r="Q128" s="15" t="e">
        <v>#N/A</v>
      </c>
      <c r="R128" s="15" t="e">
        <v>#N/A</v>
      </c>
      <c r="S128" s="15"/>
      <c r="T128" s="103"/>
      <c r="U128" s="15"/>
      <c r="V128" s="15"/>
      <c r="W128" s="15"/>
      <c r="X128" s="99"/>
      <c r="Y128" s="71">
        <f ca="1">Table25[[#This Row],[End Date]]+2-TODAY()</f>
        <v>-45530</v>
      </c>
      <c r="Z128" s="15">
        <f>IF(ISBLANK(Table25[[#This Row],[Roster Received By]]),1,0)</f>
        <v>1</v>
      </c>
      <c r="AA128" s="15">
        <f ca="1">IF(Table25[[#This Row],[Start Date]]&gt;TODAY(),1,)</f>
        <v>0</v>
      </c>
    </row>
    <row r="129" spans="1:27" s="135" customFormat="1" hidden="1" x14ac:dyDescent="0.25">
      <c r="A129" s="62"/>
      <c r="B129" s="99"/>
      <c r="C129" s="100" t="e">
        <v>#N/A</v>
      </c>
      <c r="D129" s="100" t="e">
        <v>#N/A</v>
      </c>
      <c r="E129" s="99"/>
      <c r="F129" s="102"/>
      <c r="G129" s="102"/>
      <c r="H129" s="105"/>
      <c r="I129" s="105"/>
      <c r="J129" s="102"/>
      <c r="K129" s="102"/>
      <c r="L129" s="102"/>
      <c r="M129" s="102"/>
      <c r="N129" s="102"/>
      <c r="O129" s="99"/>
      <c r="P129" s="99"/>
      <c r="Q129" s="15" t="e">
        <v>#N/A</v>
      </c>
      <c r="R129" s="15" t="e">
        <v>#N/A</v>
      </c>
      <c r="S129" s="15"/>
      <c r="T129" s="103"/>
      <c r="U129" s="15"/>
      <c r="V129" s="15"/>
      <c r="W129" s="15"/>
      <c r="X129" s="99"/>
      <c r="Y129" s="71">
        <f ca="1">Table25[[#This Row],[End Date]]+2-TODAY()</f>
        <v>-45530</v>
      </c>
      <c r="Z129" s="15">
        <f>IF(ISBLANK(Table25[[#This Row],[Roster Received By]]),1,0)</f>
        <v>1</v>
      </c>
      <c r="AA129" s="15">
        <f ca="1">IF(Table25[[#This Row],[Start Date]]&gt;TODAY(),1,)</f>
        <v>0</v>
      </c>
    </row>
    <row r="130" spans="1:27" s="106" customFormat="1" ht="14.25" hidden="1" customHeight="1" x14ac:dyDescent="0.25">
      <c r="A130" s="62"/>
      <c r="B130" s="99"/>
      <c r="C130" s="100" t="e">
        <v>#N/A</v>
      </c>
      <c r="D130" s="100" t="e">
        <v>#N/A</v>
      </c>
      <c r="E130" s="99"/>
      <c r="F130" s="102"/>
      <c r="G130" s="102"/>
      <c r="H130" s="102"/>
      <c r="I130" s="101"/>
      <c r="J130" s="101"/>
      <c r="K130" s="101"/>
      <c r="L130" s="101"/>
      <c r="M130" s="101"/>
      <c r="N130" s="101"/>
      <c r="O130" s="99"/>
      <c r="P130" s="99"/>
      <c r="Q130" s="15" t="e">
        <v>#N/A</v>
      </c>
      <c r="R130" s="15" t="e">
        <v>#N/A</v>
      </c>
      <c r="S130" s="15"/>
      <c r="T130" s="103"/>
      <c r="U130" s="15"/>
      <c r="V130" s="15"/>
      <c r="W130" s="15"/>
      <c r="X130" s="99"/>
      <c r="Y130" s="71">
        <f ca="1">Table25[[#This Row],[End Date]]+2-TODAY()</f>
        <v>-45530</v>
      </c>
      <c r="Z130" s="15">
        <f>IF(ISBLANK(Table25[[#This Row],[Roster Received By]]),1,0)</f>
        <v>1</v>
      </c>
      <c r="AA130" s="15">
        <f ca="1">IF(Table25[[#This Row],[Start Date]]&gt;TODAY(),1,)</f>
        <v>0</v>
      </c>
    </row>
    <row r="131" spans="1:27" s="106" customFormat="1" ht="14.25" hidden="1" customHeight="1" x14ac:dyDescent="0.25">
      <c r="A131" s="62"/>
      <c r="B131" s="99"/>
      <c r="C131" s="100" t="e">
        <v>#N/A</v>
      </c>
      <c r="D131" s="100" t="e">
        <v>#N/A</v>
      </c>
      <c r="E131" s="99"/>
      <c r="F131" s="102"/>
      <c r="G131" s="102"/>
      <c r="H131" s="105"/>
      <c r="I131" s="105"/>
      <c r="J131" s="102"/>
      <c r="K131" s="102"/>
      <c r="L131" s="102"/>
      <c r="M131" s="102"/>
      <c r="N131" s="102"/>
      <c r="O131" s="99"/>
      <c r="P131" s="99"/>
      <c r="Q131" s="15" t="e">
        <v>#N/A</v>
      </c>
      <c r="R131" s="15" t="e">
        <v>#N/A</v>
      </c>
      <c r="S131" s="15"/>
      <c r="T131" s="103"/>
      <c r="U131" s="15"/>
      <c r="V131" s="15"/>
      <c r="W131" s="107"/>
      <c r="X131" s="99"/>
      <c r="Y131" s="71">
        <f ca="1">Table25[[#This Row],[End Date]]+2-TODAY()</f>
        <v>-45530</v>
      </c>
      <c r="Z131" s="15">
        <f>IF(ISBLANK(Table25[[#This Row],[Roster Received By]]),1,0)</f>
        <v>1</v>
      </c>
      <c r="AA131" s="15">
        <f ca="1">IF(Table25[[#This Row],[Start Date]]&gt;TODAY(),1,)</f>
        <v>0</v>
      </c>
    </row>
    <row r="132" spans="1:27" s="106" customFormat="1" ht="14.25" hidden="1" customHeight="1" x14ac:dyDescent="0.25">
      <c r="A132" s="62"/>
      <c r="B132" s="99"/>
      <c r="C132" s="100" t="e">
        <v>#N/A</v>
      </c>
      <c r="D132" s="100" t="e">
        <v>#N/A</v>
      </c>
      <c r="E132" s="99"/>
      <c r="F132" s="102"/>
      <c r="G132" s="102"/>
      <c r="H132" s="102"/>
      <c r="I132" s="101"/>
      <c r="J132" s="101"/>
      <c r="K132" s="101"/>
      <c r="L132" s="101"/>
      <c r="M132" s="101"/>
      <c r="N132" s="101"/>
      <c r="O132" s="99"/>
      <c r="P132" s="99"/>
      <c r="Q132" s="15" t="e">
        <v>#N/A</v>
      </c>
      <c r="R132" s="15" t="e">
        <v>#N/A</v>
      </c>
      <c r="S132" s="15"/>
      <c r="T132" s="103"/>
      <c r="U132" s="15"/>
      <c r="V132" s="15"/>
      <c r="W132" s="15"/>
      <c r="X132" s="99"/>
      <c r="Y132" s="71">
        <f ca="1">Table25[[#This Row],[End Date]]+2-TODAY()</f>
        <v>-45530</v>
      </c>
      <c r="Z132" s="15">
        <f>IF(ISBLANK(Table25[[#This Row],[Roster Received By]]),1,0)</f>
        <v>1</v>
      </c>
      <c r="AA132" s="15">
        <f ca="1">IF(Table25[[#This Row],[Start Date]]&gt;TODAY(),1,)</f>
        <v>0</v>
      </c>
    </row>
    <row r="133" spans="1:27" s="106" customFormat="1" ht="14.25" hidden="1" customHeight="1" x14ac:dyDescent="0.25">
      <c r="A133" s="62"/>
      <c r="B133" s="99"/>
      <c r="C133" s="100" t="e">
        <v>#N/A</v>
      </c>
      <c r="D133" s="100" t="e">
        <v>#N/A</v>
      </c>
      <c r="E133" s="99"/>
      <c r="F133" s="102"/>
      <c r="G133" s="102"/>
      <c r="H133" s="102"/>
      <c r="I133" s="101"/>
      <c r="J133" s="101"/>
      <c r="K133" s="101"/>
      <c r="L133" s="101"/>
      <c r="M133" s="101"/>
      <c r="N133" s="101"/>
      <c r="O133" s="99"/>
      <c r="P133" s="99"/>
      <c r="Q133" s="15" t="e">
        <v>#N/A</v>
      </c>
      <c r="R133" s="15" t="e">
        <v>#N/A</v>
      </c>
      <c r="S133" s="15"/>
      <c r="T133" s="103"/>
      <c r="U133" s="15"/>
      <c r="V133" s="15"/>
      <c r="W133" s="15"/>
      <c r="X133" s="99"/>
      <c r="Y133" s="71">
        <f ca="1">Table25[[#This Row],[End Date]]+2-TODAY()</f>
        <v>-45530</v>
      </c>
      <c r="Z133" s="15">
        <f>IF(ISBLANK(Table25[[#This Row],[Roster Received By]]),1,0)</f>
        <v>1</v>
      </c>
      <c r="AA133" s="15">
        <f ca="1">IF(Table25[[#This Row],[Start Date]]&gt;TODAY(),1,)</f>
        <v>0</v>
      </c>
    </row>
    <row r="134" spans="1:27" s="106" customFormat="1" ht="14.25" hidden="1" customHeight="1" x14ac:dyDescent="0.25">
      <c r="A134" s="62"/>
      <c r="B134" s="99"/>
      <c r="C134" s="100" t="e">
        <v>#N/A</v>
      </c>
      <c r="D134" s="100" t="e">
        <v>#N/A</v>
      </c>
      <c r="E134" s="99"/>
      <c r="F134" s="102"/>
      <c r="G134" s="102"/>
      <c r="H134" s="102"/>
      <c r="I134" s="101"/>
      <c r="J134" s="101"/>
      <c r="K134" s="101"/>
      <c r="L134" s="101"/>
      <c r="M134" s="101"/>
      <c r="N134" s="101"/>
      <c r="O134" s="99"/>
      <c r="P134" s="99"/>
      <c r="Q134" s="15" t="e">
        <v>#N/A</v>
      </c>
      <c r="R134" s="15" t="e">
        <v>#N/A</v>
      </c>
      <c r="S134" s="15"/>
      <c r="T134" s="103"/>
      <c r="U134" s="15"/>
      <c r="V134" s="15"/>
      <c r="W134" s="100"/>
      <c r="X134" s="99"/>
      <c r="Y134" s="71">
        <f ca="1">Table25[[#This Row],[End Date]]+2-TODAY()</f>
        <v>-45530</v>
      </c>
      <c r="Z134" s="15">
        <f>IF(ISBLANK(Table25[[#This Row],[Roster Received By]]),1,0)</f>
        <v>1</v>
      </c>
      <c r="AA134" s="15">
        <f ca="1">IF(Table25[[#This Row],[Start Date]]&gt;TODAY(),1,)</f>
        <v>0</v>
      </c>
    </row>
    <row r="135" spans="1:27" s="106" customFormat="1" ht="14.25" hidden="1" customHeight="1" x14ac:dyDescent="0.25">
      <c r="A135" s="99"/>
      <c r="B135" s="99"/>
      <c r="C135" s="100" t="e">
        <v>#N/A</v>
      </c>
      <c r="D135" s="100" t="e">
        <v>#N/A</v>
      </c>
      <c r="E135" s="99"/>
      <c r="F135" s="102"/>
      <c r="G135" s="102"/>
      <c r="H135" s="108"/>
      <c r="I135" s="108"/>
      <c r="J135" s="102"/>
      <c r="K135" s="102"/>
      <c r="L135" s="102"/>
      <c r="M135" s="102"/>
      <c r="N135" s="102"/>
      <c r="O135" s="99"/>
      <c r="P135" s="99"/>
      <c r="Q135" s="15" t="e">
        <v>#N/A</v>
      </c>
      <c r="R135" s="15" t="e">
        <v>#N/A</v>
      </c>
      <c r="S135" s="15"/>
      <c r="T135" s="103"/>
      <c r="U135" s="15"/>
      <c r="V135" s="15"/>
      <c r="W135" s="100"/>
      <c r="X135" s="99"/>
      <c r="Y135" s="71">
        <f ca="1">Table25[[#This Row],[End Date]]+2-TODAY()</f>
        <v>-45530</v>
      </c>
      <c r="Z135" s="15">
        <f>IF(ISBLANK(Table25[[#This Row],[Roster Received By]]),1,0)</f>
        <v>1</v>
      </c>
      <c r="AA135" s="15">
        <f ca="1">IF(Table25[[#This Row],[Start Date]]&gt;TODAY(),1,)</f>
        <v>0</v>
      </c>
    </row>
    <row r="136" spans="1:27" s="106" customFormat="1" ht="14.25" hidden="1" customHeight="1" x14ac:dyDescent="0.25">
      <c r="A136" s="62"/>
      <c r="B136" s="99"/>
      <c r="C136" s="100" t="e">
        <v>#N/A</v>
      </c>
      <c r="D136" s="100" t="e">
        <v>#N/A</v>
      </c>
      <c r="E136" s="99"/>
      <c r="F136" s="102"/>
      <c r="G136" s="102"/>
      <c r="H136" s="102"/>
      <c r="I136" s="101"/>
      <c r="J136" s="101"/>
      <c r="K136" s="101"/>
      <c r="L136" s="101"/>
      <c r="M136" s="101"/>
      <c r="N136" s="101"/>
      <c r="O136" s="99"/>
      <c r="P136" s="99"/>
      <c r="Q136" s="15" t="e">
        <v>#N/A</v>
      </c>
      <c r="R136" s="15" t="e">
        <v>#N/A</v>
      </c>
      <c r="S136" s="15"/>
      <c r="T136" s="103"/>
      <c r="U136" s="15"/>
      <c r="V136" s="15"/>
      <c r="W136" s="15"/>
      <c r="X136" s="99"/>
      <c r="Y136" s="71">
        <f ca="1">Table25[[#This Row],[End Date]]+2-TODAY()</f>
        <v>-45530</v>
      </c>
      <c r="Z136" s="15">
        <f>IF(ISBLANK(Table25[[#This Row],[Roster Received By]]),1,0)</f>
        <v>1</v>
      </c>
      <c r="AA136" s="15">
        <f ca="1">IF(Table25[[#This Row],[Start Date]]&gt;TODAY(),1,)</f>
        <v>0</v>
      </c>
    </row>
    <row r="137" spans="1:27" s="62" customFormat="1" hidden="1" x14ac:dyDescent="0.25">
      <c r="B137" s="99"/>
      <c r="C137" s="100" t="e">
        <v>#N/A</v>
      </c>
      <c r="D137" s="100" t="e">
        <v>#N/A</v>
      </c>
      <c r="E137" s="99"/>
      <c r="F137" s="102"/>
      <c r="G137" s="102"/>
      <c r="H137" s="102"/>
      <c r="I137" s="101"/>
      <c r="J137" s="101"/>
      <c r="K137" s="101"/>
      <c r="L137" s="101"/>
      <c r="M137" s="101"/>
      <c r="N137" s="101"/>
      <c r="O137" s="99"/>
      <c r="P137" s="99"/>
      <c r="Q137" s="15" t="e">
        <v>#N/A</v>
      </c>
      <c r="R137" s="15" t="e">
        <v>#N/A</v>
      </c>
      <c r="S137" s="15"/>
      <c r="T137" s="103"/>
      <c r="U137" s="15"/>
      <c r="V137" s="15"/>
      <c r="W137" s="103"/>
      <c r="X137" s="99"/>
      <c r="Y137" s="71">
        <f ca="1">Table25[[#This Row],[End Date]]+2-TODAY()</f>
        <v>-45530</v>
      </c>
      <c r="Z137" s="15">
        <f>IF(ISBLANK(Table25[[#This Row],[Roster Received By]]),1,0)</f>
        <v>1</v>
      </c>
      <c r="AA137" s="15">
        <f ca="1">IF(Table25[[#This Row],[Start Date]]&gt;TODAY(),1,)</f>
        <v>0</v>
      </c>
    </row>
    <row r="138" spans="1:27" s="135" customFormat="1" ht="14.25" hidden="1" customHeight="1" x14ac:dyDescent="0.25">
      <c r="A138" s="62"/>
      <c r="B138" s="99"/>
      <c r="C138" s="100" t="e">
        <v>#N/A</v>
      </c>
      <c r="D138" s="100" t="e">
        <v>#N/A</v>
      </c>
      <c r="E138" s="99"/>
      <c r="F138" s="102"/>
      <c r="G138" s="102"/>
      <c r="H138" s="102"/>
      <c r="I138" s="101"/>
      <c r="J138" s="101"/>
      <c r="K138" s="101"/>
      <c r="L138" s="101"/>
      <c r="M138" s="101"/>
      <c r="N138" s="101"/>
      <c r="O138" s="99"/>
      <c r="P138" s="99"/>
      <c r="Q138" s="15" t="e">
        <v>#N/A</v>
      </c>
      <c r="R138" s="15" t="e">
        <v>#N/A</v>
      </c>
      <c r="S138" s="15"/>
      <c r="T138" s="103"/>
      <c r="U138" s="15"/>
      <c r="V138" s="15"/>
      <c r="W138" s="15"/>
      <c r="X138" s="99"/>
      <c r="Y138" s="71">
        <f ca="1">Table25[[#This Row],[End Date]]+2-TODAY()</f>
        <v>-45530</v>
      </c>
      <c r="Z138" s="15">
        <f>IF(ISBLANK(Table25[[#This Row],[Roster Received By]]),1,0)</f>
        <v>1</v>
      </c>
      <c r="AA138" s="15">
        <f ca="1">IF(Table25[[#This Row],[Start Date]]&gt;TODAY(),1,)</f>
        <v>0</v>
      </c>
    </row>
    <row r="139" spans="1:27" s="135" customFormat="1" ht="14.25" hidden="1" customHeight="1" x14ac:dyDescent="0.25">
      <c r="A139" s="62"/>
      <c r="B139" s="99"/>
      <c r="C139" s="100" t="e">
        <v>#N/A</v>
      </c>
      <c r="D139" s="100" t="e">
        <v>#N/A</v>
      </c>
      <c r="E139" s="99"/>
      <c r="F139" s="102"/>
      <c r="G139" s="102"/>
      <c r="H139" s="105"/>
      <c r="I139" s="105"/>
      <c r="J139" s="102"/>
      <c r="K139" s="102"/>
      <c r="L139" s="102"/>
      <c r="M139" s="102"/>
      <c r="N139" s="102"/>
      <c r="O139" s="99"/>
      <c r="P139" s="99"/>
      <c r="Q139" s="15" t="e">
        <v>#N/A</v>
      </c>
      <c r="R139" s="15" t="e">
        <v>#N/A</v>
      </c>
      <c r="S139" s="15"/>
      <c r="T139" s="103"/>
      <c r="U139" s="15"/>
      <c r="V139" s="15"/>
      <c r="W139" s="100"/>
      <c r="X139" s="99"/>
      <c r="Y139" s="71">
        <f ca="1">Table25[[#This Row],[End Date]]+2-TODAY()</f>
        <v>-45530</v>
      </c>
      <c r="Z139" s="15">
        <f>IF(ISBLANK(Table25[[#This Row],[Roster Received By]]),1,0)</f>
        <v>1</v>
      </c>
      <c r="AA139" s="15">
        <f ca="1">IF(Table25[[#This Row],[Start Date]]&gt;TODAY(),1,)</f>
        <v>0</v>
      </c>
    </row>
    <row r="140" spans="1:27" s="135" customFormat="1" ht="16.5" hidden="1" customHeight="1" x14ac:dyDescent="0.25">
      <c r="A140" s="62"/>
      <c r="B140" s="99"/>
      <c r="C140" s="100" t="e">
        <v>#N/A</v>
      </c>
      <c r="D140" s="100" t="e">
        <v>#N/A</v>
      </c>
      <c r="E140" s="99"/>
      <c r="F140" s="102"/>
      <c r="G140" s="102"/>
      <c r="H140" s="102"/>
      <c r="I140" s="101"/>
      <c r="J140" s="101"/>
      <c r="K140" s="101"/>
      <c r="L140" s="101"/>
      <c r="M140" s="101"/>
      <c r="N140" s="101"/>
      <c r="O140" s="99"/>
      <c r="P140" s="99"/>
      <c r="Q140" s="15" t="e">
        <v>#N/A</v>
      </c>
      <c r="R140" s="15" t="e">
        <v>#N/A</v>
      </c>
      <c r="S140" s="15"/>
      <c r="T140" s="103"/>
      <c r="U140" s="15"/>
      <c r="V140" s="15"/>
      <c r="W140" s="15"/>
      <c r="X140" s="99"/>
      <c r="Y140" s="71">
        <f ca="1">Table25[[#This Row],[End Date]]+2-TODAY()</f>
        <v>-45530</v>
      </c>
      <c r="Z140" s="15">
        <f>IF(ISBLANK(Table25[[#This Row],[Roster Received By]]),1,0)</f>
        <v>1</v>
      </c>
      <c r="AA140" s="15">
        <f ca="1">IF(Table25[[#This Row],[Start Date]]&gt;TODAY(),1,)</f>
        <v>0</v>
      </c>
    </row>
    <row r="141" spans="1:27" s="106" customFormat="1" ht="16.5" hidden="1" customHeight="1" x14ac:dyDescent="0.25">
      <c r="A141" s="62"/>
      <c r="B141" s="99"/>
      <c r="C141" s="100" t="e">
        <v>#N/A</v>
      </c>
      <c r="D141" s="100" t="e">
        <v>#N/A</v>
      </c>
      <c r="E141" s="99"/>
      <c r="F141" s="67"/>
      <c r="G141" s="102"/>
      <c r="H141" s="102"/>
      <c r="I141" s="101"/>
      <c r="J141" s="101"/>
      <c r="K141" s="101"/>
      <c r="L141" s="101"/>
      <c r="M141" s="101"/>
      <c r="N141" s="101"/>
      <c r="O141" s="99"/>
      <c r="P141" s="99"/>
      <c r="Q141" s="15" t="e">
        <v>#N/A</v>
      </c>
      <c r="R141" s="15" t="e">
        <v>#N/A</v>
      </c>
      <c r="S141" s="15"/>
      <c r="T141" s="103"/>
      <c r="U141" s="15"/>
      <c r="V141" s="15"/>
      <c r="W141" s="15"/>
      <c r="X141" s="99"/>
      <c r="Y141" s="71">
        <f ca="1">Table25[[#This Row],[End Date]]+2-TODAY()</f>
        <v>-45530</v>
      </c>
      <c r="Z141" s="15">
        <f>IF(ISBLANK(Table25[[#This Row],[Roster Received By]]),1,0)</f>
        <v>1</v>
      </c>
      <c r="AA141" s="15">
        <f ca="1">IF(Table25[[#This Row],[Start Date]]&gt;TODAY(),1,)</f>
        <v>0</v>
      </c>
    </row>
    <row r="142" spans="1:27" s="106" customFormat="1" ht="16.5" hidden="1" customHeight="1" x14ac:dyDescent="0.25">
      <c r="A142" s="99"/>
      <c r="B142" s="99"/>
      <c r="C142" s="100" t="e">
        <v>#N/A</v>
      </c>
      <c r="D142" s="100" t="e">
        <v>#N/A</v>
      </c>
      <c r="E142" s="65"/>
      <c r="F142" s="102"/>
      <c r="G142" s="102"/>
      <c r="H142" s="105"/>
      <c r="I142" s="105"/>
      <c r="J142" s="102"/>
      <c r="K142" s="102"/>
      <c r="L142" s="102"/>
      <c r="M142" s="102"/>
      <c r="N142" s="102"/>
      <c r="O142" s="99"/>
      <c r="P142" s="99"/>
      <c r="Q142" s="15" t="e">
        <v>#N/A</v>
      </c>
      <c r="R142" s="15" t="e">
        <v>#N/A</v>
      </c>
      <c r="S142" s="15"/>
      <c r="T142" s="103"/>
      <c r="U142" s="15"/>
      <c r="V142" s="15"/>
      <c r="W142" s="15"/>
      <c r="X142" s="99"/>
      <c r="Y142" s="71">
        <f ca="1">Table25[[#This Row],[End Date]]+2-TODAY()</f>
        <v>-45530</v>
      </c>
      <c r="Z142" s="15">
        <f>IF(ISBLANK(Table25[[#This Row],[Roster Received By]]),1,0)</f>
        <v>1</v>
      </c>
      <c r="AA142" s="15">
        <f ca="1">IF(Table25[[#This Row],[Start Date]]&gt;TODAY(),1,)</f>
        <v>0</v>
      </c>
    </row>
    <row r="143" spans="1:27" s="106" customFormat="1" ht="14.25" hidden="1" customHeight="1" x14ac:dyDescent="0.25">
      <c r="A143" s="62"/>
      <c r="B143" s="99"/>
      <c r="C143" s="100" t="e">
        <v>#N/A</v>
      </c>
      <c r="D143" s="100" t="e">
        <v>#N/A</v>
      </c>
      <c r="E143" s="99"/>
      <c r="F143" s="102"/>
      <c r="G143" s="102"/>
      <c r="H143" s="102"/>
      <c r="I143" s="101"/>
      <c r="J143" s="101"/>
      <c r="K143" s="101"/>
      <c r="L143" s="101"/>
      <c r="M143" s="101"/>
      <c r="N143" s="101"/>
      <c r="O143" s="99"/>
      <c r="P143" s="99"/>
      <c r="Q143" s="15" t="e">
        <v>#N/A</v>
      </c>
      <c r="R143" s="15" t="e">
        <v>#N/A</v>
      </c>
      <c r="S143" s="15"/>
      <c r="T143" s="103"/>
      <c r="U143" s="15"/>
      <c r="V143" s="15"/>
      <c r="W143" s="15"/>
      <c r="X143" s="99"/>
      <c r="Y143" s="71">
        <f ca="1">Table25[[#This Row],[End Date]]+2-TODAY()</f>
        <v>-45530</v>
      </c>
      <c r="Z143" s="15">
        <f>IF(ISBLANK(Table25[[#This Row],[Roster Received By]]),1,0)</f>
        <v>1</v>
      </c>
      <c r="AA143" s="15">
        <f ca="1">IF(Table25[[#This Row],[Start Date]]&gt;TODAY(),1,)</f>
        <v>0</v>
      </c>
    </row>
    <row r="144" spans="1:27" s="106" customFormat="1" ht="14.25" hidden="1" customHeight="1" x14ac:dyDescent="0.25">
      <c r="A144" s="62"/>
      <c r="B144" s="99"/>
      <c r="C144" s="100" t="e">
        <v>#N/A</v>
      </c>
      <c r="D144" s="100" t="e">
        <v>#N/A</v>
      </c>
      <c r="E144" s="99"/>
      <c r="F144" s="102"/>
      <c r="G144" s="102"/>
      <c r="H144" s="102"/>
      <c r="I144" s="101"/>
      <c r="J144" s="101"/>
      <c r="K144" s="101"/>
      <c r="L144" s="101"/>
      <c r="M144" s="101"/>
      <c r="N144" s="101"/>
      <c r="O144" s="99"/>
      <c r="P144" s="99"/>
      <c r="Q144" s="15" t="e">
        <v>#N/A</v>
      </c>
      <c r="R144" s="15" t="e">
        <v>#N/A</v>
      </c>
      <c r="S144" s="15"/>
      <c r="T144" s="103"/>
      <c r="U144" s="15"/>
      <c r="V144" s="15"/>
      <c r="W144" s="15"/>
      <c r="X144" s="99"/>
      <c r="Y144" s="71">
        <f ca="1">Table25[[#This Row],[End Date]]+2-TODAY()</f>
        <v>-45530</v>
      </c>
      <c r="Z144" s="15">
        <f>IF(ISBLANK(Table25[[#This Row],[Roster Received By]]),1,0)</f>
        <v>1</v>
      </c>
      <c r="AA144" s="15">
        <f ca="1">IF(Table25[[#This Row],[Start Date]]&gt;TODAY(),1,)</f>
        <v>0</v>
      </c>
    </row>
    <row r="145" spans="1:27" s="106" customFormat="1" ht="14.25" hidden="1" customHeight="1" x14ac:dyDescent="0.25">
      <c r="A145" s="62"/>
      <c r="B145" s="99"/>
      <c r="C145" s="100" t="e">
        <v>#N/A</v>
      </c>
      <c r="D145" s="100" t="e">
        <v>#N/A</v>
      </c>
      <c r="E145" s="99"/>
      <c r="F145" s="102"/>
      <c r="G145" s="102"/>
      <c r="H145" s="105"/>
      <c r="I145" s="105"/>
      <c r="J145" s="102"/>
      <c r="K145" s="102"/>
      <c r="L145" s="102"/>
      <c r="M145" s="102"/>
      <c r="N145" s="102"/>
      <c r="O145" s="99"/>
      <c r="P145" s="99"/>
      <c r="Q145" s="15" t="e">
        <v>#N/A</v>
      </c>
      <c r="R145" s="15" t="e">
        <v>#N/A</v>
      </c>
      <c r="S145" s="15"/>
      <c r="T145" s="103"/>
      <c r="U145" s="15"/>
      <c r="V145" s="15"/>
      <c r="W145" s="15"/>
      <c r="X145" s="99"/>
      <c r="Y145" s="71">
        <f ca="1">Table25[[#This Row],[End Date]]+2-TODAY()</f>
        <v>-45530</v>
      </c>
      <c r="Z145" s="15">
        <f>IF(ISBLANK(Table25[[#This Row],[Roster Received By]]),1,0)</f>
        <v>1</v>
      </c>
      <c r="AA145" s="15">
        <f ca="1">IF(Table25[[#This Row],[Start Date]]&gt;TODAY(),1,)</f>
        <v>0</v>
      </c>
    </row>
    <row r="146" spans="1:27" s="106" customFormat="1" ht="14.25" hidden="1" customHeight="1" x14ac:dyDescent="0.25">
      <c r="A146" s="62"/>
      <c r="B146" s="99"/>
      <c r="C146" s="100" t="e">
        <v>#N/A</v>
      </c>
      <c r="D146" s="100" t="e">
        <v>#N/A</v>
      </c>
      <c r="E146" s="99"/>
      <c r="F146" s="102"/>
      <c r="G146" s="102"/>
      <c r="H146" s="102"/>
      <c r="I146" s="101"/>
      <c r="J146" s="101"/>
      <c r="K146" s="101"/>
      <c r="L146" s="101"/>
      <c r="M146" s="101"/>
      <c r="N146" s="101"/>
      <c r="O146" s="99"/>
      <c r="P146" s="99"/>
      <c r="Q146" s="15" t="e">
        <v>#N/A</v>
      </c>
      <c r="R146" s="15" t="e">
        <v>#N/A</v>
      </c>
      <c r="S146" s="15"/>
      <c r="T146" s="103"/>
      <c r="U146" s="15"/>
      <c r="V146" s="15"/>
      <c r="W146" s="15"/>
      <c r="X146" s="99"/>
      <c r="Y146" s="71">
        <f ca="1">Table25[[#This Row],[End Date]]+2-TODAY()</f>
        <v>-45530</v>
      </c>
      <c r="Z146" s="15">
        <f>IF(ISBLANK(Table25[[#This Row],[Roster Received By]]),1,0)</f>
        <v>1</v>
      </c>
      <c r="AA146" s="15">
        <f ca="1">IF(Table25[[#This Row],[Start Date]]&gt;TODAY(),1,)</f>
        <v>0</v>
      </c>
    </row>
    <row r="147" spans="1:27" s="106" customFormat="1" ht="14.25" hidden="1" customHeight="1" x14ac:dyDescent="0.25">
      <c r="A147" s="62"/>
      <c r="B147" s="99"/>
      <c r="C147" s="100" t="e">
        <v>#N/A</v>
      </c>
      <c r="D147" s="100" t="e">
        <v>#N/A</v>
      </c>
      <c r="E147" s="99"/>
      <c r="F147" s="102"/>
      <c r="G147" s="102"/>
      <c r="H147" s="102"/>
      <c r="I147" s="101"/>
      <c r="J147" s="101"/>
      <c r="K147" s="101"/>
      <c r="L147" s="101"/>
      <c r="M147" s="101"/>
      <c r="N147" s="101"/>
      <c r="O147" s="99"/>
      <c r="P147" s="99"/>
      <c r="Q147" s="15" t="e">
        <v>#N/A</v>
      </c>
      <c r="R147" s="15" t="e">
        <v>#N/A</v>
      </c>
      <c r="S147" s="15"/>
      <c r="T147" s="103"/>
      <c r="U147" s="15"/>
      <c r="V147" s="15"/>
      <c r="W147" s="15"/>
      <c r="X147" s="99"/>
      <c r="Y147" s="71">
        <f ca="1">Table25[[#This Row],[End Date]]+2-TODAY()</f>
        <v>-45530</v>
      </c>
      <c r="Z147" s="15">
        <f>IF(ISBLANK(Table25[[#This Row],[Roster Received By]]),1,0)</f>
        <v>1</v>
      </c>
      <c r="AA147" s="15">
        <f ca="1">IF(Table25[[#This Row],[Start Date]]&gt;TODAY(),1,)</f>
        <v>0</v>
      </c>
    </row>
    <row r="148" spans="1:27" s="106" customFormat="1" ht="16.5" hidden="1" customHeight="1" x14ac:dyDescent="0.25">
      <c r="A148" s="62"/>
      <c r="B148" s="99"/>
      <c r="C148" s="100" t="e">
        <v>#N/A</v>
      </c>
      <c r="D148" s="100" t="e">
        <v>#N/A</v>
      </c>
      <c r="E148" s="99"/>
      <c r="F148" s="67"/>
      <c r="G148" s="67"/>
      <c r="H148" s="67"/>
      <c r="I148" s="101"/>
      <c r="J148" s="101"/>
      <c r="K148" s="101"/>
      <c r="L148" s="101"/>
      <c r="M148" s="101"/>
      <c r="N148" s="101"/>
      <c r="O148" s="99"/>
      <c r="P148" s="99"/>
      <c r="Q148" s="15" t="e">
        <v>#N/A</v>
      </c>
      <c r="R148" s="15" t="e">
        <v>#N/A</v>
      </c>
      <c r="S148" s="15"/>
      <c r="T148" s="103"/>
      <c r="U148" s="15"/>
      <c r="V148" s="15"/>
      <c r="W148" s="15"/>
      <c r="X148" s="99"/>
      <c r="Y148" s="71">
        <f ca="1">Table25[[#This Row],[End Date]]+2-TODAY()</f>
        <v>-45530</v>
      </c>
      <c r="Z148" s="15">
        <f>IF(ISBLANK(Table25[[#This Row],[Roster Received By]]),1,0)</f>
        <v>1</v>
      </c>
      <c r="AA148" s="15">
        <f ca="1">IF(Table25[[#This Row],[Start Date]]&gt;TODAY(),1,)</f>
        <v>0</v>
      </c>
    </row>
    <row r="149" spans="1:27" s="106" customFormat="1" ht="14.25" hidden="1" customHeight="1" x14ac:dyDescent="0.25">
      <c r="A149" s="99"/>
      <c r="B149" s="99"/>
      <c r="C149" s="100" t="e">
        <v>#N/A</v>
      </c>
      <c r="D149" s="100" t="e">
        <v>#N/A</v>
      </c>
      <c r="E149" s="99"/>
      <c r="F149" s="102"/>
      <c r="G149" s="102"/>
      <c r="H149" s="102"/>
      <c r="I149" s="101"/>
      <c r="J149" s="101"/>
      <c r="K149" s="101"/>
      <c r="L149" s="101"/>
      <c r="M149" s="101"/>
      <c r="N149" s="101"/>
      <c r="O149" s="99"/>
      <c r="P149" s="99"/>
      <c r="Q149" s="15" t="e">
        <v>#N/A</v>
      </c>
      <c r="R149" s="15" t="e">
        <v>#N/A</v>
      </c>
      <c r="S149" s="15"/>
      <c r="T149" s="103"/>
      <c r="U149" s="15"/>
      <c r="V149" s="15"/>
      <c r="W149" s="15"/>
      <c r="X149" s="99"/>
      <c r="Y149" s="71">
        <f ca="1">Table25[[#This Row],[End Date]]+2-TODAY()</f>
        <v>-45530</v>
      </c>
      <c r="Z149" s="15">
        <f>IF(ISBLANK(Table25[[#This Row],[Roster Received By]]),1,0)</f>
        <v>1</v>
      </c>
      <c r="AA149" s="15">
        <f ca="1">IF(Table25[[#This Row],[Start Date]]&gt;TODAY(),1,)</f>
        <v>0</v>
      </c>
    </row>
    <row r="150" spans="1:27" s="106" customFormat="1" ht="14.25" hidden="1" customHeight="1" x14ac:dyDescent="0.25">
      <c r="A150" s="62"/>
      <c r="B150" s="99"/>
      <c r="C150" s="100" t="e">
        <v>#N/A</v>
      </c>
      <c r="D150" s="100" t="e">
        <v>#N/A</v>
      </c>
      <c r="E150" s="99"/>
      <c r="F150" s="67"/>
      <c r="G150" s="67"/>
      <c r="H150" s="105"/>
      <c r="I150" s="105"/>
      <c r="J150" s="102"/>
      <c r="K150" s="102"/>
      <c r="L150" s="102"/>
      <c r="M150" s="102"/>
      <c r="N150" s="102"/>
      <c r="O150" s="99"/>
      <c r="P150" s="99"/>
      <c r="Q150" s="15" t="e">
        <v>#N/A</v>
      </c>
      <c r="R150" s="15" t="e">
        <v>#N/A</v>
      </c>
      <c r="S150" s="15"/>
      <c r="T150" s="103"/>
      <c r="U150" s="15"/>
      <c r="V150" s="15"/>
      <c r="W150" s="100"/>
      <c r="X150" s="99"/>
      <c r="Y150" s="109">
        <f ca="1">Table25[[#This Row],[End Date]]+2-TODAY()</f>
        <v>-45530</v>
      </c>
      <c r="Z150" s="15">
        <f>IF(ISBLANK(Table25[[#This Row],[Roster Received By]]),1,0)</f>
        <v>1</v>
      </c>
      <c r="AA150" s="100">
        <f ca="1">IF(Table25[[#This Row],[Start Date]]&gt;TODAY(),1,)</f>
        <v>0</v>
      </c>
    </row>
    <row r="151" spans="1:27" s="106" customFormat="1" ht="14.25" hidden="1" customHeight="1" x14ac:dyDescent="0.25">
      <c r="A151" s="62"/>
      <c r="B151" s="99"/>
      <c r="C151" s="100" t="e">
        <v>#N/A</v>
      </c>
      <c r="D151" s="100" t="e">
        <v>#N/A</v>
      </c>
      <c r="E151" s="99"/>
      <c r="F151" s="102"/>
      <c r="G151" s="102"/>
      <c r="H151" s="102"/>
      <c r="I151" s="101"/>
      <c r="J151" s="101"/>
      <c r="K151" s="101"/>
      <c r="L151" s="101"/>
      <c r="M151" s="101"/>
      <c r="N151" s="101"/>
      <c r="O151" s="99"/>
      <c r="P151" s="99"/>
      <c r="Q151" s="15" t="e">
        <v>#N/A</v>
      </c>
      <c r="R151" s="15" t="e">
        <v>#N/A</v>
      </c>
      <c r="S151" s="15"/>
      <c r="T151" s="103"/>
      <c r="U151" s="15"/>
      <c r="V151" s="15"/>
      <c r="W151" s="15"/>
      <c r="X151" s="99"/>
      <c r="Y151" s="71">
        <f ca="1">Table25[[#This Row],[End Date]]+2-TODAY()</f>
        <v>-45530</v>
      </c>
      <c r="Z151" s="15">
        <f>IF(ISBLANK(Table25[[#This Row],[Roster Received By]]),1,0)</f>
        <v>1</v>
      </c>
      <c r="AA151" s="15">
        <f ca="1">IF(Table25[[#This Row],[Start Date]]&gt;TODAY(),1,)</f>
        <v>0</v>
      </c>
    </row>
    <row r="152" spans="1:27" s="106" customFormat="1" ht="14.25" hidden="1" customHeight="1" x14ac:dyDescent="0.25">
      <c r="A152" s="99"/>
      <c r="B152" s="99"/>
      <c r="C152" s="100" t="e">
        <v>#N/A</v>
      </c>
      <c r="D152" s="100" t="e">
        <v>#N/A</v>
      </c>
      <c r="E152" s="65"/>
      <c r="F152" s="102"/>
      <c r="G152" s="102"/>
      <c r="H152" s="105"/>
      <c r="I152" s="105"/>
      <c r="J152" s="102"/>
      <c r="K152" s="102"/>
      <c r="L152" s="102"/>
      <c r="M152" s="102"/>
      <c r="N152" s="102"/>
      <c r="O152" s="99"/>
      <c r="P152" s="99"/>
      <c r="Q152" s="15" t="e">
        <v>#N/A</v>
      </c>
      <c r="R152" s="15" t="e">
        <v>#N/A</v>
      </c>
      <c r="S152" s="15"/>
      <c r="T152" s="103"/>
      <c r="U152" s="15"/>
      <c r="V152" s="15"/>
      <c r="W152" s="15"/>
      <c r="X152" s="99"/>
      <c r="Y152" s="71">
        <f ca="1">Table25[[#This Row],[End Date]]+2-TODAY()</f>
        <v>-45530</v>
      </c>
      <c r="Z152" s="15">
        <f>IF(ISBLANK(Table25[[#This Row],[Roster Received By]]),1,0)</f>
        <v>1</v>
      </c>
      <c r="AA152" s="15">
        <f ca="1">IF(Table25[[#This Row],[Start Date]]&gt;TODAY(),1,)</f>
        <v>0</v>
      </c>
    </row>
    <row r="153" spans="1:27" s="135" customFormat="1" hidden="1" x14ac:dyDescent="0.25">
      <c r="A153" s="62"/>
      <c r="B153" s="99"/>
      <c r="C153" s="100" t="e">
        <v>#N/A</v>
      </c>
      <c r="D153" s="100" t="e">
        <v>#N/A</v>
      </c>
      <c r="E153" s="99"/>
      <c r="F153" s="102"/>
      <c r="G153" s="102"/>
      <c r="H153" s="105"/>
      <c r="I153" s="105"/>
      <c r="J153" s="102"/>
      <c r="K153" s="102"/>
      <c r="L153" s="102"/>
      <c r="M153" s="102"/>
      <c r="N153" s="102"/>
      <c r="O153" s="99"/>
      <c r="P153" s="99"/>
      <c r="Q153" s="15" t="e">
        <v>#N/A</v>
      </c>
      <c r="R153" s="15" t="e">
        <v>#N/A</v>
      </c>
      <c r="S153" s="15"/>
      <c r="T153" s="103"/>
      <c r="U153" s="15"/>
      <c r="V153" s="15"/>
      <c r="W153" s="15"/>
      <c r="X153" s="99"/>
      <c r="Y153" s="71">
        <f ca="1">Table25[[#This Row],[End Date]]+2-TODAY()</f>
        <v>-45530</v>
      </c>
      <c r="Z153" s="15">
        <f>IF(ISBLANK(Table25[[#This Row],[Roster Received By]]),1,0)</f>
        <v>1</v>
      </c>
      <c r="AA153" s="15">
        <f ca="1">IF(Table25[[#This Row],[Start Date]]&gt;TODAY(),1,)</f>
        <v>0</v>
      </c>
    </row>
    <row r="154" spans="1:27" s="106" customFormat="1" ht="14.25" hidden="1" customHeight="1" x14ac:dyDescent="0.25">
      <c r="A154" s="62"/>
      <c r="B154" s="99"/>
      <c r="C154" s="100" t="e">
        <v>#N/A</v>
      </c>
      <c r="D154" s="100" t="e">
        <v>#N/A</v>
      </c>
      <c r="E154" s="99"/>
      <c r="F154" s="102"/>
      <c r="G154" s="102"/>
      <c r="H154" s="105"/>
      <c r="I154" s="105"/>
      <c r="J154" s="102"/>
      <c r="K154" s="102"/>
      <c r="L154" s="102"/>
      <c r="M154" s="102"/>
      <c r="N154" s="102"/>
      <c r="O154" s="99"/>
      <c r="P154" s="99"/>
      <c r="Q154" s="15" t="e">
        <v>#N/A</v>
      </c>
      <c r="R154" s="15" t="e">
        <v>#N/A</v>
      </c>
      <c r="S154" s="15"/>
      <c r="T154" s="103"/>
      <c r="U154" s="15"/>
      <c r="V154" s="15"/>
      <c r="W154" s="15"/>
      <c r="X154" s="99"/>
      <c r="Y154" s="71">
        <f ca="1">Table25[[#This Row],[End Date]]+2-TODAY()</f>
        <v>-45530</v>
      </c>
      <c r="Z154" s="15">
        <f>IF(ISBLANK(Table25[[#This Row],[Roster Received By]]),1,0)</f>
        <v>1</v>
      </c>
      <c r="AA154" s="15">
        <f ca="1">IF(Table25[[#This Row],[Start Date]]&gt;TODAY(),1,)</f>
        <v>0</v>
      </c>
    </row>
    <row r="155" spans="1:27" s="62" customFormat="1" hidden="1" x14ac:dyDescent="0.25">
      <c r="B155" s="99"/>
      <c r="C155" s="100" t="e">
        <v>#N/A</v>
      </c>
      <c r="D155" s="100" t="e">
        <v>#N/A</v>
      </c>
      <c r="E155" s="99"/>
      <c r="F155" s="102"/>
      <c r="G155" s="102"/>
      <c r="H155" s="105"/>
      <c r="I155" s="105"/>
      <c r="J155" s="102"/>
      <c r="K155" s="102"/>
      <c r="L155" s="102"/>
      <c r="M155" s="102"/>
      <c r="N155" s="102"/>
      <c r="O155" s="99"/>
      <c r="P155" s="99"/>
      <c r="Q155" s="15" t="e">
        <v>#N/A</v>
      </c>
      <c r="R155" s="15" t="e">
        <v>#N/A</v>
      </c>
      <c r="S155" s="15"/>
      <c r="T155" s="103"/>
      <c r="U155" s="15"/>
      <c r="V155" s="15"/>
      <c r="W155" s="15"/>
      <c r="X155" s="99"/>
      <c r="Y155" s="71">
        <f ca="1">Table25[[#This Row],[End Date]]+2-TODAY()</f>
        <v>-45530</v>
      </c>
      <c r="Z155" s="15">
        <f>IF(ISBLANK(Table25[[#This Row],[Roster Received By]]),1,0)</f>
        <v>1</v>
      </c>
      <c r="AA155" s="15">
        <f ca="1">IF(Table25[[#This Row],[Start Date]]&gt;TODAY(),1,)</f>
        <v>0</v>
      </c>
    </row>
    <row r="156" spans="1:27" s="62" customFormat="1" hidden="1" x14ac:dyDescent="0.25">
      <c r="A156" s="99"/>
      <c r="B156" s="99"/>
      <c r="C156" s="100" t="e">
        <v>#N/A</v>
      </c>
      <c r="D156" s="100" t="e">
        <v>#N/A</v>
      </c>
      <c r="E156" s="99"/>
      <c r="F156" s="102"/>
      <c r="G156" s="102"/>
      <c r="H156" s="105"/>
      <c r="I156" s="105"/>
      <c r="J156" s="102"/>
      <c r="K156" s="102"/>
      <c r="L156" s="102"/>
      <c r="M156" s="102"/>
      <c r="N156" s="102"/>
      <c r="O156" s="99"/>
      <c r="P156" s="99"/>
      <c r="Q156" s="15" t="e">
        <v>#N/A</v>
      </c>
      <c r="R156" s="15" t="e">
        <v>#N/A</v>
      </c>
      <c r="S156" s="15"/>
      <c r="T156" s="103"/>
      <c r="U156" s="15"/>
      <c r="V156" s="15"/>
      <c r="W156" s="15"/>
      <c r="X156" s="99"/>
      <c r="Y156" s="71">
        <f ca="1">Table25[[#This Row],[End Date]]+2-TODAY()</f>
        <v>-45530</v>
      </c>
      <c r="Z156" s="15">
        <f>IF(ISBLANK(Table25[[#This Row],[Roster Received By]]),1,0)</f>
        <v>1</v>
      </c>
      <c r="AA156" s="15">
        <f ca="1">IF(Table25[[#This Row],[Start Date]]&gt;TODAY(),1,)</f>
        <v>0</v>
      </c>
    </row>
    <row r="157" spans="1:27" s="62" customFormat="1" hidden="1" x14ac:dyDescent="0.25">
      <c r="B157" s="99"/>
      <c r="C157" s="100" t="e">
        <v>#N/A</v>
      </c>
      <c r="D157" s="100" t="e">
        <v>#N/A</v>
      </c>
      <c r="E157" s="99"/>
      <c r="F157" s="102"/>
      <c r="G157" s="102"/>
      <c r="H157" s="102"/>
      <c r="I157" s="101"/>
      <c r="J157" s="101"/>
      <c r="K157" s="101"/>
      <c r="L157" s="101"/>
      <c r="M157" s="101"/>
      <c r="N157" s="101"/>
      <c r="O157" s="99"/>
      <c r="P157" s="99"/>
      <c r="Q157" s="15" t="e">
        <v>#N/A</v>
      </c>
      <c r="R157" s="15" t="e">
        <v>#N/A</v>
      </c>
      <c r="S157" s="15"/>
      <c r="T157" s="103"/>
      <c r="U157" s="15"/>
      <c r="V157" s="15"/>
      <c r="W157" s="15"/>
      <c r="X157" s="99"/>
      <c r="Y157" s="71">
        <f ca="1">Table25[[#This Row],[End Date]]+2-TODAY()</f>
        <v>-45530</v>
      </c>
      <c r="Z157" s="15">
        <f>IF(ISBLANK(Table25[[#This Row],[Roster Received By]]),1,0)</f>
        <v>1</v>
      </c>
      <c r="AA157" s="15">
        <f ca="1">IF(Table25[[#This Row],[Start Date]]&gt;TODAY(),1,)</f>
        <v>0</v>
      </c>
    </row>
    <row r="158" spans="1:27" s="62" customFormat="1" hidden="1" x14ac:dyDescent="0.25">
      <c r="B158" s="99"/>
      <c r="C158" s="100" t="e">
        <v>#N/A</v>
      </c>
      <c r="D158" s="100" t="e">
        <v>#N/A</v>
      </c>
      <c r="E158" s="99"/>
      <c r="F158" s="102"/>
      <c r="G158" s="102"/>
      <c r="H158" s="102"/>
      <c r="I158" s="101"/>
      <c r="J158" s="101"/>
      <c r="K158" s="101"/>
      <c r="L158" s="101"/>
      <c r="M158" s="101"/>
      <c r="N158" s="101"/>
      <c r="O158" s="99"/>
      <c r="P158" s="99"/>
      <c r="Q158" s="15" t="e">
        <v>#N/A</v>
      </c>
      <c r="R158" s="15" t="e">
        <v>#N/A</v>
      </c>
      <c r="S158" s="15"/>
      <c r="T158" s="103"/>
      <c r="U158" s="15"/>
      <c r="V158" s="15"/>
      <c r="W158" s="15"/>
      <c r="X158" s="99"/>
      <c r="Y158" s="71">
        <f ca="1">Table25[[#This Row],[End Date]]+2-TODAY()</f>
        <v>-45530</v>
      </c>
      <c r="Z158" s="15">
        <f>IF(ISBLANK(Table25[[#This Row],[Roster Received By]]),1,0)</f>
        <v>1</v>
      </c>
      <c r="AA158" s="15">
        <f ca="1">IF(Table25[[#This Row],[Start Date]]&gt;TODAY(),1,)</f>
        <v>0</v>
      </c>
    </row>
    <row r="159" spans="1:27" s="62" customFormat="1" hidden="1" x14ac:dyDescent="0.25">
      <c r="A159" s="65"/>
      <c r="B159" s="99"/>
      <c r="C159" s="100" t="e">
        <v>#N/A</v>
      </c>
      <c r="D159" s="100" t="e">
        <v>#N/A</v>
      </c>
      <c r="E159" s="99"/>
      <c r="F159" s="102"/>
      <c r="G159" s="102"/>
      <c r="H159" s="105"/>
      <c r="I159" s="105"/>
      <c r="J159" s="102"/>
      <c r="K159" s="102"/>
      <c r="L159" s="102"/>
      <c r="M159" s="102"/>
      <c r="N159" s="102"/>
      <c r="O159" s="99"/>
      <c r="P159" s="99"/>
      <c r="Q159" s="15" t="e">
        <v>#N/A</v>
      </c>
      <c r="R159" s="15" t="e">
        <v>#N/A</v>
      </c>
      <c r="S159" s="103"/>
      <c r="T159" s="103"/>
      <c r="U159" s="15"/>
      <c r="V159" s="15"/>
      <c r="W159" s="100"/>
      <c r="X159" s="99"/>
      <c r="Y159" s="109">
        <f ca="1">Table25[[#This Row],[End Date]]+2-TODAY()</f>
        <v>-45530</v>
      </c>
      <c r="Z159" s="15">
        <f>IF(ISBLANK(Table25[[#This Row],[Roster Received By]]),1,0)</f>
        <v>1</v>
      </c>
      <c r="AA159" s="100">
        <f ca="1">IF(Table25[[#This Row],[Start Date]]&gt;TODAY(),1,)</f>
        <v>0</v>
      </c>
    </row>
    <row r="160" spans="1:27" s="62" customFormat="1" hidden="1" x14ac:dyDescent="0.25">
      <c r="A160" s="100"/>
      <c r="B160" s="99"/>
      <c r="C160" s="100" t="e">
        <v>#N/A</v>
      </c>
      <c r="D160" s="100" t="e">
        <v>#N/A</v>
      </c>
      <c r="E160" s="99"/>
      <c r="F160" s="102"/>
      <c r="G160" s="102"/>
      <c r="H160" s="108"/>
      <c r="I160" s="108"/>
      <c r="J160" s="102"/>
      <c r="K160" s="102"/>
      <c r="L160" s="102"/>
      <c r="M160" s="102"/>
      <c r="N160" s="102"/>
      <c r="O160" s="99"/>
      <c r="P160" s="99"/>
      <c r="Q160" s="15" t="e">
        <v>#N/A</v>
      </c>
      <c r="R160" s="15" t="e">
        <v>#N/A</v>
      </c>
      <c r="S160" s="107"/>
      <c r="T160" s="103"/>
      <c r="U160" s="15"/>
      <c r="V160" s="15"/>
      <c r="W160" s="15"/>
      <c r="X160" s="99"/>
      <c r="Y160" s="71">
        <f ca="1">Table25[[#This Row],[End Date]]+2-TODAY()</f>
        <v>-45530</v>
      </c>
      <c r="Z160" s="15">
        <f>IF(ISBLANK(Table25[[#This Row],[Roster Received By]]),1,0)</f>
        <v>1</v>
      </c>
      <c r="AA160" s="15">
        <f ca="1">IF(Table25[[#This Row],[Start Date]]&gt;TODAY(),1,)</f>
        <v>0</v>
      </c>
    </row>
    <row r="161" spans="1:27" s="62" customFormat="1" ht="15" hidden="1" customHeight="1" x14ac:dyDescent="0.25">
      <c r="B161" s="99"/>
      <c r="C161" s="100" t="e">
        <v>#N/A</v>
      </c>
      <c r="D161" s="100" t="e">
        <v>#N/A</v>
      </c>
      <c r="E161" s="99"/>
      <c r="F161" s="102"/>
      <c r="G161" s="102"/>
      <c r="H161" s="108"/>
      <c r="I161" s="108"/>
      <c r="J161" s="102"/>
      <c r="K161" s="102"/>
      <c r="L161" s="102"/>
      <c r="M161" s="102"/>
      <c r="N161" s="102"/>
      <c r="O161" s="99"/>
      <c r="P161" s="99"/>
      <c r="Q161" s="15" t="e">
        <v>#N/A</v>
      </c>
      <c r="R161" s="15" t="e">
        <v>#N/A</v>
      </c>
      <c r="S161" s="15"/>
      <c r="T161" s="103"/>
      <c r="U161" s="15"/>
      <c r="V161" s="15"/>
      <c r="W161" s="15"/>
      <c r="X161" s="99"/>
      <c r="Y161" s="71">
        <f ca="1">Table25[[#This Row],[End Date]]+2-TODAY()</f>
        <v>-45530</v>
      </c>
      <c r="Z161" s="15">
        <f>IF(ISBLANK(Table25[[#This Row],[Roster Received By]]),1,0)</f>
        <v>1</v>
      </c>
      <c r="AA161" s="15">
        <f ca="1">IF(Table25[[#This Row],[Start Date]]&gt;TODAY(),1,)</f>
        <v>0</v>
      </c>
    </row>
    <row r="162" spans="1:27" s="62" customFormat="1" hidden="1" x14ac:dyDescent="0.25">
      <c r="B162" s="99"/>
      <c r="C162" s="100" t="e">
        <v>#N/A</v>
      </c>
      <c r="D162" s="100" t="e">
        <v>#N/A</v>
      </c>
      <c r="E162" s="99"/>
      <c r="F162" s="102"/>
      <c r="G162" s="102"/>
      <c r="H162" s="105"/>
      <c r="I162" s="105"/>
      <c r="J162" s="102"/>
      <c r="K162" s="102"/>
      <c r="L162" s="102"/>
      <c r="M162" s="102"/>
      <c r="N162" s="102"/>
      <c r="O162" s="99"/>
      <c r="P162" s="99"/>
      <c r="Q162" s="15" t="e">
        <v>#N/A</v>
      </c>
      <c r="R162" s="15" t="e">
        <v>#N/A</v>
      </c>
      <c r="S162" s="15"/>
      <c r="T162" s="103"/>
      <c r="U162" s="15"/>
      <c r="V162" s="15"/>
      <c r="W162" s="15"/>
      <c r="X162" s="99"/>
      <c r="Y162" s="71">
        <f ca="1">Table25[[#This Row],[End Date]]+2-TODAY()</f>
        <v>-45530</v>
      </c>
      <c r="Z162" s="15">
        <f>IF(ISBLANK(Table25[[#This Row],[Roster Received By]]),1,0)</f>
        <v>1</v>
      </c>
      <c r="AA162" s="15">
        <f ca="1">IF(Table25[[#This Row],[Start Date]]&gt;TODAY(),1,)</f>
        <v>0</v>
      </c>
    </row>
    <row r="163" spans="1:27" s="62" customFormat="1" hidden="1" x14ac:dyDescent="0.25">
      <c r="B163" s="99"/>
      <c r="C163" s="100" t="e">
        <v>#N/A</v>
      </c>
      <c r="D163" s="100" t="e">
        <v>#N/A</v>
      </c>
      <c r="E163" s="99"/>
      <c r="F163" s="102"/>
      <c r="G163" s="102"/>
      <c r="H163" s="105"/>
      <c r="I163" s="105"/>
      <c r="J163" s="102"/>
      <c r="K163" s="102"/>
      <c r="L163" s="102"/>
      <c r="M163" s="102"/>
      <c r="N163" s="102"/>
      <c r="O163" s="99"/>
      <c r="P163" s="99"/>
      <c r="Q163" s="15" t="e">
        <v>#N/A</v>
      </c>
      <c r="R163" s="15" t="e">
        <v>#N/A</v>
      </c>
      <c r="S163" s="103"/>
      <c r="T163" s="103"/>
      <c r="U163" s="15"/>
      <c r="V163" s="15"/>
      <c r="W163" s="15"/>
      <c r="X163" s="99"/>
      <c r="Y163" s="71">
        <f ca="1">Table25[[#This Row],[End Date]]+2-TODAY()</f>
        <v>-45530</v>
      </c>
      <c r="Z163" s="15">
        <f>IF(ISBLANK(Table25[[#This Row],[Roster Received By]]),1,0)</f>
        <v>1</v>
      </c>
      <c r="AA163" s="15">
        <f ca="1">IF(Table25[[#This Row],[Start Date]]&gt;TODAY(),1,)</f>
        <v>0</v>
      </c>
    </row>
    <row r="164" spans="1:27" s="62" customFormat="1" hidden="1" x14ac:dyDescent="0.25">
      <c r="B164" s="99"/>
      <c r="C164" s="100" t="e">
        <v>#N/A</v>
      </c>
      <c r="D164" s="100" t="e">
        <v>#N/A</v>
      </c>
      <c r="E164" s="99"/>
      <c r="F164" s="102"/>
      <c r="G164" s="102"/>
      <c r="H164" s="105"/>
      <c r="I164" s="105"/>
      <c r="J164" s="102"/>
      <c r="K164" s="102"/>
      <c r="L164" s="102"/>
      <c r="M164" s="102"/>
      <c r="N164" s="102"/>
      <c r="O164" s="99"/>
      <c r="P164" s="99"/>
      <c r="Q164" s="15" t="e">
        <v>#N/A</v>
      </c>
      <c r="R164" s="15" t="e">
        <v>#N/A</v>
      </c>
      <c r="S164" s="15"/>
      <c r="T164" s="103"/>
      <c r="U164" s="15"/>
      <c r="V164" s="15"/>
      <c r="W164" s="15"/>
      <c r="X164" s="99"/>
      <c r="Y164" s="71">
        <f ca="1">Table25[[#This Row],[End Date]]+2-TODAY()</f>
        <v>-45530</v>
      </c>
      <c r="Z164" s="15">
        <f>IF(ISBLANK(Table25[[#This Row],[Roster Received By]]),1,0)</f>
        <v>1</v>
      </c>
      <c r="AA164" s="15">
        <f ca="1">IF(Table25[[#This Row],[Start Date]]&gt;TODAY(),1,)</f>
        <v>0</v>
      </c>
    </row>
    <row r="165" spans="1:27" s="62" customFormat="1" hidden="1" x14ac:dyDescent="0.25">
      <c r="B165" s="99"/>
      <c r="C165" s="100" t="e">
        <v>#N/A</v>
      </c>
      <c r="D165" s="100" t="e">
        <v>#N/A</v>
      </c>
      <c r="E165" s="141"/>
      <c r="F165" s="102"/>
      <c r="G165" s="102"/>
      <c r="H165" s="105"/>
      <c r="I165" s="101"/>
      <c r="J165" s="101"/>
      <c r="K165" s="101"/>
      <c r="L165" s="101"/>
      <c r="M165" s="101"/>
      <c r="N165" s="101"/>
      <c r="O165" s="99"/>
      <c r="P165" s="99"/>
      <c r="Q165" s="15" t="e">
        <v>#N/A</v>
      </c>
      <c r="R165" s="15" t="e">
        <v>#N/A</v>
      </c>
      <c r="S165" s="15"/>
      <c r="T165" s="103"/>
      <c r="U165" s="15"/>
      <c r="V165" s="15"/>
      <c r="W165" s="15"/>
      <c r="X165" s="99"/>
      <c r="Y165" s="71">
        <f ca="1">Table25[[#This Row],[End Date]]+2-TODAY()</f>
        <v>-45530</v>
      </c>
      <c r="Z165" s="15">
        <f>IF(ISBLANK(Table25[[#This Row],[Roster Received By]]),1,0)</f>
        <v>1</v>
      </c>
      <c r="AA165" s="15">
        <f ca="1">IF(Table25[[#This Row],[Start Date]]&gt;TODAY(),1,)</f>
        <v>0</v>
      </c>
    </row>
    <row r="166" spans="1:27" s="62" customFormat="1" hidden="1" x14ac:dyDescent="0.25">
      <c r="A166" s="99"/>
      <c r="B166" s="99"/>
      <c r="C166" s="100" t="e">
        <v>#N/A</v>
      </c>
      <c r="D166" s="100" t="e">
        <v>#N/A</v>
      </c>
      <c r="E166" s="65"/>
      <c r="F166" s="67"/>
      <c r="G166" s="67"/>
      <c r="H166" s="105"/>
      <c r="I166" s="105"/>
      <c r="J166" s="102"/>
      <c r="K166" s="102"/>
      <c r="L166" s="102"/>
      <c r="M166" s="102"/>
      <c r="N166" s="102"/>
      <c r="O166" s="99"/>
      <c r="P166" s="99"/>
      <c r="Q166" s="15" t="e">
        <v>#N/A</v>
      </c>
      <c r="R166" s="15" t="e">
        <v>#N/A</v>
      </c>
      <c r="S166" s="15"/>
      <c r="T166" s="103"/>
      <c r="U166" s="15"/>
      <c r="V166" s="15"/>
      <c r="W166" s="15"/>
      <c r="X166" s="99"/>
      <c r="Y166" s="71">
        <f ca="1">Table25[[#This Row],[End Date]]+2-TODAY()</f>
        <v>-45530</v>
      </c>
      <c r="Z166" s="15">
        <f>IF(ISBLANK(Table25[[#This Row],[Roster Received By]]),1,0)</f>
        <v>1</v>
      </c>
      <c r="AA166" s="15">
        <f ca="1">IF(Table25[[#This Row],[Start Date]]&gt;TODAY(),1,)</f>
        <v>0</v>
      </c>
    </row>
    <row r="167" spans="1:27" s="62" customFormat="1" hidden="1" x14ac:dyDescent="0.25">
      <c r="B167" s="99"/>
      <c r="C167" s="100" t="e">
        <v>#N/A</v>
      </c>
      <c r="D167" s="100" t="e">
        <v>#N/A</v>
      </c>
      <c r="E167" s="99"/>
      <c r="F167" s="102"/>
      <c r="G167" s="102"/>
      <c r="H167" s="102"/>
      <c r="I167" s="101"/>
      <c r="J167" s="101"/>
      <c r="K167" s="101"/>
      <c r="L167" s="101"/>
      <c r="M167" s="101"/>
      <c r="N167" s="101"/>
      <c r="O167" s="99"/>
      <c r="P167" s="99"/>
      <c r="Q167" s="15" t="e">
        <v>#N/A</v>
      </c>
      <c r="R167" s="15" t="e">
        <v>#N/A</v>
      </c>
      <c r="S167" s="15"/>
      <c r="T167" s="103"/>
      <c r="U167" s="15"/>
      <c r="V167" s="15"/>
      <c r="W167" s="15"/>
      <c r="X167" s="99"/>
      <c r="Y167" s="71">
        <f ca="1">Table25[[#This Row],[End Date]]+2-TODAY()</f>
        <v>-45530</v>
      </c>
      <c r="Z167" s="15">
        <f>IF(ISBLANK(Table25[[#This Row],[Roster Received By]]),1,0)</f>
        <v>1</v>
      </c>
      <c r="AA167" s="15">
        <f ca="1">IF(Table25[[#This Row],[Start Date]]&gt;TODAY(),1,)</f>
        <v>0</v>
      </c>
    </row>
    <row r="168" spans="1:27" s="62" customFormat="1" hidden="1" x14ac:dyDescent="0.25">
      <c r="B168" s="99"/>
      <c r="C168" s="100" t="e">
        <v>#N/A</v>
      </c>
      <c r="D168" s="100" t="e">
        <v>#N/A</v>
      </c>
      <c r="E168" s="99"/>
      <c r="F168" s="102"/>
      <c r="G168" s="102"/>
      <c r="H168" s="102"/>
      <c r="I168" s="101"/>
      <c r="J168" s="101"/>
      <c r="K168" s="101"/>
      <c r="L168" s="101"/>
      <c r="M168" s="101"/>
      <c r="N168" s="101"/>
      <c r="O168" s="99"/>
      <c r="P168" s="99"/>
      <c r="Q168" s="15" t="e">
        <v>#N/A</v>
      </c>
      <c r="R168" s="15" t="e">
        <v>#N/A</v>
      </c>
      <c r="S168" s="15"/>
      <c r="T168" s="103"/>
      <c r="U168" s="15"/>
      <c r="V168" s="15"/>
      <c r="W168" s="100"/>
      <c r="X168" s="99"/>
      <c r="Y168" s="71">
        <f ca="1">Table25[[#This Row],[End Date]]+2-TODAY()</f>
        <v>-45530</v>
      </c>
      <c r="Z168" s="15">
        <f>IF(ISBLANK(Table25[[#This Row],[Roster Received By]]),1,0)</f>
        <v>1</v>
      </c>
      <c r="AA168" s="15">
        <f ca="1">IF(Table25[[#This Row],[Start Date]]&gt;TODAY(),1,)</f>
        <v>0</v>
      </c>
    </row>
    <row r="169" spans="1:27" s="62" customFormat="1" hidden="1" x14ac:dyDescent="0.25">
      <c r="B169" s="99"/>
      <c r="C169" s="100" t="e">
        <v>#N/A</v>
      </c>
      <c r="D169" s="100" t="e">
        <v>#N/A</v>
      </c>
      <c r="E169" s="99"/>
      <c r="F169" s="110"/>
      <c r="G169" s="110"/>
      <c r="H169" s="105"/>
      <c r="I169" s="101"/>
      <c r="J169" s="101"/>
      <c r="K169" s="101"/>
      <c r="L169" s="101"/>
      <c r="M169" s="101"/>
      <c r="N169" s="101"/>
      <c r="O169" s="99"/>
      <c r="P169" s="99"/>
      <c r="Q169" s="15" t="e">
        <v>#N/A</v>
      </c>
      <c r="R169" s="15" t="e">
        <v>#N/A</v>
      </c>
      <c r="S169" s="103"/>
      <c r="T169" s="103"/>
      <c r="U169" s="15"/>
      <c r="V169" s="15"/>
      <c r="W169" s="100"/>
      <c r="X169" s="99"/>
      <c r="Y169" s="71">
        <f ca="1">Table25[[#This Row],[End Date]]+2-TODAY()</f>
        <v>-45530</v>
      </c>
      <c r="Z169" s="15">
        <f>IF(ISBLANK(Table25[[#This Row],[Roster Received By]]),1,0)</f>
        <v>1</v>
      </c>
      <c r="AA169" s="15">
        <f ca="1">IF(Table25[[#This Row],[Start Date]]&gt;TODAY(),1,)</f>
        <v>0</v>
      </c>
    </row>
    <row r="170" spans="1:27" s="62" customFormat="1" hidden="1" x14ac:dyDescent="0.25">
      <c r="B170" s="99"/>
      <c r="C170" s="100" t="e">
        <v>#N/A</v>
      </c>
      <c r="D170" s="100" t="e">
        <v>#N/A</v>
      </c>
      <c r="E170" s="124"/>
      <c r="F170" s="98"/>
      <c r="G170" s="98"/>
      <c r="H170" s="101"/>
      <c r="I170" s="101"/>
      <c r="J170" s="101"/>
      <c r="K170" s="101"/>
      <c r="L170" s="101"/>
      <c r="M170" s="101"/>
      <c r="N170" s="101"/>
      <c r="O170" s="99"/>
      <c r="P170" s="99"/>
      <c r="Q170" s="15" t="e">
        <v>#N/A</v>
      </c>
      <c r="R170" s="15" t="e">
        <v>#N/A</v>
      </c>
      <c r="S170" s="15"/>
      <c r="T170" s="103"/>
      <c r="U170" s="15"/>
      <c r="V170" s="15"/>
      <c r="W170" s="15"/>
      <c r="X170" s="99"/>
      <c r="Y170" s="71">
        <f ca="1">Table25[[#This Row],[End Date]]+2-TODAY()</f>
        <v>-45530</v>
      </c>
      <c r="Z170" s="15">
        <f>IF(ISBLANK(Table25[[#This Row],[Roster Received By]]),1,0)</f>
        <v>1</v>
      </c>
      <c r="AA170" s="15">
        <f ca="1">IF(Table25[[#This Row],[Start Date]]&gt;TODAY(),1,)</f>
        <v>0</v>
      </c>
    </row>
    <row r="171" spans="1:27" s="62" customFormat="1" hidden="1" x14ac:dyDescent="0.25">
      <c r="B171" s="99"/>
      <c r="C171" s="100" t="e">
        <v>#N/A</v>
      </c>
      <c r="D171" s="100" t="e">
        <v>#N/A</v>
      </c>
      <c r="E171"/>
      <c r="F171" s="110"/>
      <c r="G171" s="110"/>
      <c r="H171" s="105"/>
      <c r="I171" s="105"/>
      <c r="J171" s="102"/>
      <c r="K171" s="102"/>
      <c r="L171" s="102"/>
      <c r="M171" s="102"/>
      <c r="N171" s="102"/>
      <c r="O171" s="99"/>
      <c r="P171" s="99"/>
      <c r="Q171" s="15" t="e">
        <v>#N/A</v>
      </c>
      <c r="R171" s="15" t="e">
        <v>#N/A</v>
      </c>
      <c r="S171" s="15"/>
      <c r="T171" s="103"/>
      <c r="U171" s="15"/>
      <c r="V171" s="15"/>
      <c r="W171" s="15"/>
      <c r="X171" s="99"/>
      <c r="Y171" s="71">
        <f ca="1">Table25[[#This Row],[End Date]]+2-TODAY()</f>
        <v>-45530</v>
      </c>
      <c r="Z171" s="15">
        <f>IF(ISBLANK(Table25[[#This Row],[Roster Received By]]),1,0)</f>
        <v>1</v>
      </c>
      <c r="AA171" s="15">
        <f ca="1">IF(Table25[[#This Row],[Start Date]]&gt;TODAY(),1,)</f>
        <v>0</v>
      </c>
    </row>
    <row r="172" spans="1:27" s="62" customFormat="1" hidden="1" x14ac:dyDescent="0.25">
      <c r="B172" s="99"/>
      <c r="C172" s="100" t="e">
        <v>#N/A</v>
      </c>
      <c r="D172" s="100" t="e">
        <v>#N/A</v>
      </c>
      <c r="E172" s="99"/>
      <c r="F172" s="110"/>
      <c r="G172" s="110"/>
      <c r="H172" s="102"/>
      <c r="I172" s="101"/>
      <c r="J172" s="101"/>
      <c r="K172" s="101"/>
      <c r="L172" s="101"/>
      <c r="M172" s="101"/>
      <c r="N172" s="101"/>
      <c r="O172" s="99"/>
      <c r="P172" s="99"/>
      <c r="Q172" s="15" t="e">
        <v>#N/A</v>
      </c>
      <c r="R172" s="15" t="e">
        <v>#N/A</v>
      </c>
      <c r="S172" s="15"/>
      <c r="T172" s="103"/>
      <c r="U172" s="15"/>
      <c r="V172" s="15"/>
      <c r="W172" s="15"/>
      <c r="X172" s="99"/>
      <c r="Y172" s="71">
        <f ca="1">Table25[[#This Row],[End Date]]+2-TODAY()</f>
        <v>-45530</v>
      </c>
      <c r="Z172" s="15">
        <f>IF(ISBLANK(Table25[[#This Row],[Roster Received By]]),1,0)</f>
        <v>1</v>
      </c>
      <c r="AA172" s="15">
        <f ca="1">IF(Table25[[#This Row],[Start Date]]&gt;TODAY(),1,)</f>
        <v>0</v>
      </c>
    </row>
    <row r="173" spans="1:27" s="62" customFormat="1" hidden="1" x14ac:dyDescent="0.25">
      <c r="B173" s="99"/>
      <c r="C173" s="100" t="e">
        <v>#N/A</v>
      </c>
      <c r="D173" s="100" t="e">
        <v>#N/A</v>
      </c>
      <c r="E173" s="99"/>
      <c r="F173" s="102"/>
      <c r="G173" s="102"/>
      <c r="H173" s="102"/>
      <c r="I173" s="101"/>
      <c r="J173" s="101"/>
      <c r="K173" s="101"/>
      <c r="L173" s="101"/>
      <c r="M173" s="101"/>
      <c r="N173" s="101"/>
      <c r="O173" s="99"/>
      <c r="P173" s="99"/>
      <c r="Q173" s="15" t="e">
        <v>#N/A</v>
      </c>
      <c r="R173" s="15" t="e">
        <v>#N/A</v>
      </c>
      <c r="S173" s="15"/>
      <c r="T173" s="103"/>
      <c r="U173" s="15"/>
      <c r="V173" s="15"/>
      <c r="W173" s="15"/>
      <c r="X173" s="99"/>
      <c r="Y173" s="71">
        <f ca="1">Table25[[#This Row],[End Date]]+2-TODAY()</f>
        <v>-45530</v>
      </c>
      <c r="Z173" s="15">
        <f>IF(ISBLANK(Table25[[#This Row],[Roster Received By]]),1,0)</f>
        <v>1</v>
      </c>
      <c r="AA173" s="15">
        <f ca="1">IF(Table25[[#This Row],[Start Date]]&gt;TODAY(),1,)</f>
        <v>0</v>
      </c>
    </row>
    <row r="174" spans="1:27" s="62" customFormat="1" hidden="1" x14ac:dyDescent="0.25">
      <c r="B174" s="99"/>
      <c r="C174" s="100" t="e">
        <v>#N/A</v>
      </c>
      <c r="D174" s="100" t="e">
        <v>#N/A</v>
      </c>
      <c r="E174" s="99"/>
      <c r="F174" s="110"/>
      <c r="G174" s="110"/>
      <c r="H174" s="102"/>
      <c r="I174" s="101"/>
      <c r="J174" s="101"/>
      <c r="K174" s="101"/>
      <c r="L174" s="101"/>
      <c r="M174" s="101"/>
      <c r="N174" s="101"/>
      <c r="O174" s="99"/>
      <c r="P174" s="99"/>
      <c r="Q174" s="15" t="e">
        <v>#N/A</v>
      </c>
      <c r="R174" s="15" t="e">
        <v>#N/A</v>
      </c>
      <c r="S174" s="15"/>
      <c r="T174" s="103"/>
      <c r="U174" s="15"/>
      <c r="V174" s="15"/>
      <c r="W174" s="15"/>
      <c r="X174" s="99"/>
      <c r="Y174" s="71">
        <f ca="1">Table25[[#This Row],[End Date]]+2-TODAY()</f>
        <v>-45530</v>
      </c>
      <c r="Z174" s="15">
        <f>IF(ISBLANK(Table25[[#This Row],[Roster Received By]]),1,0)</f>
        <v>1</v>
      </c>
      <c r="AA174" s="15">
        <f ca="1">IF(Table25[[#This Row],[Start Date]]&gt;TODAY(),1,)</f>
        <v>0</v>
      </c>
    </row>
    <row r="175" spans="1:27" s="62" customFormat="1" hidden="1" x14ac:dyDescent="0.25">
      <c r="B175" s="99"/>
      <c r="C175" s="100" t="e">
        <v>#N/A</v>
      </c>
      <c r="D175" s="100" t="e">
        <v>#N/A</v>
      </c>
      <c r="E175" s="99"/>
      <c r="F175" s="110"/>
      <c r="G175" s="110"/>
      <c r="H175" s="102"/>
      <c r="I175" s="101"/>
      <c r="J175" s="101"/>
      <c r="K175" s="101"/>
      <c r="L175" s="101"/>
      <c r="M175" s="101"/>
      <c r="N175" s="101"/>
      <c r="O175" s="99"/>
      <c r="P175" s="99"/>
      <c r="Q175" s="15" t="e">
        <v>#N/A</v>
      </c>
      <c r="R175" s="15" t="e">
        <v>#N/A</v>
      </c>
      <c r="S175" s="15"/>
      <c r="T175" s="103"/>
      <c r="U175" s="15"/>
      <c r="V175" s="15"/>
      <c r="W175" s="15"/>
      <c r="X175" s="99"/>
      <c r="Y175" s="71">
        <f ca="1">Table25[[#This Row],[End Date]]+2-TODAY()</f>
        <v>-45530</v>
      </c>
      <c r="Z175" s="15">
        <f>IF(ISBLANK(Table25[[#This Row],[Roster Received By]]),1,0)</f>
        <v>1</v>
      </c>
      <c r="AA175" s="15">
        <f ca="1">IF(Table25[[#This Row],[Start Date]]&gt;TODAY(),1,)</f>
        <v>0</v>
      </c>
    </row>
    <row r="176" spans="1:27" s="62" customFormat="1" hidden="1" x14ac:dyDescent="0.25">
      <c r="B176" s="99"/>
      <c r="C176" s="100" t="e">
        <v>#N/A</v>
      </c>
      <c r="D176" s="100" t="e">
        <v>#N/A</v>
      </c>
      <c r="E176" s="99"/>
      <c r="F176" s="110"/>
      <c r="G176" s="110"/>
      <c r="H176" s="102"/>
      <c r="I176" s="101"/>
      <c r="J176" s="101"/>
      <c r="K176" s="101"/>
      <c r="L176" s="101"/>
      <c r="M176" s="101"/>
      <c r="N176" s="101"/>
      <c r="O176" s="99"/>
      <c r="P176" s="99"/>
      <c r="Q176" s="15" t="e">
        <v>#N/A</v>
      </c>
      <c r="R176" s="15" t="e">
        <v>#N/A</v>
      </c>
      <c r="S176" s="15"/>
      <c r="T176" s="103"/>
      <c r="U176" s="15"/>
      <c r="V176" s="15"/>
      <c r="W176" s="15"/>
      <c r="X176" s="99"/>
      <c r="Y176" s="71">
        <f ca="1">Table25[[#This Row],[End Date]]+2-TODAY()</f>
        <v>-45530</v>
      </c>
      <c r="Z176" s="15">
        <f>IF(ISBLANK(Table25[[#This Row],[Roster Received By]]),1,0)</f>
        <v>1</v>
      </c>
      <c r="AA176" s="15">
        <f ca="1">IF(Table25[[#This Row],[Start Date]]&gt;TODAY(),1,)</f>
        <v>0</v>
      </c>
    </row>
    <row r="177" spans="1:27" s="62" customFormat="1" hidden="1" x14ac:dyDescent="0.25">
      <c r="B177" s="99"/>
      <c r="C177" s="100" t="e">
        <v>#N/A</v>
      </c>
      <c r="D177" s="100" t="e">
        <v>#N/A</v>
      </c>
      <c r="E177" s="99"/>
      <c r="F177" s="110"/>
      <c r="G177" s="110"/>
      <c r="H177" s="102"/>
      <c r="I177" s="101"/>
      <c r="J177" s="101"/>
      <c r="K177" s="101"/>
      <c r="L177" s="101"/>
      <c r="M177" s="101"/>
      <c r="N177" s="101"/>
      <c r="O177" s="99"/>
      <c r="P177" s="99"/>
      <c r="Q177" s="15" t="e">
        <v>#N/A</v>
      </c>
      <c r="R177" s="15" t="e">
        <v>#N/A</v>
      </c>
      <c r="S177" s="15"/>
      <c r="T177" s="103"/>
      <c r="U177" s="15"/>
      <c r="V177" s="15"/>
      <c r="W177" s="100"/>
      <c r="X177" s="99"/>
      <c r="Y177" s="71">
        <f ca="1">Table25[[#This Row],[End Date]]+2-TODAY()</f>
        <v>-45530</v>
      </c>
      <c r="Z177" s="15">
        <f>IF(ISBLANK(Table25[[#This Row],[Roster Received By]]),1,0)</f>
        <v>1</v>
      </c>
      <c r="AA177" s="15">
        <f ca="1">IF(Table25[[#This Row],[Start Date]]&gt;TODAY(),1,)</f>
        <v>0</v>
      </c>
    </row>
    <row r="178" spans="1:27" s="62" customFormat="1" hidden="1" x14ac:dyDescent="0.25">
      <c r="B178" s="99"/>
      <c r="C178" s="100" t="e">
        <v>#N/A</v>
      </c>
      <c r="D178" s="100" t="e">
        <v>#N/A</v>
      </c>
      <c r="E178" s="99"/>
      <c r="F178" s="110"/>
      <c r="G178" s="110"/>
      <c r="H178" s="102"/>
      <c r="I178" s="101"/>
      <c r="J178" s="101"/>
      <c r="K178" s="101"/>
      <c r="L178" s="101"/>
      <c r="M178" s="101"/>
      <c r="N178" s="101"/>
      <c r="O178" s="99"/>
      <c r="P178" s="99"/>
      <c r="Q178" s="15" t="e">
        <v>#N/A</v>
      </c>
      <c r="R178" s="15" t="e">
        <v>#N/A</v>
      </c>
      <c r="S178" s="15"/>
      <c r="T178" s="103"/>
      <c r="U178" s="15"/>
      <c r="V178" s="15"/>
      <c r="W178" s="15"/>
      <c r="X178" s="99"/>
      <c r="Y178" s="71">
        <f ca="1">Table25[[#This Row],[End Date]]+2-TODAY()</f>
        <v>-45530</v>
      </c>
      <c r="Z178" s="15">
        <f>IF(ISBLANK(Table25[[#This Row],[Roster Received By]]),1,0)</f>
        <v>1</v>
      </c>
      <c r="AA178" s="15">
        <f ca="1">IF(Table25[[#This Row],[Start Date]]&gt;TODAY(),1,)</f>
        <v>0</v>
      </c>
    </row>
    <row r="179" spans="1:27" s="62" customFormat="1" hidden="1" x14ac:dyDescent="0.25">
      <c r="B179" s="99"/>
      <c r="C179" s="100" t="e">
        <v>#N/A</v>
      </c>
      <c r="D179" s="100" t="e">
        <v>#N/A</v>
      </c>
      <c r="E179" s="99"/>
      <c r="F179" s="110"/>
      <c r="G179" s="110"/>
      <c r="H179" s="102"/>
      <c r="I179" s="101"/>
      <c r="J179" s="101"/>
      <c r="K179" s="101"/>
      <c r="L179" s="101"/>
      <c r="M179" s="101"/>
      <c r="N179" s="101"/>
      <c r="O179" s="99"/>
      <c r="P179" s="99"/>
      <c r="Q179" s="15" t="e">
        <v>#N/A</v>
      </c>
      <c r="R179" s="15" t="e">
        <v>#N/A</v>
      </c>
      <c r="S179" s="15"/>
      <c r="T179" s="103"/>
      <c r="U179" s="15"/>
      <c r="V179" s="15"/>
      <c r="W179" s="15"/>
      <c r="X179" s="99"/>
      <c r="Y179" s="71">
        <f ca="1">Table25[[#This Row],[End Date]]+2-TODAY()</f>
        <v>-45530</v>
      </c>
      <c r="Z179" s="15">
        <f>IF(ISBLANK(Table25[[#This Row],[Roster Received By]]),1,0)</f>
        <v>1</v>
      </c>
      <c r="AA179" s="15">
        <f ca="1">IF(Table25[[#This Row],[Start Date]]&gt;TODAY(),1,)</f>
        <v>0</v>
      </c>
    </row>
    <row r="180" spans="1:27" s="62" customFormat="1" hidden="1" x14ac:dyDescent="0.25">
      <c r="B180" s="99"/>
      <c r="C180" s="100" t="e">
        <v>#N/A</v>
      </c>
      <c r="D180" s="100" t="e">
        <v>#N/A</v>
      </c>
      <c r="E180" s="99"/>
      <c r="F180" s="110"/>
      <c r="G180" s="110"/>
      <c r="H180" s="105"/>
      <c r="I180" s="105"/>
      <c r="J180" s="105"/>
      <c r="K180" s="105"/>
      <c r="L180" s="105"/>
      <c r="M180" s="105"/>
      <c r="N180" s="102"/>
      <c r="O180" s="99"/>
      <c r="P180" s="99"/>
      <c r="Q180" s="15" t="e">
        <v>#N/A</v>
      </c>
      <c r="R180" s="15" t="e">
        <v>#N/A</v>
      </c>
      <c r="S180" s="15"/>
      <c r="T180" s="103"/>
      <c r="U180" s="15"/>
      <c r="V180" s="15"/>
      <c r="W180" s="15"/>
      <c r="X180" s="99"/>
      <c r="Y180" s="71">
        <f ca="1">Table25[[#This Row],[End Date]]+2-TODAY()</f>
        <v>-45530</v>
      </c>
      <c r="Z180" s="15">
        <f>IF(ISBLANK(Table25[[#This Row],[Roster Received By]]),1,0)</f>
        <v>1</v>
      </c>
      <c r="AA180" s="15">
        <f ca="1">IF(Table25[[#This Row],[Start Date]]&gt;TODAY(),1,)</f>
        <v>0</v>
      </c>
    </row>
    <row r="181" spans="1:27" s="62" customFormat="1" hidden="1" x14ac:dyDescent="0.25">
      <c r="B181" s="99"/>
      <c r="C181" s="100" t="e">
        <v>#N/A</v>
      </c>
      <c r="D181" s="100" t="e">
        <v>#N/A</v>
      </c>
      <c r="E181" s="99"/>
      <c r="F181" s="102"/>
      <c r="G181" s="102"/>
      <c r="H181" s="102"/>
      <c r="I181" s="101"/>
      <c r="J181" s="101"/>
      <c r="K181" s="101"/>
      <c r="L181" s="101"/>
      <c r="M181" s="101"/>
      <c r="N181" s="101"/>
      <c r="O181" s="99"/>
      <c r="P181" s="99"/>
      <c r="Q181" s="15" t="e">
        <v>#N/A</v>
      </c>
      <c r="R181" s="15" t="e">
        <v>#N/A</v>
      </c>
      <c r="S181" s="15"/>
      <c r="T181" s="103"/>
      <c r="U181" s="15"/>
      <c r="V181" s="15"/>
      <c r="W181" s="15"/>
      <c r="X181" s="99"/>
      <c r="Y181" s="71">
        <f ca="1">Table25[[#This Row],[End Date]]+2-TODAY()</f>
        <v>-45530</v>
      </c>
      <c r="Z181" s="15">
        <f>IF(ISBLANK(Table25[[#This Row],[Roster Received By]]),1,0)</f>
        <v>1</v>
      </c>
      <c r="AA181" s="15">
        <f ca="1">IF(Table25[[#This Row],[Start Date]]&gt;TODAY(),1,)</f>
        <v>0</v>
      </c>
    </row>
    <row r="182" spans="1:27" s="16" customFormat="1" ht="14.25" hidden="1" customHeight="1" x14ac:dyDescent="0.25">
      <c r="A182" s="62"/>
      <c r="B182" s="99"/>
      <c r="C182" s="100" t="e">
        <v>#N/A</v>
      </c>
      <c r="D182" s="100" t="e">
        <v>#N/A</v>
      </c>
      <c r="E182" s="99"/>
      <c r="F182" s="102"/>
      <c r="G182" s="102"/>
      <c r="H182" s="105"/>
      <c r="I182" s="105"/>
      <c r="J182" s="102"/>
      <c r="K182" s="102"/>
      <c r="L182" s="102"/>
      <c r="M182" s="102"/>
      <c r="N182" s="102"/>
      <c r="O182" s="99"/>
      <c r="P182" s="99"/>
      <c r="Q182" s="15" t="e">
        <v>#N/A</v>
      </c>
      <c r="R182" s="15" t="e">
        <v>#N/A</v>
      </c>
      <c r="S182" s="15"/>
      <c r="T182" s="103"/>
      <c r="U182" s="15"/>
      <c r="V182" s="15"/>
      <c r="W182" s="15"/>
      <c r="X182" s="99"/>
      <c r="Y182" s="71">
        <f ca="1">Table25[[#This Row],[End Date]]+2-TODAY()</f>
        <v>-45530</v>
      </c>
      <c r="Z182" s="15">
        <f>IF(ISBLANK(Table25[[#This Row],[Roster Received By]]),1,0)</f>
        <v>1</v>
      </c>
      <c r="AA182" s="15">
        <f ca="1">IF(Table25[[#This Row],[Start Date]]&gt;TODAY(),1,)</f>
        <v>0</v>
      </c>
    </row>
    <row r="183" spans="1:27" s="62" customFormat="1" ht="15" hidden="1" customHeight="1" x14ac:dyDescent="0.25">
      <c r="B183" s="99"/>
      <c r="C183" s="100" t="e">
        <v>#N/A</v>
      </c>
      <c r="D183" s="100" t="e">
        <v>#N/A</v>
      </c>
      <c r="E183" s="99"/>
      <c r="F183" s="110"/>
      <c r="G183" s="110"/>
      <c r="H183" s="105"/>
      <c r="I183" s="105"/>
      <c r="J183" s="102"/>
      <c r="K183" s="102"/>
      <c r="L183" s="102"/>
      <c r="M183" s="102"/>
      <c r="N183" s="102"/>
      <c r="O183" s="99"/>
      <c r="P183" s="99"/>
      <c r="Q183" s="15" t="e">
        <v>#N/A</v>
      </c>
      <c r="R183" s="15" t="e">
        <v>#N/A</v>
      </c>
      <c r="S183" s="15"/>
      <c r="T183" s="103"/>
      <c r="U183" s="15"/>
      <c r="V183" s="15"/>
      <c r="W183" s="15"/>
      <c r="X183" s="99"/>
      <c r="Y183" s="71">
        <f ca="1">Table25[[#This Row],[End Date]]+2-TODAY()</f>
        <v>-45530</v>
      </c>
      <c r="Z183" s="15">
        <f>IF(ISBLANK(Table25[[#This Row],[Roster Received By]]),1,0)</f>
        <v>1</v>
      </c>
      <c r="AA183" s="15">
        <f ca="1">IF(Table25[[#This Row],[Start Date]]&gt;TODAY(),1,)</f>
        <v>0</v>
      </c>
    </row>
    <row r="184" spans="1:27" s="62" customFormat="1" hidden="1" x14ac:dyDescent="0.25">
      <c r="B184" s="99"/>
      <c r="C184" s="100" t="e">
        <v>#N/A</v>
      </c>
      <c r="D184" s="100" t="e">
        <v>#N/A</v>
      </c>
      <c r="E184" s="99"/>
      <c r="F184" s="110"/>
      <c r="G184" s="110"/>
      <c r="H184" s="102"/>
      <c r="I184" s="101"/>
      <c r="J184" s="101"/>
      <c r="K184" s="101"/>
      <c r="L184" s="101"/>
      <c r="M184" s="101"/>
      <c r="N184" s="101"/>
      <c r="O184" s="99"/>
      <c r="P184" s="99"/>
      <c r="Q184" s="15" t="e">
        <v>#N/A</v>
      </c>
      <c r="R184" s="15" t="e">
        <v>#N/A</v>
      </c>
      <c r="S184" s="15"/>
      <c r="T184" s="103"/>
      <c r="U184" s="15"/>
      <c r="V184" s="15"/>
      <c r="W184" s="15"/>
      <c r="X184" s="99"/>
      <c r="Y184" s="71">
        <f ca="1">Table25[[#This Row],[End Date]]+2-TODAY()</f>
        <v>-45530</v>
      </c>
      <c r="Z184" s="15">
        <f>IF(ISBLANK(Table25[[#This Row],[Roster Received By]]),1,0)</f>
        <v>1</v>
      </c>
      <c r="AA184" s="15">
        <f ca="1">IF(Table25[[#This Row],[Start Date]]&gt;TODAY(),1,)</f>
        <v>0</v>
      </c>
    </row>
    <row r="185" spans="1:27" s="62" customFormat="1" hidden="1" x14ac:dyDescent="0.25">
      <c r="B185" s="99"/>
      <c r="C185" s="100" t="e">
        <v>#N/A</v>
      </c>
      <c r="D185" s="100" t="e">
        <v>#N/A</v>
      </c>
      <c r="E185" s="99"/>
      <c r="F185" s="102"/>
      <c r="G185" s="102"/>
      <c r="H185" s="105"/>
      <c r="I185" s="105"/>
      <c r="J185" s="102"/>
      <c r="K185" s="102"/>
      <c r="L185" s="102"/>
      <c r="M185" s="102"/>
      <c r="N185" s="102"/>
      <c r="O185" s="99"/>
      <c r="P185" s="99"/>
      <c r="Q185" s="15" t="e">
        <v>#N/A</v>
      </c>
      <c r="R185" s="15" t="e">
        <v>#N/A</v>
      </c>
      <c r="S185" s="103"/>
      <c r="T185" s="103"/>
      <c r="U185" s="15"/>
      <c r="V185" s="15"/>
      <c r="W185" s="15"/>
      <c r="X185" s="99"/>
      <c r="Y185" s="71">
        <f ca="1">Table25[[#This Row],[End Date]]+2-TODAY()</f>
        <v>-45530</v>
      </c>
      <c r="Z185" s="15">
        <f>IF(ISBLANK(Table25[[#This Row],[Roster Received By]]),1,0)</f>
        <v>1</v>
      </c>
      <c r="AA185" s="15">
        <f ca="1">IF(Table25[[#This Row],[Start Date]]&gt;TODAY(),1,)</f>
        <v>0</v>
      </c>
    </row>
    <row r="186" spans="1:27" s="62" customFormat="1" hidden="1" x14ac:dyDescent="0.25">
      <c r="B186" s="99"/>
      <c r="C186" s="100" t="e">
        <v>#N/A</v>
      </c>
      <c r="D186" s="100" t="e">
        <v>#N/A</v>
      </c>
      <c r="E186" s="99"/>
      <c r="F186" s="102"/>
      <c r="G186" s="102"/>
      <c r="H186" s="102"/>
      <c r="I186" s="101"/>
      <c r="J186" s="101"/>
      <c r="K186" s="101"/>
      <c r="L186" s="101"/>
      <c r="M186" s="101"/>
      <c r="N186" s="101"/>
      <c r="O186" s="99"/>
      <c r="P186" s="99"/>
      <c r="Q186" s="15" t="e">
        <v>#N/A</v>
      </c>
      <c r="R186" s="15" t="e">
        <v>#N/A</v>
      </c>
      <c r="S186" s="15"/>
      <c r="T186" s="103"/>
      <c r="U186" s="15"/>
      <c r="V186" s="15"/>
      <c r="W186" s="107"/>
      <c r="X186" s="99"/>
      <c r="Y186" s="71">
        <f ca="1">Table25[[#This Row],[End Date]]+2-TODAY()</f>
        <v>-45530</v>
      </c>
      <c r="Z186" s="15">
        <f>IF(ISBLANK(Table25[[#This Row],[Roster Received By]]),1,0)</f>
        <v>1</v>
      </c>
      <c r="AA186" s="15">
        <f ca="1">IF(Table25[[#This Row],[Start Date]]&gt;TODAY(),1,)</f>
        <v>0</v>
      </c>
    </row>
    <row r="187" spans="1:27" s="62" customFormat="1" hidden="1" x14ac:dyDescent="0.25">
      <c r="B187" s="99"/>
      <c r="C187" s="100" t="e">
        <v>#N/A</v>
      </c>
      <c r="D187" s="100" t="e">
        <v>#N/A</v>
      </c>
      <c r="E187" s="99"/>
      <c r="F187" s="102"/>
      <c r="G187" s="102"/>
      <c r="H187" s="102"/>
      <c r="I187" s="101"/>
      <c r="J187" s="101"/>
      <c r="K187" s="101"/>
      <c r="L187" s="101"/>
      <c r="M187" s="101"/>
      <c r="N187" s="101"/>
      <c r="O187" s="99"/>
      <c r="P187" s="99"/>
      <c r="Q187" s="15" t="e">
        <v>#N/A</v>
      </c>
      <c r="R187" s="15" t="e">
        <v>#N/A</v>
      </c>
      <c r="S187" s="15"/>
      <c r="T187" s="103"/>
      <c r="U187" s="15"/>
      <c r="V187" s="15"/>
      <c r="W187" s="103"/>
      <c r="X187" s="99"/>
      <c r="Y187" s="71">
        <f ca="1">Table25[[#This Row],[End Date]]+2-TODAY()</f>
        <v>-45530</v>
      </c>
      <c r="Z187" s="15">
        <f>IF(ISBLANK(Table25[[#This Row],[Roster Received By]]),1,0)</f>
        <v>1</v>
      </c>
      <c r="AA187" s="15">
        <f ca="1">IF(Table25[[#This Row],[Start Date]]&gt;TODAY(),1,)</f>
        <v>0</v>
      </c>
    </row>
    <row r="188" spans="1:27" s="62" customFormat="1" hidden="1" x14ac:dyDescent="0.25">
      <c r="A188" s="65"/>
      <c r="B188" s="99"/>
      <c r="C188" s="100" t="e">
        <v>#N/A</v>
      </c>
      <c r="D188" s="100" t="e">
        <v>#N/A</v>
      </c>
      <c r="E188" s="99"/>
      <c r="F188" s="102"/>
      <c r="G188" s="102"/>
      <c r="H188" s="108"/>
      <c r="I188" s="108"/>
      <c r="J188" s="102"/>
      <c r="K188" s="102"/>
      <c r="L188" s="102"/>
      <c r="M188" s="102"/>
      <c r="N188" s="102"/>
      <c r="O188" s="99"/>
      <c r="P188" s="99"/>
      <c r="Q188" s="15" t="e">
        <v>#N/A</v>
      </c>
      <c r="R188" s="15" t="e">
        <v>#N/A</v>
      </c>
      <c r="S188" s="15"/>
      <c r="T188" s="103"/>
      <c r="U188" s="15"/>
      <c r="V188" s="15"/>
      <c r="W188" s="15"/>
      <c r="X188" s="99"/>
      <c r="Y188" s="71">
        <f ca="1">Table25[[#This Row],[End Date]]+2-TODAY()</f>
        <v>-45530</v>
      </c>
      <c r="Z188" s="15">
        <f>IF(ISBLANK(Table25[[#This Row],[Roster Received By]]),1,0)</f>
        <v>1</v>
      </c>
      <c r="AA188" s="15">
        <f ca="1">IF(Table25[[#This Row],[Start Date]]&gt;TODAY(),1,)</f>
        <v>0</v>
      </c>
    </row>
    <row r="189" spans="1:27" s="62" customFormat="1" hidden="1" x14ac:dyDescent="0.25">
      <c r="B189" s="99"/>
      <c r="C189" s="100" t="e">
        <v>#N/A</v>
      </c>
      <c r="D189" s="100" t="e">
        <v>#N/A</v>
      </c>
      <c r="E189" s="99"/>
      <c r="F189" s="102"/>
      <c r="G189" s="102"/>
      <c r="H189" s="105"/>
      <c r="I189" s="108"/>
      <c r="J189" s="102"/>
      <c r="K189" s="102"/>
      <c r="L189" s="102"/>
      <c r="M189" s="102"/>
      <c r="N189" s="102"/>
      <c r="O189" s="99"/>
      <c r="P189" s="99"/>
      <c r="Q189" s="15" t="e">
        <v>#N/A</v>
      </c>
      <c r="R189" s="15" t="e">
        <v>#N/A</v>
      </c>
      <c r="S189" s="103"/>
      <c r="T189" s="103"/>
      <c r="U189" s="15"/>
      <c r="V189" s="15"/>
      <c r="W189" s="15"/>
      <c r="X189" s="99"/>
      <c r="Y189" s="71">
        <f ca="1">Table25[[#This Row],[End Date]]+2-TODAY()</f>
        <v>-45530</v>
      </c>
      <c r="Z189" s="15">
        <f>IF(ISBLANK(Table25[[#This Row],[Roster Received By]]),1,0)</f>
        <v>1</v>
      </c>
      <c r="AA189" s="15">
        <f ca="1">IF(Table25[[#This Row],[Start Date]]&gt;TODAY(),1,)</f>
        <v>0</v>
      </c>
    </row>
    <row r="190" spans="1:27" s="62" customFormat="1" hidden="1" x14ac:dyDescent="0.25">
      <c r="B190" s="99"/>
      <c r="C190" s="100" t="e">
        <v>#N/A</v>
      </c>
      <c r="D190" s="100" t="e">
        <v>#N/A</v>
      </c>
      <c r="E190" s="124"/>
      <c r="F190" s="67"/>
      <c r="G190" s="67"/>
      <c r="H190" s="101"/>
      <c r="I190" s="101"/>
      <c r="J190" s="101"/>
      <c r="K190" s="101"/>
      <c r="L190" s="101"/>
      <c r="M190" s="101"/>
      <c r="N190" s="101"/>
      <c r="O190" s="99"/>
      <c r="P190" s="99"/>
      <c r="Q190" s="15" t="e">
        <v>#N/A</v>
      </c>
      <c r="R190" s="15" t="e">
        <v>#N/A</v>
      </c>
      <c r="S190" s="15"/>
      <c r="T190" s="103"/>
      <c r="U190" s="15"/>
      <c r="V190" s="15"/>
      <c r="W190" s="15"/>
      <c r="X190" s="99"/>
      <c r="Y190" s="71">
        <f ca="1">Table25[[#This Row],[End Date]]+2-TODAY()</f>
        <v>-45530</v>
      </c>
      <c r="Z190" s="15">
        <f>IF(ISBLANK(Table25[[#This Row],[Roster Received By]]),1,0)</f>
        <v>1</v>
      </c>
      <c r="AA190" s="15">
        <f ca="1">IF(Table25[[#This Row],[Start Date]]&gt;TODAY(),1,)</f>
        <v>0</v>
      </c>
    </row>
    <row r="191" spans="1:27" s="62" customFormat="1" hidden="1" x14ac:dyDescent="0.25">
      <c r="A191" s="99"/>
      <c r="B191" s="99"/>
      <c r="C191" s="100" t="e">
        <v>#N/A</v>
      </c>
      <c r="D191" s="100" t="e">
        <v>#N/A</v>
      </c>
      <c r="E191" s="99"/>
      <c r="F191" s="102"/>
      <c r="G191" s="102"/>
      <c r="H191" s="105"/>
      <c r="I191" s="105"/>
      <c r="J191" s="102"/>
      <c r="K191" s="102"/>
      <c r="L191" s="102"/>
      <c r="M191" s="102"/>
      <c r="N191" s="102"/>
      <c r="O191" s="99"/>
      <c r="P191" s="99"/>
      <c r="Q191" s="15" t="e">
        <v>#N/A</v>
      </c>
      <c r="R191" s="15" t="e">
        <v>#N/A</v>
      </c>
      <c r="S191" s="15"/>
      <c r="T191" s="103"/>
      <c r="U191" s="15"/>
      <c r="V191" s="15"/>
      <c r="W191" s="15"/>
      <c r="X191" s="99"/>
      <c r="Y191" s="71">
        <f ca="1">Table25[[#This Row],[End Date]]+2-TODAY()</f>
        <v>-45530</v>
      </c>
      <c r="Z191" s="15">
        <f>IF(ISBLANK(Table25[[#This Row],[Roster Received By]]),1,0)</f>
        <v>1</v>
      </c>
      <c r="AA191" s="15">
        <f ca="1">IF(Table25[[#This Row],[Start Date]]&gt;TODAY(),1,)</f>
        <v>0</v>
      </c>
    </row>
    <row r="192" spans="1:27" s="62" customFormat="1" hidden="1" x14ac:dyDescent="0.25">
      <c r="A192" s="100"/>
      <c r="B192" s="99"/>
      <c r="C192" s="100" t="e">
        <v>#N/A</v>
      </c>
      <c r="D192" s="100" t="e">
        <v>#N/A</v>
      </c>
      <c r="E192" s="99"/>
      <c r="F192" s="102"/>
      <c r="G192" s="102"/>
      <c r="H192" s="105"/>
      <c r="I192" s="105"/>
      <c r="J192" s="102"/>
      <c r="K192" s="102"/>
      <c r="L192" s="102"/>
      <c r="M192" s="102"/>
      <c r="N192" s="102"/>
      <c r="O192" s="99"/>
      <c r="P192" s="99"/>
      <c r="Q192" s="15" t="e">
        <v>#N/A</v>
      </c>
      <c r="R192" s="15" t="e">
        <v>#N/A</v>
      </c>
      <c r="S192" s="107"/>
      <c r="T192" s="103"/>
      <c r="U192" s="15"/>
      <c r="V192" s="15"/>
      <c r="W192" s="15"/>
      <c r="X192" s="99"/>
      <c r="Y192" s="71">
        <f ca="1">Table25[[#This Row],[End Date]]+2-TODAY()</f>
        <v>-45530</v>
      </c>
      <c r="Z192" s="15">
        <f>IF(ISBLANK(Table25[[#This Row],[Roster Received By]]),1,0)</f>
        <v>1</v>
      </c>
      <c r="AA192" s="15">
        <f ca="1">IF(Table25[[#This Row],[Start Date]]&gt;TODAY(),1,)</f>
        <v>0</v>
      </c>
    </row>
    <row r="193" spans="1:27" s="62" customFormat="1" hidden="1" x14ac:dyDescent="0.25">
      <c r="B193" s="99"/>
      <c r="C193" s="100" t="e">
        <v>#N/A</v>
      </c>
      <c r="D193" s="100" t="e">
        <v>#N/A</v>
      </c>
      <c r="E193" s="99"/>
      <c r="F193" s="102"/>
      <c r="G193" s="102"/>
      <c r="H193" s="105"/>
      <c r="I193" s="105"/>
      <c r="J193" s="102"/>
      <c r="K193" s="102"/>
      <c r="L193" s="102"/>
      <c r="M193" s="102"/>
      <c r="N193" s="102"/>
      <c r="O193" s="99"/>
      <c r="P193" s="99"/>
      <c r="Q193" s="15" t="e">
        <v>#N/A</v>
      </c>
      <c r="R193" s="15" t="e">
        <v>#N/A</v>
      </c>
      <c r="S193" s="15"/>
      <c r="T193" s="103"/>
      <c r="U193" s="15"/>
      <c r="V193" s="15"/>
      <c r="W193" s="15"/>
      <c r="X193" s="99"/>
      <c r="Y193" s="71">
        <f ca="1">Table25[[#This Row],[End Date]]+2-TODAY()</f>
        <v>-45530</v>
      </c>
      <c r="Z193" s="15">
        <f>IF(ISBLANK(Table25[[#This Row],[Roster Received By]]),1,0)</f>
        <v>1</v>
      </c>
      <c r="AA193" s="15">
        <f ca="1">IF(Table25[[#This Row],[Start Date]]&gt;TODAY(),1,)</f>
        <v>0</v>
      </c>
    </row>
    <row r="194" spans="1:27" s="62" customFormat="1" hidden="1" x14ac:dyDescent="0.25">
      <c r="B194" s="99"/>
      <c r="C194" s="100" t="e">
        <v>#N/A</v>
      </c>
      <c r="D194" s="100" t="e">
        <v>#N/A</v>
      </c>
      <c r="E194" s="99"/>
      <c r="F194" s="102"/>
      <c r="G194" s="102"/>
      <c r="H194" s="102"/>
      <c r="I194" s="101"/>
      <c r="J194" s="101"/>
      <c r="K194" s="101"/>
      <c r="L194" s="101"/>
      <c r="M194" s="101"/>
      <c r="N194" s="101"/>
      <c r="O194" s="99"/>
      <c r="P194" s="99"/>
      <c r="Q194" s="15" t="e">
        <v>#N/A</v>
      </c>
      <c r="R194" s="15" t="e">
        <v>#N/A</v>
      </c>
      <c r="S194" s="15"/>
      <c r="T194" s="103"/>
      <c r="U194" s="15"/>
      <c r="V194" s="15"/>
      <c r="W194" s="15"/>
      <c r="X194" s="99"/>
      <c r="Y194" s="71">
        <f ca="1">Table25[[#This Row],[End Date]]+2-TODAY()</f>
        <v>-45530</v>
      </c>
      <c r="Z194" s="15">
        <f>IF(ISBLANK(Table25[[#This Row],[Roster Received By]]),1,0)</f>
        <v>1</v>
      </c>
      <c r="AA194" s="15">
        <f ca="1">IF(Table25[[#This Row],[Start Date]]&gt;TODAY(),1,)</f>
        <v>0</v>
      </c>
    </row>
    <row r="195" spans="1:27" s="62" customFormat="1" hidden="1" x14ac:dyDescent="0.25">
      <c r="B195" s="65"/>
      <c r="C195" s="100" t="e">
        <v>#N/A</v>
      </c>
      <c r="D195" s="100" t="e">
        <v>#N/A</v>
      </c>
      <c r="E195" s="65"/>
      <c r="F195" s="67"/>
      <c r="G195" s="67"/>
      <c r="H195" s="101"/>
      <c r="I195" s="101"/>
      <c r="J195" s="102"/>
      <c r="K195" s="102"/>
      <c r="L195" s="102"/>
      <c r="M195" s="102"/>
      <c r="N195" s="102"/>
      <c r="O195" s="99"/>
      <c r="P195" s="99"/>
      <c r="Q195" s="15" t="e">
        <v>#N/A</v>
      </c>
      <c r="R195" s="15" t="e">
        <v>#N/A</v>
      </c>
      <c r="S195" s="15"/>
      <c r="T195" s="103"/>
      <c r="U195" s="15"/>
      <c r="V195" s="15"/>
      <c r="W195" s="15"/>
      <c r="X195" s="99"/>
      <c r="Y195" s="71">
        <f ca="1">Table25[[#This Row],[End Date]]+2-TODAY()</f>
        <v>-45530</v>
      </c>
      <c r="Z195" s="15">
        <f>IF(ISBLANK(Table25[[#This Row],[Roster Received By]]),1,0)</f>
        <v>1</v>
      </c>
      <c r="AA195" s="15">
        <f ca="1">IF(Table25[[#This Row],[Start Date]]&gt;TODAY(),1,)</f>
        <v>0</v>
      </c>
    </row>
    <row r="196" spans="1:27" s="62" customFormat="1" hidden="1" x14ac:dyDescent="0.25">
      <c r="B196" s="99"/>
      <c r="C196" s="100" t="e">
        <v>#N/A</v>
      </c>
      <c r="D196" s="100" t="e">
        <v>#N/A</v>
      </c>
      <c r="E196" s="99"/>
      <c r="F196" s="102"/>
      <c r="G196" s="102"/>
      <c r="H196" s="102"/>
      <c r="I196" s="101"/>
      <c r="J196" s="101"/>
      <c r="K196" s="101"/>
      <c r="L196" s="101"/>
      <c r="M196" s="101"/>
      <c r="N196" s="101"/>
      <c r="O196" s="99"/>
      <c r="P196" s="99"/>
      <c r="Q196" s="15" t="e">
        <v>#N/A</v>
      </c>
      <c r="R196" s="15" t="e">
        <v>#N/A</v>
      </c>
      <c r="S196" s="15"/>
      <c r="T196" s="103"/>
      <c r="U196" s="15"/>
      <c r="V196" s="15"/>
      <c r="W196" s="15"/>
      <c r="X196" s="99"/>
      <c r="Y196" s="71">
        <f ca="1">Table25[[#This Row],[End Date]]+2-TODAY()</f>
        <v>-45530</v>
      </c>
      <c r="Z196" s="15">
        <f>IF(ISBLANK(Table25[[#This Row],[Roster Received By]]),1,0)</f>
        <v>1</v>
      </c>
      <c r="AA196" s="15">
        <f ca="1">IF(Table25[[#This Row],[Start Date]]&gt;TODAY(),1,)</f>
        <v>0</v>
      </c>
    </row>
    <row r="197" spans="1:27" s="62" customFormat="1" hidden="1" x14ac:dyDescent="0.25">
      <c r="B197" s="99"/>
      <c r="C197" s="100" t="e">
        <v>#N/A</v>
      </c>
      <c r="D197" s="100" t="e">
        <v>#N/A</v>
      </c>
      <c r="E197" s="99"/>
      <c r="F197" s="102"/>
      <c r="G197" s="102"/>
      <c r="H197" s="102"/>
      <c r="I197" s="101"/>
      <c r="J197" s="101"/>
      <c r="K197" s="101"/>
      <c r="L197" s="101"/>
      <c r="M197" s="101"/>
      <c r="N197" s="101"/>
      <c r="O197" s="99"/>
      <c r="P197" s="99"/>
      <c r="Q197" s="15" t="e">
        <v>#N/A</v>
      </c>
      <c r="R197" s="15" t="e">
        <v>#N/A</v>
      </c>
      <c r="S197" s="15"/>
      <c r="T197" s="103"/>
      <c r="U197" s="15"/>
      <c r="V197" s="15"/>
      <c r="W197" s="15"/>
      <c r="X197" s="99"/>
      <c r="Y197" s="71">
        <f ca="1">Table25[[#This Row],[End Date]]+2-TODAY()</f>
        <v>-45530</v>
      </c>
      <c r="Z197" s="15">
        <f>IF(ISBLANK(Table25[[#This Row],[Roster Received By]]),1,0)</f>
        <v>1</v>
      </c>
      <c r="AA197" s="15">
        <f ca="1">IF(Table25[[#This Row],[Start Date]]&gt;TODAY(),1,)</f>
        <v>0</v>
      </c>
    </row>
    <row r="198" spans="1:27" s="62" customFormat="1" hidden="1" x14ac:dyDescent="0.25">
      <c r="B198" s="99"/>
      <c r="C198" s="100" t="e">
        <v>#N/A</v>
      </c>
      <c r="D198" s="100" t="e">
        <v>#N/A</v>
      </c>
      <c r="E198" s="99"/>
      <c r="F198" s="102"/>
      <c r="G198" s="102"/>
      <c r="H198" s="102"/>
      <c r="I198" s="101"/>
      <c r="J198" s="101"/>
      <c r="K198" s="101"/>
      <c r="L198" s="101"/>
      <c r="M198" s="101"/>
      <c r="N198" s="101"/>
      <c r="O198" s="99"/>
      <c r="P198" s="99"/>
      <c r="Q198" s="15" t="e">
        <v>#N/A</v>
      </c>
      <c r="R198" s="15" t="e">
        <v>#N/A</v>
      </c>
      <c r="S198" s="15"/>
      <c r="T198" s="103"/>
      <c r="U198" s="15"/>
      <c r="V198" s="15"/>
      <c r="W198" s="15"/>
      <c r="X198" s="99"/>
      <c r="Y198" s="71">
        <f ca="1">Table25[[#This Row],[End Date]]+2-TODAY()</f>
        <v>-45530</v>
      </c>
      <c r="Z198" s="15">
        <f>IF(ISBLANK(Table25[[#This Row],[Roster Received By]]),1,0)</f>
        <v>1</v>
      </c>
      <c r="AA198" s="15">
        <f ca="1">IF(Table25[[#This Row],[Start Date]]&gt;TODAY(),1,)</f>
        <v>0</v>
      </c>
    </row>
    <row r="199" spans="1:27" s="62" customFormat="1" hidden="1" x14ac:dyDescent="0.25">
      <c r="A199" s="99"/>
      <c r="B199" s="99"/>
      <c r="C199" s="100" t="e">
        <v>#N/A</v>
      </c>
      <c r="D199" s="100" t="e">
        <v>#N/A</v>
      </c>
      <c r="E199" s="65"/>
      <c r="F199" s="102"/>
      <c r="G199" s="102"/>
      <c r="H199" s="105"/>
      <c r="I199" s="105"/>
      <c r="J199" s="102"/>
      <c r="K199" s="102"/>
      <c r="L199" s="102"/>
      <c r="M199" s="102"/>
      <c r="N199" s="102"/>
      <c r="O199" s="99"/>
      <c r="P199" s="99"/>
      <c r="Q199" s="15" t="e">
        <v>#N/A</v>
      </c>
      <c r="R199" s="15" t="e">
        <v>#N/A</v>
      </c>
      <c r="S199" s="15"/>
      <c r="T199" s="103"/>
      <c r="U199" s="15"/>
      <c r="V199" s="15"/>
      <c r="W199" s="15"/>
      <c r="X199" s="99"/>
      <c r="Y199" s="71">
        <f ca="1">Table25[[#This Row],[End Date]]+2-TODAY()</f>
        <v>-45530</v>
      </c>
      <c r="Z199" s="15">
        <f>IF(ISBLANK(Table25[[#This Row],[Roster Received By]]),1,0)</f>
        <v>1</v>
      </c>
      <c r="AA199" s="15">
        <f ca="1">IF(Table25[[#This Row],[Start Date]]&gt;TODAY(),1,)</f>
        <v>0</v>
      </c>
    </row>
    <row r="200" spans="1:27" s="62" customFormat="1" hidden="1" x14ac:dyDescent="0.25">
      <c r="B200" s="99"/>
      <c r="C200" s="100" t="e">
        <v>#N/A</v>
      </c>
      <c r="D200" s="100" t="e">
        <v>#N/A</v>
      </c>
      <c r="E200" s="99"/>
      <c r="F200" s="110"/>
      <c r="G200" s="110"/>
      <c r="H200" s="102"/>
      <c r="I200" s="101"/>
      <c r="J200" s="101"/>
      <c r="K200" s="101"/>
      <c r="L200" s="101"/>
      <c r="M200" s="101"/>
      <c r="N200" s="101"/>
      <c r="O200" s="99"/>
      <c r="P200" s="99"/>
      <c r="Q200" s="15" t="e">
        <v>#N/A</v>
      </c>
      <c r="R200" s="15" t="e">
        <v>#N/A</v>
      </c>
      <c r="S200" s="15"/>
      <c r="T200" s="103"/>
      <c r="U200" s="15"/>
      <c r="V200" s="15"/>
      <c r="W200" s="15"/>
      <c r="X200" s="99"/>
      <c r="Y200" s="71">
        <f ca="1">Table25[[#This Row],[End Date]]+2-TODAY()</f>
        <v>-45530</v>
      </c>
      <c r="Z200" s="15">
        <f>IF(ISBLANK(Table25[[#This Row],[Roster Received By]]),1,0)</f>
        <v>1</v>
      </c>
      <c r="AA200" s="15">
        <f ca="1">IF(Table25[[#This Row],[Start Date]]&gt;TODAY(),1,)</f>
        <v>0</v>
      </c>
    </row>
    <row r="201" spans="1:27" s="62" customFormat="1" hidden="1" x14ac:dyDescent="0.25">
      <c r="B201" s="99"/>
      <c r="C201" s="100" t="e">
        <v>#N/A</v>
      </c>
      <c r="D201" s="100" t="e">
        <v>#N/A</v>
      </c>
      <c r="E201" s="65"/>
      <c r="F201" s="67"/>
      <c r="G201" s="67"/>
      <c r="H201" s="101"/>
      <c r="I201" s="101"/>
      <c r="J201" s="102"/>
      <c r="K201" s="102"/>
      <c r="L201" s="102"/>
      <c r="M201" s="102"/>
      <c r="N201" s="102"/>
      <c r="O201" s="99"/>
      <c r="P201" s="99"/>
      <c r="Q201" s="15" t="e">
        <v>#N/A</v>
      </c>
      <c r="R201" s="15" t="e">
        <v>#N/A</v>
      </c>
      <c r="S201" s="15"/>
      <c r="T201" s="103"/>
      <c r="U201" s="15"/>
      <c r="V201" s="15"/>
      <c r="W201" s="15"/>
      <c r="X201" s="99"/>
      <c r="Y201" s="71">
        <f ca="1">Table25[[#This Row],[End Date]]+2-TODAY()</f>
        <v>-45530</v>
      </c>
      <c r="Z201" s="15">
        <f>IF(ISBLANK(Table25[[#This Row],[Roster Received By]]),1,0)</f>
        <v>1</v>
      </c>
      <c r="AA201" s="15">
        <f ca="1">IF(Table25[[#This Row],[Start Date]]&gt;TODAY(),1,)</f>
        <v>0</v>
      </c>
    </row>
    <row r="202" spans="1:27" s="62" customFormat="1" hidden="1" x14ac:dyDescent="0.25">
      <c r="B202" s="99"/>
      <c r="C202" s="100" t="e">
        <v>#N/A</v>
      </c>
      <c r="D202" s="100" t="e">
        <v>#N/A</v>
      </c>
      <c r="E202" s="99"/>
      <c r="F202" s="67"/>
      <c r="G202" s="102"/>
      <c r="H202" s="102"/>
      <c r="I202" s="101"/>
      <c r="J202" s="101"/>
      <c r="K202" s="101"/>
      <c r="L202" s="101"/>
      <c r="M202" s="101"/>
      <c r="N202" s="101"/>
      <c r="O202" s="99"/>
      <c r="P202" s="99"/>
      <c r="Q202" s="15" t="e">
        <v>#N/A</v>
      </c>
      <c r="R202" s="15" t="e">
        <v>#N/A</v>
      </c>
      <c r="S202" s="15"/>
      <c r="T202" s="103"/>
      <c r="U202" s="15"/>
      <c r="V202" s="15"/>
      <c r="W202" s="15"/>
      <c r="X202" s="99"/>
      <c r="Y202" s="71">
        <f ca="1">Table25[[#This Row],[End Date]]+2-TODAY()</f>
        <v>-45530</v>
      </c>
      <c r="Z202" s="15">
        <f>IF(ISBLANK(Table25[[#This Row],[Roster Received By]]),1,0)</f>
        <v>1</v>
      </c>
      <c r="AA202" s="15">
        <f ca="1">IF(Table25[[#This Row],[Start Date]]&gt;TODAY(),1,)</f>
        <v>0</v>
      </c>
    </row>
    <row r="203" spans="1:27" s="62" customFormat="1" hidden="1" x14ac:dyDescent="0.25">
      <c r="B203" s="99"/>
      <c r="C203" s="100" t="e">
        <v>#N/A</v>
      </c>
      <c r="D203" s="100" t="e">
        <v>#N/A</v>
      </c>
      <c r="E203" s="99"/>
      <c r="F203" s="102"/>
      <c r="G203" s="102"/>
      <c r="H203" s="105"/>
      <c r="I203" s="105"/>
      <c r="J203" s="102"/>
      <c r="K203" s="102"/>
      <c r="L203" s="102"/>
      <c r="M203" s="102"/>
      <c r="N203" s="102"/>
      <c r="O203" s="99"/>
      <c r="P203" s="99"/>
      <c r="Q203" s="15" t="e">
        <v>#N/A</v>
      </c>
      <c r="R203" s="15" t="e">
        <v>#N/A</v>
      </c>
      <c r="S203" s="15"/>
      <c r="T203" s="103"/>
      <c r="U203" s="15"/>
      <c r="V203" s="15"/>
      <c r="W203" s="15"/>
      <c r="X203" s="99"/>
      <c r="Y203" s="71">
        <f ca="1">Table25[[#This Row],[End Date]]+2-TODAY()</f>
        <v>-45530</v>
      </c>
      <c r="Z203" s="15">
        <f>IF(ISBLANK(Table25[[#This Row],[Roster Received By]]),1,0)</f>
        <v>1</v>
      </c>
      <c r="AA203" s="15">
        <f ca="1">IF(Table25[[#This Row],[Start Date]]&gt;TODAY(),1,)</f>
        <v>0</v>
      </c>
    </row>
    <row r="204" spans="1:27" s="62" customFormat="1" hidden="1" x14ac:dyDescent="0.25">
      <c r="B204" s="99"/>
      <c r="C204" s="100" t="e">
        <v>#N/A</v>
      </c>
      <c r="D204" s="100" t="e">
        <v>#N/A</v>
      </c>
      <c r="E204" s="65"/>
      <c r="F204" s="67"/>
      <c r="G204" s="102"/>
      <c r="H204" s="105"/>
      <c r="I204" s="105"/>
      <c r="J204" s="102"/>
      <c r="K204" s="102"/>
      <c r="L204" s="102"/>
      <c r="M204" s="102"/>
      <c r="N204" s="102"/>
      <c r="O204" s="99"/>
      <c r="P204" s="99"/>
      <c r="Q204" s="15" t="e">
        <v>#N/A</v>
      </c>
      <c r="R204" s="15" t="e">
        <v>#N/A</v>
      </c>
      <c r="S204" s="15"/>
      <c r="T204" s="103"/>
      <c r="U204" s="15"/>
      <c r="V204" s="15"/>
      <c r="W204" s="15"/>
      <c r="X204" s="99"/>
      <c r="Y204" s="71">
        <f ca="1">Table25[[#This Row],[End Date]]+2-TODAY()</f>
        <v>-45530</v>
      </c>
      <c r="Z204" s="15">
        <f>IF(ISBLANK(Table25[[#This Row],[Roster Received By]]),1,0)</f>
        <v>1</v>
      </c>
      <c r="AA204" s="15">
        <f ca="1">IF(Table25[[#This Row],[Start Date]]&gt;TODAY(),1,)</f>
        <v>0</v>
      </c>
    </row>
    <row r="205" spans="1:27" s="62" customFormat="1" hidden="1" x14ac:dyDescent="0.25">
      <c r="B205" s="99"/>
      <c r="C205" s="100" t="e">
        <v>#N/A</v>
      </c>
      <c r="D205" s="100" t="e">
        <v>#N/A</v>
      </c>
      <c r="E205" s="99"/>
      <c r="F205" s="67"/>
      <c r="G205" s="67"/>
      <c r="H205" s="67"/>
      <c r="I205" s="101"/>
      <c r="J205" s="101"/>
      <c r="K205" s="101"/>
      <c r="L205" s="101"/>
      <c r="M205" s="101"/>
      <c r="N205" s="101"/>
      <c r="O205" s="99"/>
      <c r="P205" s="99"/>
      <c r="Q205" s="15" t="e">
        <v>#N/A</v>
      </c>
      <c r="R205" s="15" t="e">
        <v>#N/A</v>
      </c>
      <c r="S205" s="15"/>
      <c r="T205" s="103"/>
      <c r="U205" s="15"/>
      <c r="V205" s="15"/>
      <c r="W205" s="15"/>
      <c r="X205" s="99"/>
      <c r="Y205" s="71">
        <f ca="1">Table25[[#This Row],[End Date]]+2-TODAY()</f>
        <v>-45530</v>
      </c>
      <c r="Z205" s="15">
        <f>IF(ISBLANK(Table25[[#This Row],[Roster Received By]]),1,0)</f>
        <v>1</v>
      </c>
      <c r="AA205" s="15">
        <f ca="1">IF(Table25[[#This Row],[Start Date]]&gt;TODAY(),1,)</f>
        <v>0</v>
      </c>
    </row>
    <row r="206" spans="1:27" s="62" customFormat="1" hidden="1" x14ac:dyDescent="0.25">
      <c r="B206" s="99"/>
      <c r="C206" s="100" t="e">
        <v>#N/A</v>
      </c>
      <c r="D206" s="100" t="e">
        <v>#N/A</v>
      </c>
      <c r="E206" s="99"/>
      <c r="F206" s="102"/>
      <c r="G206" s="102"/>
      <c r="H206" s="105"/>
      <c r="I206" s="105"/>
      <c r="J206" s="105"/>
      <c r="K206" s="105"/>
      <c r="L206" s="105"/>
      <c r="M206" s="105"/>
      <c r="N206" s="105"/>
      <c r="O206" s="99"/>
      <c r="P206" s="99"/>
      <c r="Q206" s="15" t="e">
        <v>#N/A</v>
      </c>
      <c r="R206" s="15" t="e">
        <v>#N/A</v>
      </c>
      <c r="S206" s="15"/>
      <c r="T206" s="103"/>
      <c r="U206" s="15"/>
      <c r="V206" s="15"/>
      <c r="W206" s="15"/>
      <c r="X206" s="99"/>
      <c r="Y206" s="71">
        <f ca="1">Table25[[#This Row],[End Date]]+2-TODAY()</f>
        <v>-45530</v>
      </c>
      <c r="Z206" s="15">
        <f>IF(ISBLANK(Table25[[#This Row],[Roster Received By]]),1,0)</f>
        <v>1</v>
      </c>
      <c r="AA206" s="15">
        <f ca="1">IF(Table25[[#This Row],[Start Date]]&gt;TODAY(),1,)</f>
        <v>0</v>
      </c>
    </row>
    <row r="207" spans="1:27" s="62" customFormat="1" hidden="1" x14ac:dyDescent="0.25">
      <c r="B207" s="99"/>
      <c r="C207" s="100" t="e">
        <v>#N/A</v>
      </c>
      <c r="D207" s="100" t="e">
        <v>#N/A</v>
      </c>
      <c r="E207" s="99"/>
      <c r="F207" s="102"/>
      <c r="G207" s="102"/>
      <c r="H207" s="105"/>
      <c r="I207" s="105"/>
      <c r="J207" s="102"/>
      <c r="K207" s="102"/>
      <c r="L207" s="102"/>
      <c r="M207" s="102"/>
      <c r="N207" s="102"/>
      <c r="O207" s="99"/>
      <c r="P207" s="99"/>
      <c r="Q207" s="15" t="e">
        <v>#N/A</v>
      </c>
      <c r="R207" s="15" t="e">
        <v>#N/A</v>
      </c>
      <c r="S207" s="15"/>
      <c r="T207" s="103"/>
      <c r="U207" s="15"/>
      <c r="V207" s="15"/>
      <c r="W207" s="15"/>
      <c r="X207" s="99"/>
      <c r="Y207" s="71">
        <f ca="1">Table25[[#This Row],[End Date]]+2-TODAY()</f>
        <v>-45530</v>
      </c>
      <c r="Z207" s="15">
        <f>IF(ISBLANK(Table25[[#This Row],[Roster Received By]]),1,0)</f>
        <v>1</v>
      </c>
      <c r="AA207" s="15">
        <f ca="1">IF(Table25[[#This Row],[Start Date]]&gt;TODAY(),1,)</f>
        <v>0</v>
      </c>
    </row>
    <row r="208" spans="1:27" s="62" customFormat="1" hidden="1" x14ac:dyDescent="0.25">
      <c r="B208" s="99"/>
      <c r="C208" s="100" t="e">
        <v>#N/A</v>
      </c>
      <c r="D208" s="100" t="e">
        <v>#N/A</v>
      </c>
      <c r="E208" s="65"/>
      <c r="F208" s="102"/>
      <c r="G208" s="102"/>
      <c r="H208" s="105"/>
      <c r="I208" s="105"/>
      <c r="J208" s="102"/>
      <c r="K208" s="102"/>
      <c r="L208" s="102"/>
      <c r="M208" s="102"/>
      <c r="N208" s="102"/>
      <c r="O208" s="99"/>
      <c r="P208" s="99"/>
      <c r="Q208" s="15" t="e">
        <v>#N/A</v>
      </c>
      <c r="R208" s="15" t="e">
        <v>#N/A</v>
      </c>
      <c r="S208" s="15"/>
      <c r="T208" s="103"/>
      <c r="U208" s="15"/>
      <c r="V208" s="15"/>
      <c r="W208" s="100"/>
      <c r="X208" s="99"/>
      <c r="Y208" s="71">
        <f ca="1">Table25[[#This Row],[End Date]]+2-TODAY()</f>
        <v>-45530</v>
      </c>
      <c r="Z208" s="15">
        <f>IF(ISBLANK(Table25[[#This Row],[Roster Received By]]),1,0)</f>
        <v>1</v>
      </c>
      <c r="AA208" s="15">
        <f ca="1">IF(Table25[[#This Row],[Start Date]]&gt;TODAY(),1,)</f>
        <v>0</v>
      </c>
    </row>
    <row r="209" spans="2:27" s="62" customFormat="1" hidden="1" x14ac:dyDescent="0.25">
      <c r="B209" s="99"/>
      <c r="C209" s="100" t="e">
        <v>#N/A</v>
      </c>
      <c r="D209" s="100" t="e">
        <v>#N/A</v>
      </c>
      <c r="E209" s="65"/>
      <c r="F209" s="102"/>
      <c r="G209" s="102"/>
      <c r="H209" s="105"/>
      <c r="I209" s="105"/>
      <c r="J209" s="102"/>
      <c r="K209" s="102"/>
      <c r="L209" s="102"/>
      <c r="M209" s="102"/>
      <c r="N209" s="102"/>
      <c r="O209" s="99"/>
      <c r="P209" s="99"/>
      <c r="Q209" s="15" t="e">
        <v>#N/A</v>
      </c>
      <c r="R209" s="15" t="e">
        <v>#N/A</v>
      </c>
      <c r="S209" s="15"/>
      <c r="T209" s="103"/>
      <c r="U209" s="15"/>
      <c r="V209" s="15"/>
      <c r="W209" s="15"/>
      <c r="X209" s="99"/>
      <c r="Y209" s="71">
        <f ca="1">Table25[[#This Row],[End Date]]+2-TODAY()</f>
        <v>-45530</v>
      </c>
      <c r="Z209" s="15">
        <f>IF(ISBLANK(Table25[[#This Row],[Roster Received By]]),1,0)</f>
        <v>1</v>
      </c>
      <c r="AA209" s="15">
        <f ca="1">IF(Table25[[#This Row],[Start Date]]&gt;TODAY(),1,)</f>
        <v>0</v>
      </c>
    </row>
    <row r="210" spans="2:27" s="62" customFormat="1" hidden="1" x14ac:dyDescent="0.25">
      <c r="B210" s="99"/>
      <c r="C210" s="100" t="e">
        <v>#N/A</v>
      </c>
      <c r="D210" s="100" t="e">
        <v>#N/A</v>
      </c>
      <c r="E210" s="65"/>
      <c r="F210" s="102"/>
      <c r="G210" s="102"/>
      <c r="H210" s="105"/>
      <c r="I210" s="105"/>
      <c r="J210" s="102"/>
      <c r="K210" s="102"/>
      <c r="L210" s="102"/>
      <c r="M210" s="102"/>
      <c r="N210" s="102"/>
      <c r="O210" s="99"/>
      <c r="P210" s="99"/>
      <c r="Q210" s="15" t="e">
        <v>#N/A</v>
      </c>
      <c r="R210" s="15" t="e">
        <v>#N/A</v>
      </c>
      <c r="S210" s="15"/>
      <c r="T210" s="103"/>
      <c r="U210" s="15"/>
      <c r="V210" s="15"/>
      <c r="W210" s="15"/>
      <c r="X210" s="99"/>
      <c r="Y210" s="71">
        <f ca="1">Table25[[#This Row],[End Date]]+2-TODAY()</f>
        <v>-45530</v>
      </c>
      <c r="Z210" s="15">
        <f>IF(ISBLANK(Table25[[#This Row],[Roster Received By]]),1,0)</f>
        <v>1</v>
      </c>
      <c r="AA210" s="15">
        <f ca="1">IF(Table25[[#This Row],[Start Date]]&gt;TODAY(),1,)</f>
        <v>0</v>
      </c>
    </row>
    <row r="211" spans="2:27" s="62" customFormat="1" hidden="1" x14ac:dyDescent="0.25">
      <c r="B211" s="99"/>
      <c r="C211" s="100" t="e">
        <v>#N/A</v>
      </c>
      <c r="D211" s="100" t="e">
        <v>#N/A</v>
      </c>
      <c r="E211" s="99"/>
      <c r="F211" s="102"/>
      <c r="G211" s="102"/>
      <c r="H211" s="105"/>
      <c r="I211" s="105"/>
      <c r="J211" s="102"/>
      <c r="K211" s="102"/>
      <c r="L211" s="102"/>
      <c r="M211" s="102"/>
      <c r="N211" s="102"/>
      <c r="O211" s="99"/>
      <c r="P211" s="99"/>
      <c r="Q211" s="15" t="e">
        <v>#N/A</v>
      </c>
      <c r="R211" s="15" t="e">
        <v>#N/A</v>
      </c>
      <c r="S211" s="15"/>
      <c r="T211" s="103"/>
      <c r="U211" s="15"/>
      <c r="V211" s="15"/>
      <c r="W211" s="15"/>
      <c r="X211" s="99"/>
      <c r="Y211" s="71">
        <f ca="1">Table25[[#This Row],[End Date]]+2-TODAY()</f>
        <v>-45530</v>
      </c>
      <c r="Z211" s="15">
        <f>IF(ISBLANK(Table25[[#This Row],[Roster Received By]]),1,0)</f>
        <v>1</v>
      </c>
      <c r="AA211" s="15">
        <f ca="1">IF(Table25[[#This Row],[Start Date]]&gt;TODAY(),1,)</f>
        <v>0</v>
      </c>
    </row>
    <row r="212" spans="2:27" s="62" customFormat="1" hidden="1" x14ac:dyDescent="0.25">
      <c r="B212" s="99"/>
      <c r="C212" s="100" t="e">
        <v>#N/A</v>
      </c>
      <c r="D212" s="100" t="e">
        <v>#N/A</v>
      </c>
      <c r="E212" s="99"/>
      <c r="F212" s="102"/>
      <c r="G212" s="102"/>
      <c r="H212" s="105"/>
      <c r="I212" s="105"/>
      <c r="J212" s="102"/>
      <c r="K212" s="102"/>
      <c r="L212" s="102"/>
      <c r="M212" s="102"/>
      <c r="N212" s="102"/>
      <c r="O212" s="99"/>
      <c r="P212" s="99"/>
      <c r="Q212" s="15" t="e">
        <v>#N/A</v>
      </c>
      <c r="R212" s="15" t="e">
        <v>#N/A</v>
      </c>
      <c r="S212" s="15"/>
      <c r="T212" s="103"/>
      <c r="U212" s="15"/>
      <c r="V212" s="15"/>
      <c r="W212" s="15"/>
      <c r="X212" s="99"/>
      <c r="Y212" s="71">
        <f ca="1">Table25[[#This Row],[End Date]]+2-TODAY()</f>
        <v>-45530</v>
      </c>
      <c r="Z212" s="15">
        <f>IF(ISBLANK(Table25[[#This Row],[Roster Received By]]),1,0)</f>
        <v>1</v>
      </c>
      <c r="AA212" s="15">
        <f ca="1">IF(Table25[[#This Row],[Start Date]]&gt;TODAY(),1,)</f>
        <v>0</v>
      </c>
    </row>
    <row r="213" spans="2:27" s="62" customFormat="1" hidden="1" x14ac:dyDescent="0.25">
      <c r="B213" s="99"/>
      <c r="C213" s="100" t="e">
        <v>#N/A</v>
      </c>
      <c r="D213" s="100" t="e">
        <v>#N/A</v>
      </c>
      <c r="E213" s="99"/>
      <c r="F213" s="102"/>
      <c r="G213" s="102"/>
      <c r="H213" s="105"/>
      <c r="I213" s="105"/>
      <c r="J213" s="102"/>
      <c r="K213" s="102"/>
      <c r="L213" s="102"/>
      <c r="M213" s="102"/>
      <c r="N213" s="102"/>
      <c r="O213" s="99"/>
      <c r="P213" s="99"/>
      <c r="Q213" s="15" t="e">
        <v>#N/A</v>
      </c>
      <c r="R213" s="15" t="e">
        <v>#N/A</v>
      </c>
      <c r="S213" s="103"/>
      <c r="T213" s="103"/>
      <c r="U213" s="15"/>
      <c r="V213" s="15"/>
      <c r="W213" s="15"/>
      <c r="X213" s="99"/>
      <c r="Y213" s="71">
        <f ca="1">Table25[[#This Row],[End Date]]+2-TODAY()</f>
        <v>-45530</v>
      </c>
      <c r="Z213" s="15">
        <f>IF(ISBLANK(Table25[[#This Row],[Roster Received By]]),1,0)</f>
        <v>1</v>
      </c>
      <c r="AA213" s="15">
        <f ca="1">IF(Table25[[#This Row],[Start Date]]&gt;TODAY(),1,)</f>
        <v>0</v>
      </c>
    </row>
    <row r="214" spans="2:27" s="62" customFormat="1" hidden="1" x14ac:dyDescent="0.25">
      <c r="B214" s="99"/>
      <c r="C214" s="100" t="e">
        <v>#N/A</v>
      </c>
      <c r="D214" s="100" t="e">
        <v>#N/A</v>
      </c>
      <c r="E214" s="99"/>
      <c r="F214" s="102"/>
      <c r="G214" s="102"/>
      <c r="H214" s="105"/>
      <c r="I214" s="105"/>
      <c r="J214" s="105"/>
      <c r="K214" s="105"/>
      <c r="L214" s="105"/>
      <c r="M214" s="105"/>
      <c r="N214" s="102"/>
      <c r="O214" s="99"/>
      <c r="P214" s="99"/>
      <c r="Q214" s="15" t="e">
        <v>#N/A</v>
      </c>
      <c r="R214" s="15" t="e">
        <v>#N/A</v>
      </c>
      <c r="S214" s="15"/>
      <c r="T214" s="103"/>
      <c r="U214" s="15"/>
      <c r="V214" s="15"/>
      <c r="W214" s="15"/>
      <c r="X214" s="99"/>
      <c r="Y214" s="71">
        <f ca="1">Table25[[#This Row],[End Date]]+2-TODAY()</f>
        <v>-45530</v>
      </c>
      <c r="Z214" s="15">
        <f>IF(ISBLANK(Table25[[#This Row],[Roster Received By]]),1,0)</f>
        <v>1</v>
      </c>
      <c r="AA214" s="15">
        <f ca="1">IF(Table25[[#This Row],[Start Date]]&gt;TODAY(),1,)</f>
        <v>0</v>
      </c>
    </row>
    <row r="215" spans="2:27" s="62" customFormat="1" hidden="1" x14ac:dyDescent="0.25">
      <c r="B215" s="99"/>
      <c r="C215" s="100" t="e">
        <v>#N/A</v>
      </c>
      <c r="D215" s="100" t="e">
        <v>#N/A</v>
      </c>
      <c r="E215" s="99"/>
      <c r="F215" s="102"/>
      <c r="G215" s="102"/>
      <c r="H215" s="102"/>
      <c r="I215" s="101"/>
      <c r="J215" s="101"/>
      <c r="K215" s="101"/>
      <c r="L215" s="101"/>
      <c r="M215" s="101"/>
      <c r="N215" s="101"/>
      <c r="O215" s="99"/>
      <c r="P215" s="99"/>
      <c r="Q215" s="15" t="e">
        <v>#N/A</v>
      </c>
      <c r="R215" s="15" t="e">
        <v>#N/A</v>
      </c>
      <c r="S215" s="15"/>
      <c r="T215" s="103"/>
      <c r="U215" s="15"/>
      <c r="V215" s="15"/>
      <c r="W215" s="15"/>
      <c r="X215" s="99"/>
      <c r="Y215" s="71">
        <f ca="1">Table25[[#This Row],[End Date]]+2-TODAY()</f>
        <v>-45530</v>
      </c>
      <c r="Z215" s="15">
        <f>IF(ISBLANK(Table25[[#This Row],[Roster Received By]]),1,0)</f>
        <v>1</v>
      </c>
      <c r="AA215" s="15">
        <f ca="1">IF(Table25[[#This Row],[Start Date]]&gt;TODAY(),1,)</f>
        <v>0</v>
      </c>
    </row>
    <row r="216" spans="2:27" s="62" customFormat="1" hidden="1" x14ac:dyDescent="0.25">
      <c r="B216" s="99"/>
      <c r="C216" s="100" t="e">
        <v>#N/A</v>
      </c>
      <c r="D216" s="100" t="e">
        <v>#N/A</v>
      </c>
      <c r="E216" s="65"/>
      <c r="F216" s="102"/>
      <c r="G216" s="102"/>
      <c r="H216" s="105"/>
      <c r="I216" s="105"/>
      <c r="J216" s="102"/>
      <c r="K216" s="102"/>
      <c r="L216" s="102"/>
      <c r="M216" s="102"/>
      <c r="N216" s="102"/>
      <c r="O216" s="99"/>
      <c r="P216" s="99"/>
      <c r="Q216" s="15" t="e">
        <v>#N/A</v>
      </c>
      <c r="R216" s="15" t="e">
        <v>#N/A</v>
      </c>
      <c r="S216" s="15"/>
      <c r="T216" s="103"/>
      <c r="U216" s="15"/>
      <c r="V216" s="15"/>
      <c r="W216" s="15"/>
      <c r="X216" s="99"/>
      <c r="Y216" s="71">
        <f ca="1">Table25[[#This Row],[End Date]]+2-TODAY()</f>
        <v>-45530</v>
      </c>
      <c r="Z216" s="15">
        <f>IF(ISBLANK(Table25[[#This Row],[Roster Received By]]),1,0)</f>
        <v>1</v>
      </c>
      <c r="AA216" s="15">
        <f ca="1">IF(Table25[[#This Row],[Start Date]]&gt;TODAY(),1,)</f>
        <v>0</v>
      </c>
    </row>
    <row r="217" spans="2:27" s="62" customFormat="1" hidden="1" x14ac:dyDescent="0.25">
      <c r="B217" s="99"/>
      <c r="C217" s="100" t="e">
        <v>#N/A</v>
      </c>
      <c r="D217" s="100" t="e">
        <v>#N/A</v>
      </c>
      <c r="E217" s="99"/>
      <c r="F217" s="102"/>
      <c r="G217" s="102"/>
      <c r="H217" s="105"/>
      <c r="I217" s="105"/>
      <c r="J217" s="134"/>
      <c r="K217" s="134"/>
      <c r="L217" s="134"/>
      <c r="M217" s="134"/>
      <c r="N217" s="102"/>
      <c r="O217" s="99"/>
      <c r="P217" s="99"/>
      <c r="Q217" s="15" t="e">
        <v>#N/A</v>
      </c>
      <c r="R217" s="15" t="e">
        <v>#N/A</v>
      </c>
      <c r="S217" s="15"/>
      <c r="T217" s="103"/>
      <c r="U217" s="15"/>
      <c r="V217" s="15"/>
      <c r="W217" s="107"/>
      <c r="X217" s="99"/>
      <c r="Y217" s="71">
        <f ca="1">Table25[[#This Row],[End Date]]+2-TODAY()</f>
        <v>-45530</v>
      </c>
      <c r="Z217" s="15">
        <f>IF(ISBLANK(Table25[[#This Row],[Roster Received By]]),1,0)</f>
        <v>1</v>
      </c>
      <c r="AA217" s="15">
        <f ca="1">IF(Table25[[#This Row],[Start Date]]&gt;TODAY(),1,)</f>
        <v>0</v>
      </c>
    </row>
    <row r="218" spans="2:27" s="62" customFormat="1" hidden="1" x14ac:dyDescent="0.25">
      <c r="B218" s="99"/>
      <c r="C218" s="100" t="e">
        <v>#N/A</v>
      </c>
      <c r="D218" s="100" t="e">
        <v>#N/A</v>
      </c>
      <c r="E218" s="99"/>
      <c r="F218" s="102"/>
      <c r="G218" s="102"/>
      <c r="H218" s="102"/>
      <c r="I218" s="101"/>
      <c r="J218" s="101"/>
      <c r="K218" s="101"/>
      <c r="L218" s="101"/>
      <c r="M218" s="101"/>
      <c r="N218" s="101"/>
      <c r="O218" s="99"/>
      <c r="P218" s="99"/>
      <c r="Q218" s="15" t="e">
        <v>#N/A</v>
      </c>
      <c r="R218" s="15" t="e">
        <v>#N/A</v>
      </c>
      <c r="S218" s="15"/>
      <c r="T218" s="103"/>
      <c r="U218" s="15"/>
      <c r="V218" s="15"/>
      <c r="W218" s="15"/>
      <c r="X218" s="99"/>
      <c r="Y218" s="71">
        <f ca="1">Table25[[#This Row],[End Date]]+2-TODAY()</f>
        <v>-45530</v>
      </c>
      <c r="Z218" s="15">
        <f>IF(ISBLANK(Table25[[#This Row],[Roster Received By]]),1,0)</f>
        <v>1</v>
      </c>
      <c r="AA218" s="15">
        <f ca="1">IF(Table25[[#This Row],[Start Date]]&gt;TODAY(),1,)</f>
        <v>0</v>
      </c>
    </row>
    <row r="219" spans="2:27" s="62" customFormat="1" hidden="1" x14ac:dyDescent="0.25">
      <c r="B219" s="99"/>
      <c r="C219" s="100" t="e">
        <v>#N/A</v>
      </c>
      <c r="D219" s="100" t="e">
        <v>#N/A</v>
      </c>
      <c r="E219" s="99"/>
      <c r="F219" s="102"/>
      <c r="G219" s="102"/>
      <c r="H219" s="102"/>
      <c r="I219" s="101"/>
      <c r="J219" s="101"/>
      <c r="K219" s="101"/>
      <c r="L219" s="101"/>
      <c r="M219" s="101"/>
      <c r="N219" s="101"/>
      <c r="O219" s="99"/>
      <c r="P219" s="99"/>
      <c r="Q219" s="15" t="e">
        <v>#N/A</v>
      </c>
      <c r="R219" s="15" t="e">
        <v>#N/A</v>
      </c>
      <c r="S219" s="15"/>
      <c r="T219" s="103"/>
      <c r="U219" s="15"/>
      <c r="V219" s="15"/>
      <c r="W219" s="15"/>
      <c r="X219" s="99"/>
      <c r="Y219" s="71">
        <f ca="1">Table25[[#This Row],[End Date]]+2-TODAY()</f>
        <v>-45530</v>
      </c>
      <c r="Z219" s="15">
        <f>IF(ISBLANK(Table25[[#This Row],[Roster Received By]]),1,0)</f>
        <v>1</v>
      </c>
      <c r="AA219" s="15">
        <f ca="1">IF(Table25[[#This Row],[Start Date]]&gt;TODAY(),1,)</f>
        <v>0</v>
      </c>
    </row>
    <row r="220" spans="2:27" s="62" customFormat="1" hidden="1" x14ac:dyDescent="0.25">
      <c r="B220" s="99"/>
      <c r="C220" s="100" t="e">
        <v>#N/A</v>
      </c>
      <c r="D220" s="100" t="e">
        <v>#N/A</v>
      </c>
      <c r="E220" s="99"/>
      <c r="F220" s="102"/>
      <c r="G220" s="102"/>
      <c r="H220" s="102"/>
      <c r="I220" s="101"/>
      <c r="J220" s="101"/>
      <c r="K220" s="101"/>
      <c r="L220" s="101"/>
      <c r="M220" s="101"/>
      <c r="N220" s="101"/>
      <c r="O220" s="99"/>
      <c r="P220" s="99"/>
      <c r="Q220" s="15" t="e">
        <v>#N/A</v>
      </c>
      <c r="R220" s="15" t="e">
        <v>#N/A</v>
      </c>
      <c r="S220" s="15"/>
      <c r="T220" s="103"/>
      <c r="U220" s="15"/>
      <c r="V220" s="15"/>
      <c r="W220" s="15"/>
      <c r="X220" s="99"/>
      <c r="Y220" s="71">
        <f ca="1">Table25[[#This Row],[End Date]]+2-TODAY()</f>
        <v>-45530</v>
      </c>
      <c r="Z220" s="15">
        <f>IF(ISBLANK(Table25[[#This Row],[Roster Received By]]),1,0)</f>
        <v>1</v>
      </c>
      <c r="AA220" s="15">
        <f ca="1">IF(Table25[[#This Row],[Start Date]]&gt;TODAY(),1,)</f>
        <v>0</v>
      </c>
    </row>
    <row r="221" spans="2:27" s="62" customFormat="1" hidden="1" x14ac:dyDescent="0.25">
      <c r="B221" s="99"/>
      <c r="C221" s="100" t="e">
        <v>#N/A</v>
      </c>
      <c r="D221" s="100" t="e">
        <v>#N/A</v>
      </c>
      <c r="E221" s="65"/>
      <c r="F221" s="102"/>
      <c r="G221" s="102"/>
      <c r="H221" s="108"/>
      <c r="I221" s="108"/>
      <c r="J221" s="102"/>
      <c r="K221" s="102"/>
      <c r="L221" s="102"/>
      <c r="M221" s="102"/>
      <c r="N221" s="102"/>
      <c r="O221" s="99"/>
      <c r="P221" s="99"/>
      <c r="Q221" s="15" t="e">
        <v>#N/A</v>
      </c>
      <c r="R221" s="15" t="e">
        <v>#N/A</v>
      </c>
      <c r="S221" s="15"/>
      <c r="T221" s="103"/>
      <c r="U221" s="15"/>
      <c r="V221" s="15"/>
      <c r="W221" s="103"/>
      <c r="X221" s="99"/>
      <c r="Y221" s="71">
        <f ca="1">Table25[[#This Row],[End Date]]+2-TODAY()</f>
        <v>-45530</v>
      </c>
      <c r="Z221" s="15">
        <f>IF(ISBLANK(Table25[[#This Row],[Roster Received By]]),1,0)</f>
        <v>1</v>
      </c>
      <c r="AA221" s="15">
        <f ca="1">IF(Table25[[#This Row],[Start Date]]&gt;TODAY(),1,)</f>
        <v>0</v>
      </c>
    </row>
    <row r="222" spans="2:27" s="62" customFormat="1" hidden="1" x14ac:dyDescent="0.25">
      <c r="B222" s="99"/>
      <c r="C222" s="100" t="e">
        <v>#N/A</v>
      </c>
      <c r="D222" s="100" t="e">
        <v>#N/A</v>
      </c>
      <c r="E222" s="99"/>
      <c r="F222" s="102"/>
      <c r="G222" s="102"/>
      <c r="H222" s="102"/>
      <c r="I222" s="101"/>
      <c r="J222" s="101"/>
      <c r="K222" s="101"/>
      <c r="L222" s="101"/>
      <c r="M222" s="101"/>
      <c r="N222" s="101"/>
      <c r="O222" s="99"/>
      <c r="P222" s="99"/>
      <c r="Q222" s="15" t="e">
        <v>#N/A</v>
      </c>
      <c r="R222" s="15" t="e">
        <v>#N/A</v>
      </c>
      <c r="S222" s="15"/>
      <c r="T222" s="103"/>
      <c r="U222" s="15"/>
      <c r="V222" s="15"/>
      <c r="W222" s="15"/>
      <c r="X222" s="99"/>
      <c r="Y222" s="71">
        <f ca="1">Table25[[#This Row],[End Date]]+2-TODAY()</f>
        <v>-45530</v>
      </c>
      <c r="Z222" s="15">
        <f>IF(ISBLANK(Table25[[#This Row],[Roster Received By]]),1,0)</f>
        <v>1</v>
      </c>
      <c r="AA222" s="15">
        <f ca="1">IF(Table25[[#This Row],[Start Date]]&gt;TODAY(),1,)</f>
        <v>0</v>
      </c>
    </row>
    <row r="223" spans="2:27" s="62" customFormat="1" hidden="1" x14ac:dyDescent="0.25">
      <c r="B223" s="99"/>
      <c r="C223" s="100" t="e">
        <v>#N/A</v>
      </c>
      <c r="D223" s="100" t="e">
        <v>#N/A</v>
      </c>
      <c r="E223" s="99"/>
      <c r="F223" s="102"/>
      <c r="G223" s="102"/>
      <c r="H223" s="102"/>
      <c r="I223" s="101"/>
      <c r="J223" s="101"/>
      <c r="K223" s="101"/>
      <c r="L223" s="101"/>
      <c r="M223" s="101"/>
      <c r="N223" s="101"/>
      <c r="O223" s="99"/>
      <c r="P223" s="99"/>
      <c r="Q223" s="15" t="e">
        <v>#N/A</v>
      </c>
      <c r="R223" s="15" t="e">
        <v>#N/A</v>
      </c>
      <c r="S223" s="15"/>
      <c r="T223" s="103"/>
      <c r="U223" s="15"/>
      <c r="V223" s="15"/>
      <c r="W223" s="104"/>
      <c r="X223" s="99"/>
      <c r="Y223" s="71">
        <f ca="1">Table25[[#This Row],[End Date]]+2-TODAY()</f>
        <v>-45530</v>
      </c>
      <c r="Z223" s="15">
        <f>IF(ISBLANK(Table25[[#This Row],[Roster Received By]]),1,0)</f>
        <v>1</v>
      </c>
      <c r="AA223" s="15">
        <f ca="1">IF(Table25[[#This Row],[Start Date]]&gt;TODAY(),1,)</f>
        <v>0</v>
      </c>
    </row>
    <row r="224" spans="2:27" s="62" customFormat="1" hidden="1" x14ac:dyDescent="0.25">
      <c r="B224" s="99"/>
      <c r="C224" s="100" t="e">
        <v>#N/A</v>
      </c>
      <c r="D224" s="100" t="e">
        <v>#N/A</v>
      </c>
      <c r="E224" s="65"/>
      <c r="F224" s="102"/>
      <c r="G224" s="102"/>
      <c r="H224" s="105"/>
      <c r="I224" s="105"/>
      <c r="J224" s="102"/>
      <c r="K224" s="102"/>
      <c r="L224" s="102"/>
      <c r="M224" s="102"/>
      <c r="N224" s="102"/>
      <c r="O224" s="99"/>
      <c r="P224" s="99"/>
      <c r="Q224" s="15" t="e">
        <v>#N/A</v>
      </c>
      <c r="R224" s="15" t="e">
        <v>#N/A</v>
      </c>
      <c r="S224" s="15"/>
      <c r="T224" s="103"/>
      <c r="U224" s="15"/>
      <c r="V224" s="15"/>
      <c r="W224" s="100"/>
      <c r="X224" s="99"/>
      <c r="Y224" s="71">
        <f ca="1">Table25[[#This Row],[End Date]]+2-TODAY()</f>
        <v>-45530</v>
      </c>
      <c r="Z224" s="15">
        <f>IF(ISBLANK(Table25[[#This Row],[Roster Received By]]),1,0)</f>
        <v>1</v>
      </c>
      <c r="AA224" s="15">
        <f ca="1">IF(Table25[[#This Row],[Start Date]]&gt;TODAY(),1,)</f>
        <v>0</v>
      </c>
    </row>
    <row r="225" spans="1:27" s="113" customFormat="1" hidden="1" x14ac:dyDescent="0.25">
      <c r="A225" s="62"/>
      <c r="B225" s="99"/>
      <c r="C225" s="100" t="e">
        <v>#N/A</v>
      </c>
      <c r="D225" s="100" t="e">
        <v>#N/A</v>
      </c>
      <c r="E225" s="99"/>
      <c r="F225" s="102"/>
      <c r="G225" s="102"/>
      <c r="H225" s="102"/>
      <c r="I225" s="101"/>
      <c r="J225" s="101"/>
      <c r="K225" s="101"/>
      <c r="L225" s="101"/>
      <c r="M225" s="101"/>
      <c r="N225" s="101"/>
      <c r="O225" s="99"/>
      <c r="P225" s="99"/>
      <c r="Q225" s="15" t="e">
        <v>#N/A</v>
      </c>
      <c r="R225" s="15" t="e">
        <v>#N/A</v>
      </c>
      <c r="S225" s="15"/>
      <c r="T225" s="103"/>
      <c r="U225" s="15"/>
      <c r="V225" s="15"/>
      <c r="W225" s="15"/>
      <c r="X225" s="99"/>
      <c r="Y225" s="71">
        <f ca="1">Table25[[#This Row],[End Date]]+2-TODAY()</f>
        <v>-45530</v>
      </c>
      <c r="Z225" s="15">
        <f>IF(ISBLANK(Table25[[#This Row],[Roster Received By]]),1,0)</f>
        <v>1</v>
      </c>
      <c r="AA225" s="15">
        <f ca="1">IF(Table25[[#This Row],[Start Date]]&gt;TODAY(),1,)</f>
        <v>0</v>
      </c>
    </row>
    <row r="226" spans="1:27" s="62" customFormat="1" hidden="1" x14ac:dyDescent="0.25">
      <c r="A226" s="99"/>
      <c r="B226" s="99"/>
      <c r="C226" s="100" t="e">
        <v>#N/A</v>
      </c>
      <c r="D226" s="100" t="e">
        <v>#N/A</v>
      </c>
      <c r="E226" s="65"/>
      <c r="F226" s="102"/>
      <c r="G226" s="102"/>
      <c r="H226" s="105"/>
      <c r="I226" s="105"/>
      <c r="J226" s="102"/>
      <c r="K226" s="102"/>
      <c r="L226" s="102"/>
      <c r="M226" s="102"/>
      <c r="N226" s="102"/>
      <c r="O226" s="99"/>
      <c r="P226" s="99"/>
      <c r="Q226" s="15" t="e">
        <v>#N/A</v>
      </c>
      <c r="R226" s="15" t="e">
        <v>#N/A</v>
      </c>
      <c r="S226" s="15"/>
      <c r="T226" s="103"/>
      <c r="U226" s="15"/>
      <c r="V226" s="15"/>
      <c r="W226" s="100"/>
      <c r="X226" s="99"/>
      <c r="Y226" s="71">
        <f ca="1">Table25[[#This Row],[End Date]]+2-TODAY()</f>
        <v>-45530</v>
      </c>
      <c r="Z226" s="15">
        <f>IF(ISBLANK(Table25[[#This Row],[Roster Received By]]),1,0)</f>
        <v>1</v>
      </c>
      <c r="AA226" s="15">
        <f ca="1">IF(Table25[[#This Row],[Start Date]]&gt;TODAY(),1,)</f>
        <v>0</v>
      </c>
    </row>
    <row r="227" spans="1:27" s="62" customFormat="1" hidden="1" x14ac:dyDescent="0.25">
      <c r="B227" s="99"/>
      <c r="C227" s="100" t="e">
        <v>#N/A</v>
      </c>
      <c r="D227" s="100" t="e">
        <v>#N/A</v>
      </c>
      <c r="E227" s="99"/>
      <c r="F227" s="102"/>
      <c r="G227" s="102"/>
      <c r="H227" s="105"/>
      <c r="I227" s="105"/>
      <c r="J227" s="102"/>
      <c r="K227" s="102"/>
      <c r="L227" s="102"/>
      <c r="M227" s="102"/>
      <c r="N227" s="102"/>
      <c r="O227" s="99"/>
      <c r="P227" s="99"/>
      <c r="Q227" s="15" t="e">
        <v>#N/A</v>
      </c>
      <c r="R227" s="15" t="e">
        <v>#N/A</v>
      </c>
      <c r="S227" s="15"/>
      <c r="T227" s="103"/>
      <c r="U227" s="15"/>
      <c r="V227" s="15"/>
      <c r="W227" s="100"/>
      <c r="X227" s="99"/>
      <c r="Y227" s="71">
        <f ca="1">Table25[[#This Row],[End Date]]+2-TODAY()</f>
        <v>-45530</v>
      </c>
      <c r="Z227" s="15">
        <f>IF(ISBLANK(Table25[[#This Row],[Roster Received By]]),1,0)</f>
        <v>1</v>
      </c>
      <c r="AA227" s="15">
        <f ca="1">IF(Table25[[#This Row],[Start Date]]&gt;TODAY(),1,)</f>
        <v>0</v>
      </c>
    </row>
    <row r="228" spans="1:27" s="62" customFormat="1" hidden="1" x14ac:dyDescent="0.25">
      <c r="B228" s="99"/>
      <c r="C228" s="100" t="e">
        <v>#N/A</v>
      </c>
      <c r="D228" s="100" t="e">
        <v>#N/A</v>
      </c>
      <c r="E228" s="99"/>
      <c r="F228" s="102"/>
      <c r="G228" s="102"/>
      <c r="H228" s="102"/>
      <c r="I228" s="101"/>
      <c r="J228" s="101"/>
      <c r="K228" s="101"/>
      <c r="L228" s="101"/>
      <c r="M228" s="101"/>
      <c r="N228" s="101"/>
      <c r="O228" s="99"/>
      <c r="P228" s="99"/>
      <c r="Q228" s="15" t="e">
        <v>#N/A</v>
      </c>
      <c r="R228" s="15" t="e">
        <v>#N/A</v>
      </c>
      <c r="S228" s="15"/>
      <c r="T228" s="103"/>
      <c r="U228" s="15"/>
      <c r="V228" s="15"/>
      <c r="W228" s="15"/>
      <c r="X228" s="99"/>
      <c r="Y228" s="71">
        <f ca="1">Table25[[#This Row],[End Date]]+2-TODAY()</f>
        <v>-45530</v>
      </c>
      <c r="Z228" s="15">
        <f>IF(ISBLANK(Table25[[#This Row],[Roster Received By]]),1,0)</f>
        <v>1</v>
      </c>
      <c r="AA228" s="15">
        <f ca="1">IF(Table25[[#This Row],[Start Date]]&gt;TODAY(),1,)</f>
        <v>0</v>
      </c>
    </row>
    <row r="229" spans="1:27" s="62" customFormat="1" hidden="1" x14ac:dyDescent="0.25">
      <c r="B229" s="99"/>
      <c r="C229" s="100" t="e">
        <v>#N/A</v>
      </c>
      <c r="D229" s="100" t="e">
        <v>#N/A</v>
      </c>
      <c r="E229" s="99"/>
      <c r="F229" s="102"/>
      <c r="G229" s="102"/>
      <c r="H229" s="105"/>
      <c r="I229" s="105"/>
      <c r="J229" s="105"/>
      <c r="K229" s="105"/>
      <c r="L229" s="105"/>
      <c r="M229" s="105"/>
      <c r="N229" s="102"/>
      <c r="O229" s="99"/>
      <c r="P229" s="99"/>
      <c r="Q229" s="15" t="e">
        <v>#N/A</v>
      </c>
      <c r="R229" s="15" t="e">
        <v>#N/A</v>
      </c>
      <c r="S229" s="15"/>
      <c r="T229" s="103"/>
      <c r="U229" s="15"/>
      <c r="V229" s="15"/>
      <c r="W229" s="15"/>
      <c r="X229" s="99"/>
      <c r="Y229" s="71">
        <f ca="1">Table25[[#This Row],[End Date]]+2-TODAY()</f>
        <v>-45530</v>
      </c>
      <c r="Z229" s="15">
        <f>IF(ISBLANK(Table25[[#This Row],[Roster Received By]]),1,0)</f>
        <v>1</v>
      </c>
      <c r="AA229" s="15">
        <f ca="1">IF(Table25[[#This Row],[Start Date]]&gt;TODAY(),1,)</f>
        <v>0</v>
      </c>
    </row>
    <row r="230" spans="1:27" s="62" customFormat="1" hidden="1" x14ac:dyDescent="0.25">
      <c r="B230" s="99"/>
      <c r="C230" s="100" t="e">
        <v>#N/A</v>
      </c>
      <c r="D230" s="100" t="e">
        <v>#N/A</v>
      </c>
      <c r="E230" s="99"/>
      <c r="F230" s="102"/>
      <c r="G230" s="102"/>
      <c r="H230" s="105"/>
      <c r="I230" s="105"/>
      <c r="J230" s="105"/>
      <c r="K230" s="105"/>
      <c r="L230" s="105"/>
      <c r="M230" s="105"/>
      <c r="N230" s="102"/>
      <c r="O230" s="99"/>
      <c r="P230" s="99"/>
      <c r="Q230" s="15" t="e">
        <v>#N/A</v>
      </c>
      <c r="R230" s="15" t="e">
        <v>#N/A</v>
      </c>
      <c r="S230" s="15"/>
      <c r="T230" s="103"/>
      <c r="U230" s="15"/>
      <c r="V230" s="15"/>
      <c r="W230" s="15"/>
      <c r="X230" s="99"/>
      <c r="Y230" s="71">
        <f ca="1">Table25[[#This Row],[End Date]]+2-TODAY()</f>
        <v>-45530</v>
      </c>
      <c r="Z230" s="15">
        <f>IF(ISBLANK(Table25[[#This Row],[Roster Received By]]),1,0)</f>
        <v>1</v>
      </c>
      <c r="AA230" s="15">
        <f ca="1">IF(Table25[[#This Row],[Start Date]]&gt;TODAY(),1,)</f>
        <v>0</v>
      </c>
    </row>
    <row r="231" spans="1:27" s="62" customFormat="1" hidden="1" x14ac:dyDescent="0.25">
      <c r="B231" s="99"/>
      <c r="C231" s="100" t="e">
        <v>#N/A</v>
      </c>
      <c r="D231" s="100" t="e">
        <v>#N/A</v>
      </c>
      <c r="E231" s="99"/>
      <c r="F231" s="102"/>
      <c r="G231" s="102"/>
      <c r="H231" s="102"/>
      <c r="I231" s="101"/>
      <c r="J231" s="101"/>
      <c r="K231" s="101"/>
      <c r="L231" s="101"/>
      <c r="M231" s="101"/>
      <c r="N231" s="101"/>
      <c r="O231" s="99"/>
      <c r="P231" s="99"/>
      <c r="Q231" s="15" t="e">
        <v>#N/A</v>
      </c>
      <c r="R231" s="15" t="e">
        <v>#N/A</v>
      </c>
      <c r="S231" s="15"/>
      <c r="T231" s="103"/>
      <c r="U231" s="15"/>
      <c r="V231" s="15"/>
      <c r="W231" s="15"/>
      <c r="X231" s="99"/>
      <c r="Y231" s="71">
        <f ca="1">Table25[[#This Row],[End Date]]+2-TODAY()</f>
        <v>-45530</v>
      </c>
      <c r="Z231" s="15">
        <f>IF(ISBLANK(Table25[[#This Row],[Roster Received By]]),1,0)</f>
        <v>1</v>
      </c>
      <c r="AA231" s="15">
        <f ca="1">IF(Table25[[#This Row],[Start Date]]&gt;TODAY(),1,)</f>
        <v>0</v>
      </c>
    </row>
    <row r="232" spans="1:27" s="62" customFormat="1" hidden="1" x14ac:dyDescent="0.25">
      <c r="B232" s="99"/>
      <c r="C232" s="100" t="e">
        <v>#N/A</v>
      </c>
      <c r="D232" s="100" t="e">
        <v>#N/A</v>
      </c>
      <c r="E232" s="99"/>
      <c r="F232" s="102"/>
      <c r="G232" s="102"/>
      <c r="H232" s="102"/>
      <c r="I232" s="101"/>
      <c r="J232" s="101"/>
      <c r="K232" s="101"/>
      <c r="L232" s="101"/>
      <c r="M232" s="101"/>
      <c r="N232" s="101"/>
      <c r="O232" s="99"/>
      <c r="P232" s="99"/>
      <c r="Q232" s="15" t="e">
        <v>#N/A</v>
      </c>
      <c r="R232" s="15" t="e">
        <v>#N/A</v>
      </c>
      <c r="S232" s="15"/>
      <c r="T232" s="103"/>
      <c r="U232" s="15"/>
      <c r="V232" s="15"/>
      <c r="W232" s="15"/>
      <c r="X232" s="99"/>
      <c r="Y232" s="71">
        <f ca="1">Table25[[#This Row],[End Date]]+2-TODAY()</f>
        <v>-45530</v>
      </c>
      <c r="Z232" s="15">
        <f>IF(ISBLANK(Table25[[#This Row],[Roster Received By]]),1,0)</f>
        <v>1</v>
      </c>
      <c r="AA232" s="15">
        <f ca="1">IF(Table25[[#This Row],[Start Date]]&gt;TODAY(),1,)</f>
        <v>0</v>
      </c>
    </row>
    <row r="233" spans="1:27" s="62" customFormat="1" hidden="1" x14ac:dyDescent="0.25">
      <c r="B233" s="99"/>
      <c r="C233" s="100" t="e">
        <v>#N/A</v>
      </c>
      <c r="D233" s="100" t="e">
        <v>#N/A</v>
      </c>
      <c r="E233" s="99"/>
      <c r="F233" s="102"/>
      <c r="G233" s="102"/>
      <c r="H233" s="102"/>
      <c r="I233" s="101"/>
      <c r="J233" s="101"/>
      <c r="K233" s="101"/>
      <c r="L233" s="101"/>
      <c r="M233" s="101"/>
      <c r="N233" s="101"/>
      <c r="O233" s="99"/>
      <c r="P233" s="99"/>
      <c r="Q233" s="15" t="e">
        <v>#N/A</v>
      </c>
      <c r="R233" s="15" t="e">
        <v>#N/A</v>
      </c>
      <c r="S233" s="15"/>
      <c r="T233" s="103"/>
      <c r="U233" s="15"/>
      <c r="V233" s="15"/>
      <c r="W233" s="15"/>
      <c r="X233" s="99"/>
      <c r="Y233" s="71">
        <f ca="1">Table25[[#This Row],[End Date]]+2-TODAY()</f>
        <v>-45530</v>
      </c>
      <c r="Z233" s="15">
        <f>IF(ISBLANK(Table25[[#This Row],[Roster Received By]]),1,0)</f>
        <v>1</v>
      </c>
      <c r="AA233" s="15">
        <f ca="1">IF(Table25[[#This Row],[Start Date]]&gt;TODAY(),1,)</f>
        <v>0</v>
      </c>
    </row>
    <row r="234" spans="1:27" s="62" customFormat="1" hidden="1" x14ac:dyDescent="0.25">
      <c r="B234" s="99"/>
      <c r="C234" s="100" t="e">
        <v>#N/A</v>
      </c>
      <c r="D234" s="100" t="e">
        <v>#N/A</v>
      </c>
      <c r="E234" s="99"/>
      <c r="F234" s="102"/>
      <c r="G234" s="102"/>
      <c r="H234" s="102"/>
      <c r="I234" s="101"/>
      <c r="J234" s="101"/>
      <c r="K234" s="101"/>
      <c r="L234" s="101"/>
      <c r="M234" s="101"/>
      <c r="N234" s="101"/>
      <c r="O234" s="99"/>
      <c r="P234" s="99"/>
      <c r="Q234" s="15" t="e">
        <v>#N/A</v>
      </c>
      <c r="R234" s="15" t="e">
        <v>#N/A</v>
      </c>
      <c r="S234" s="15"/>
      <c r="T234" s="103"/>
      <c r="U234" s="15"/>
      <c r="V234" s="15"/>
      <c r="W234" s="15"/>
      <c r="X234" s="99"/>
      <c r="Y234" s="71">
        <f ca="1">Table25[[#This Row],[End Date]]+2-TODAY()</f>
        <v>-45530</v>
      </c>
      <c r="Z234" s="15">
        <f>IF(ISBLANK(Table25[[#This Row],[Roster Received By]]),1,0)</f>
        <v>1</v>
      </c>
      <c r="AA234" s="15">
        <f ca="1">IF(Table25[[#This Row],[Start Date]]&gt;TODAY(),1,)</f>
        <v>0</v>
      </c>
    </row>
    <row r="235" spans="1:27" s="62" customFormat="1" hidden="1" x14ac:dyDescent="0.25">
      <c r="B235" s="99"/>
      <c r="C235" s="100" t="e">
        <v>#N/A</v>
      </c>
      <c r="D235" s="100" t="e">
        <v>#N/A</v>
      </c>
      <c r="E235" s="99"/>
      <c r="F235" s="102"/>
      <c r="G235" s="102"/>
      <c r="H235" s="102"/>
      <c r="I235" s="101"/>
      <c r="J235" s="101"/>
      <c r="K235" s="101"/>
      <c r="L235" s="101"/>
      <c r="M235" s="101"/>
      <c r="N235" s="101"/>
      <c r="O235" s="99"/>
      <c r="P235" s="99"/>
      <c r="Q235" s="15" t="e">
        <v>#N/A</v>
      </c>
      <c r="R235" s="15" t="e">
        <v>#N/A</v>
      </c>
      <c r="S235" s="15"/>
      <c r="T235" s="103"/>
      <c r="U235" s="15"/>
      <c r="V235" s="15"/>
      <c r="W235" s="15"/>
      <c r="X235" s="99"/>
      <c r="Y235" s="71">
        <f ca="1">Table25[[#This Row],[End Date]]+2-TODAY()</f>
        <v>-45530</v>
      </c>
      <c r="Z235" s="15">
        <f>IF(ISBLANK(Table25[[#This Row],[Roster Received By]]),1,0)</f>
        <v>1</v>
      </c>
      <c r="AA235" s="15">
        <f ca="1">IF(Table25[[#This Row],[Start Date]]&gt;TODAY(),1,)</f>
        <v>0</v>
      </c>
    </row>
    <row r="236" spans="1:27" s="62" customFormat="1" hidden="1" x14ac:dyDescent="0.25">
      <c r="B236" s="99"/>
      <c r="C236" s="100" t="e">
        <v>#N/A</v>
      </c>
      <c r="D236" s="100" t="e">
        <v>#N/A</v>
      </c>
      <c r="E236" s="99"/>
      <c r="F236" s="102"/>
      <c r="G236" s="102"/>
      <c r="H236" s="108"/>
      <c r="I236" s="105"/>
      <c r="J236" s="102"/>
      <c r="K236" s="102"/>
      <c r="L236" s="102"/>
      <c r="M236" s="102"/>
      <c r="N236" s="102"/>
      <c r="O236" s="99"/>
      <c r="P236" s="99"/>
      <c r="Q236" s="15" t="e">
        <v>#N/A</v>
      </c>
      <c r="R236" s="15" t="e">
        <v>#N/A</v>
      </c>
      <c r="S236" s="103"/>
      <c r="T236" s="103"/>
      <c r="U236" s="15"/>
      <c r="V236" s="15"/>
      <c r="W236" s="15"/>
      <c r="X236" s="99"/>
      <c r="Y236" s="71">
        <f ca="1">Table25[[#This Row],[End Date]]+2-TODAY()</f>
        <v>-45530</v>
      </c>
      <c r="Z236" s="15">
        <f>IF(ISBLANK(Table25[[#This Row],[Roster Received By]]),1,0)</f>
        <v>1</v>
      </c>
      <c r="AA236" s="15">
        <f ca="1">IF(Table25[[#This Row],[Start Date]]&gt;TODAY(),1,)</f>
        <v>0</v>
      </c>
    </row>
    <row r="237" spans="1:27" s="62" customFormat="1" hidden="1" x14ac:dyDescent="0.25">
      <c r="B237" s="116"/>
      <c r="C237" s="100" t="e">
        <v>#N/A</v>
      </c>
      <c r="D237" s="100" t="e">
        <v>#N/A</v>
      </c>
      <c r="E237" s="99"/>
      <c r="F237" s="102"/>
      <c r="G237" s="102"/>
      <c r="H237" s="102"/>
      <c r="I237" s="101"/>
      <c r="J237" s="101"/>
      <c r="K237" s="101"/>
      <c r="L237" s="101"/>
      <c r="M237" s="101"/>
      <c r="N237" s="101"/>
      <c r="O237" s="99"/>
      <c r="P237" s="99"/>
      <c r="Q237" s="15" t="e">
        <v>#N/A</v>
      </c>
      <c r="R237" s="15" t="e">
        <v>#N/A</v>
      </c>
      <c r="S237" s="15"/>
      <c r="T237" s="103"/>
      <c r="U237" s="15"/>
      <c r="V237" s="15"/>
      <c r="W237" s="15"/>
      <c r="X237" s="99"/>
      <c r="Y237" s="71">
        <f ca="1">Table25[[#This Row],[End Date]]+2-TODAY()</f>
        <v>-45530</v>
      </c>
      <c r="Z237" s="15">
        <f>IF(ISBLANK(Table25[[#This Row],[Roster Received By]]),1,0)</f>
        <v>1</v>
      </c>
      <c r="AA237" s="15">
        <f ca="1">IF(Table25[[#This Row],[Start Date]]&gt;TODAY(),1,)</f>
        <v>0</v>
      </c>
    </row>
    <row r="238" spans="1:27" s="62" customFormat="1" hidden="1" x14ac:dyDescent="0.25">
      <c r="B238" s="99"/>
      <c r="C238" s="100" t="e">
        <v>#N/A</v>
      </c>
      <c r="D238" s="100" t="e">
        <v>#N/A</v>
      </c>
      <c r="E238" s="99"/>
      <c r="F238" s="102"/>
      <c r="G238" s="102"/>
      <c r="H238" s="105"/>
      <c r="I238" s="105"/>
      <c r="J238" s="102"/>
      <c r="K238" s="102"/>
      <c r="L238" s="102"/>
      <c r="M238" s="102"/>
      <c r="N238" s="102"/>
      <c r="O238" s="99"/>
      <c r="P238" s="99"/>
      <c r="Q238" s="15" t="e">
        <v>#N/A</v>
      </c>
      <c r="R238" s="15" t="e">
        <v>#N/A</v>
      </c>
      <c r="S238" s="15"/>
      <c r="T238" s="103"/>
      <c r="U238" s="15"/>
      <c r="V238" s="15"/>
      <c r="W238" s="104"/>
      <c r="X238" s="99"/>
      <c r="Y238" s="71">
        <f ca="1">Table25[[#This Row],[End Date]]+2-TODAY()</f>
        <v>-45530</v>
      </c>
      <c r="Z238" s="15">
        <f>IF(ISBLANK(Table25[[#This Row],[Roster Received By]]),1,0)</f>
        <v>1</v>
      </c>
      <c r="AA238" s="15">
        <f ca="1">IF(Table25[[#This Row],[Start Date]]&gt;TODAY(),1,)</f>
        <v>0</v>
      </c>
    </row>
    <row r="239" spans="1:27" s="62" customFormat="1" hidden="1" x14ac:dyDescent="0.25">
      <c r="B239" s="116"/>
      <c r="C239" s="100" t="e">
        <v>#N/A</v>
      </c>
      <c r="D239" s="100" t="e">
        <v>#N/A</v>
      </c>
      <c r="E239" s="99"/>
      <c r="F239" s="102"/>
      <c r="G239" s="102"/>
      <c r="H239" s="105"/>
      <c r="I239" s="105"/>
      <c r="J239" s="105"/>
      <c r="K239" s="105"/>
      <c r="L239" s="105"/>
      <c r="M239" s="105"/>
      <c r="N239" s="102"/>
      <c r="O239" s="99"/>
      <c r="P239" s="99"/>
      <c r="Q239" s="15" t="e">
        <v>#N/A</v>
      </c>
      <c r="R239" s="15" t="e">
        <v>#N/A</v>
      </c>
      <c r="S239" s="15"/>
      <c r="T239" s="103"/>
      <c r="U239" s="15"/>
      <c r="V239" s="15"/>
      <c r="W239" s="15"/>
      <c r="X239" s="99"/>
      <c r="Y239" s="71">
        <f ca="1">Table25[[#This Row],[End Date]]+2-TODAY()</f>
        <v>-45530</v>
      </c>
      <c r="Z239" s="15">
        <f>IF(ISBLANK(Table25[[#This Row],[Roster Received By]]),1,0)</f>
        <v>1</v>
      </c>
      <c r="AA239" s="15">
        <f ca="1">IF(Table25[[#This Row],[Start Date]]&gt;TODAY(),1,)</f>
        <v>0</v>
      </c>
    </row>
    <row r="240" spans="1:27" s="62" customFormat="1" hidden="1" x14ac:dyDescent="0.25">
      <c r="B240" s="116"/>
      <c r="C240" s="100" t="e">
        <v>#N/A</v>
      </c>
      <c r="D240" s="100" t="e">
        <v>#N/A</v>
      </c>
      <c r="E240" s="99"/>
      <c r="F240" s="102"/>
      <c r="G240" s="102"/>
      <c r="H240" s="105"/>
      <c r="I240" s="105"/>
      <c r="J240" s="102"/>
      <c r="K240" s="102"/>
      <c r="L240" s="102"/>
      <c r="M240" s="102"/>
      <c r="N240" s="102"/>
      <c r="O240" s="99"/>
      <c r="P240" s="99"/>
      <c r="Q240" s="15" t="e">
        <v>#N/A</v>
      </c>
      <c r="R240" s="15" t="e">
        <v>#N/A</v>
      </c>
      <c r="S240" s="15"/>
      <c r="T240" s="103"/>
      <c r="U240" s="15"/>
      <c r="V240" s="15"/>
      <c r="W240" s="15"/>
      <c r="X240" s="99"/>
      <c r="Y240" s="71">
        <f ca="1">Table25[[#This Row],[End Date]]+2-TODAY()</f>
        <v>-45530</v>
      </c>
      <c r="Z240" s="15">
        <f>IF(ISBLANK(Table25[[#This Row],[Roster Received By]]),1,0)</f>
        <v>1</v>
      </c>
      <c r="AA240" s="15">
        <f ca="1">IF(Table25[[#This Row],[Start Date]]&gt;TODAY(),1,)</f>
        <v>0</v>
      </c>
    </row>
    <row r="241" spans="1:27" s="62" customFormat="1" hidden="1" x14ac:dyDescent="0.25">
      <c r="B241" s="116"/>
      <c r="C241" s="100" t="e">
        <v>#N/A</v>
      </c>
      <c r="D241" s="100" t="e">
        <v>#N/A</v>
      </c>
      <c r="E241" s="99"/>
      <c r="F241" s="102"/>
      <c r="G241" s="102"/>
      <c r="H241" s="102"/>
      <c r="I241" s="101"/>
      <c r="J241" s="101"/>
      <c r="K241" s="101"/>
      <c r="L241" s="101"/>
      <c r="M241" s="101"/>
      <c r="N241" s="101"/>
      <c r="O241" s="99"/>
      <c r="P241" s="99"/>
      <c r="Q241" s="15" t="e">
        <v>#N/A</v>
      </c>
      <c r="R241" s="15" t="e">
        <v>#N/A</v>
      </c>
      <c r="S241" s="15"/>
      <c r="T241" s="103"/>
      <c r="U241" s="15"/>
      <c r="V241" s="15"/>
      <c r="W241" s="15"/>
      <c r="X241" s="99"/>
      <c r="Y241" s="71">
        <f ca="1">Table25[[#This Row],[End Date]]+2-TODAY()</f>
        <v>-45530</v>
      </c>
      <c r="Z241" s="15">
        <f>IF(ISBLANK(Table25[[#This Row],[Roster Received By]]),1,0)</f>
        <v>1</v>
      </c>
      <c r="AA241" s="15">
        <f ca="1">IF(Table25[[#This Row],[Start Date]]&gt;TODAY(),1,)</f>
        <v>0</v>
      </c>
    </row>
    <row r="242" spans="1:27" s="62" customFormat="1" hidden="1" x14ac:dyDescent="0.25">
      <c r="B242" s="99"/>
      <c r="C242" s="100" t="e">
        <v>#N/A</v>
      </c>
      <c r="D242" s="100" t="e">
        <v>#N/A</v>
      </c>
      <c r="E242" s="99"/>
      <c r="F242" s="102"/>
      <c r="G242" s="102"/>
      <c r="H242" s="108"/>
      <c r="I242" s="108"/>
      <c r="J242" s="102"/>
      <c r="K242" s="102"/>
      <c r="L242" s="102"/>
      <c r="M242" s="102"/>
      <c r="N242" s="102"/>
      <c r="O242" s="99"/>
      <c r="P242" s="99"/>
      <c r="Q242" s="15" t="e">
        <v>#N/A</v>
      </c>
      <c r="R242" s="15" t="e">
        <v>#N/A</v>
      </c>
      <c r="S242" s="15"/>
      <c r="T242" s="103"/>
      <c r="U242" s="15"/>
      <c r="V242" s="15"/>
      <c r="W242" s="15"/>
      <c r="X242" s="99"/>
      <c r="Y242" s="71">
        <f ca="1">Table25[[#This Row],[End Date]]+2-TODAY()</f>
        <v>-45530</v>
      </c>
      <c r="Z242" s="15">
        <f>IF(ISBLANK(Table25[[#This Row],[Roster Received By]]),1,0)</f>
        <v>1</v>
      </c>
      <c r="AA242" s="15">
        <f ca="1">IF(Table25[[#This Row],[Start Date]]&gt;TODAY(),1,)</f>
        <v>0</v>
      </c>
    </row>
    <row r="243" spans="1:27" s="62" customFormat="1" hidden="1" x14ac:dyDescent="0.25">
      <c r="B243" s="99"/>
      <c r="C243" s="100" t="e">
        <v>#N/A</v>
      </c>
      <c r="D243" s="100" t="e">
        <v>#N/A</v>
      </c>
      <c r="E243" s="99"/>
      <c r="F243" s="102"/>
      <c r="G243" s="102"/>
      <c r="H243" s="102"/>
      <c r="I243" s="101"/>
      <c r="J243" s="101"/>
      <c r="K243" s="101"/>
      <c r="L243" s="101"/>
      <c r="M243" s="101"/>
      <c r="N243" s="101"/>
      <c r="O243" s="99"/>
      <c r="P243" s="99"/>
      <c r="Q243" s="15" t="e">
        <v>#N/A</v>
      </c>
      <c r="R243" s="15" t="e">
        <v>#N/A</v>
      </c>
      <c r="S243" s="15"/>
      <c r="T243" s="103"/>
      <c r="U243" s="15"/>
      <c r="V243" s="15"/>
      <c r="W243" s="15"/>
      <c r="X243" s="99"/>
      <c r="Y243" s="71">
        <f ca="1">Table25[[#This Row],[End Date]]+2-TODAY()</f>
        <v>-45530</v>
      </c>
      <c r="Z243" s="15">
        <f>IF(ISBLANK(Table25[[#This Row],[Roster Received By]]),1,0)</f>
        <v>1</v>
      </c>
      <c r="AA243" s="15">
        <f ca="1">IF(Table25[[#This Row],[Start Date]]&gt;TODAY(),1,)</f>
        <v>0</v>
      </c>
    </row>
    <row r="244" spans="1:27" s="62" customFormat="1" hidden="1" x14ac:dyDescent="0.25">
      <c r="B244" s="126"/>
      <c r="C244" s="100" t="e">
        <v>#N/A</v>
      </c>
      <c r="D244" s="100" t="e">
        <v>#N/A</v>
      </c>
      <c r="E244" s="99"/>
      <c r="F244" s="102"/>
      <c r="G244" s="102"/>
      <c r="H244" s="102"/>
      <c r="I244" s="101"/>
      <c r="J244" s="101"/>
      <c r="K244" s="101"/>
      <c r="L244" s="101"/>
      <c r="M244" s="101"/>
      <c r="N244" s="101"/>
      <c r="O244" s="99"/>
      <c r="P244" s="99"/>
      <c r="Q244" s="15" t="e">
        <v>#N/A</v>
      </c>
      <c r="R244" s="15" t="e">
        <v>#N/A</v>
      </c>
      <c r="S244" s="15"/>
      <c r="T244" s="103"/>
      <c r="U244" s="15"/>
      <c r="V244" s="15"/>
      <c r="W244" s="100"/>
      <c r="X244" s="99"/>
      <c r="Y244" s="71">
        <f ca="1">Table25[[#This Row],[End Date]]+2-TODAY()</f>
        <v>-45530</v>
      </c>
      <c r="Z244" s="15">
        <f>IF(ISBLANK(Table25[[#This Row],[Roster Received By]]),1,0)</f>
        <v>1</v>
      </c>
      <c r="AA244" s="15">
        <f ca="1">IF(Table25[[#This Row],[Start Date]]&gt;TODAY(),1,)</f>
        <v>0</v>
      </c>
    </row>
    <row r="245" spans="1:27" s="62" customFormat="1" hidden="1" x14ac:dyDescent="0.25">
      <c r="B245" s="116"/>
      <c r="C245" s="100" t="e">
        <v>#N/A</v>
      </c>
      <c r="D245" s="100" t="e">
        <v>#N/A</v>
      </c>
      <c r="E245" s="99"/>
      <c r="F245" s="102"/>
      <c r="G245" s="102"/>
      <c r="H245" s="102"/>
      <c r="I245" s="101"/>
      <c r="J245" s="101"/>
      <c r="K245" s="101"/>
      <c r="L245" s="101"/>
      <c r="M245" s="101"/>
      <c r="N245" s="101"/>
      <c r="O245" s="99"/>
      <c r="P245" s="99"/>
      <c r="Q245" s="15" t="e">
        <v>#N/A</v>
      </c>
      <c r="R245" s="15" t="e">
        <v>#N/A</v>
      </c>
      <c r="S245" s="15"/>
      <c r="T245" s="103"/>
      <c r="U245" s="15"/>
      <c r="V245" s="15"/>
      <c r="W245" s="15"/>
      <c r="X245" s="99"/>
      <c r="Y245" s="71">
        <f ca="1">Table25[[#This Row],[End Date]]+2-TODAY()</f>
        <v>-45530</v>
      </c>
      <c r="Z245" s="15">
        <f>IF(ISBLANK(Table25[[#This Row],[Roster Received By]]),1,0)</f>
        <v>1</v>
      </c>
      <c r="AA245" s="15">
        <f ca="1">IF(Table25[[#This Row],[Start Date]]&gt;TODAY(),1,)</f>
        <v>0</v>
      </c>
    </row>
    <row r="246" spans="1:27" s="62" customFormat="1" hidden="1" x14ac:dyDescent="0.25">
      <c r="B246" s="116"/>
      <c r="C246" s="100" t="e">
        <v>#N/A</v>
      </c>
      <c r="D246" s="100" t="e">
        <v>#N/A</v>
      </c>
      <c r="E246" s="99"/>
      <c r="F246" s="102"/>
      <c r="G246" s="102"/>
      <c r="H246" s="105"/>
      <c r="I246" s="105"/>
      <c r="J246" s="105"/>
      <c r="K246" s="105"/>
      <c r="L246" s="105"/>
      <c r="M246" s="105"/>
      <c r="N246" s="102"/>
      <c r="O246" s="99"/>
      <c r="P246" s="99"/>
      <c r="Q246" s="15" t="e">
        <v>#N/A</v>
      </c>
      <c r="R246" s="15" t="e">
        <v>#N/A</v>
      </c>
      <c r="S246" s="15"/>
      <c r="T246" s="103"/>
      <c r="U246" s="15"/>
      <c r="V246" s="15"/>
      <c r="W246" s="15"/>
      <c r="X246" s="99"/>
      <c r="Y246" s="71">
        <f ca="1">Table25[[#This Row],[End Date]]+2-TODAY()</f>
        <v>-45530</v>
      </c>
      <c r="Z246" s="15">
        <f>IF(ISBLANK(Table25[[#This Row],[Roster Received By]]),1,0)</f>
        <v>1</v>
      </c>
      <c r="AA246" s="15">
        <f ca="1">IF(Table25[[#This Row],[Start Date]]&gt;TODAY(),1,)</f>
        <v>0</v>
      </c>
    </row>
    <row r="247" spans="1:27" s="62" customFormat="1" hidden="1" x14ac:dyDescent="0.25">
      <c r="B247" s="116"/>
      <c r="C247" s="100" t="e">
        <v>#N/A</v>
      </c>
      <c r="D247" s="100" t="e">
        <v>#N/A</v>
      </c>
      <c r="E247" s="116"/>
      <c r="F247" s="98"/>
      <c r="G247" s="110"/>
      <c r="H247" s="102"/>
      <c r="I247" s="101"/>
      <c r="J247" s="101"/>
      <c r="K247" s="101"/>
      <c r="L247" s="101"/>
      <c r="M247" s="101"/>
      <c r="N247" s="101"/>
      <c r="O247" s="99"/>
      <c r="P247" s="99"/>
      <c r="Q247" s="15" t="e">
        <v>#N/A</v>
      </c>
      <c r="R247" s="15" t="e">
        <v>#N/A</v>
      </c>
      <c r="S247" s="15"/>
      <c r="T247" s="103"/>
      <c r="U247" s="15"/>
      <c r="V247" s="15"/>
      <c r="W247" s="15"/>
      <c r="X247" s="99"/>
      <c r="Y247" s="71">
        <f ca="1">Table25[[#This Row],[End Date]]+2-TODAY()</f>
        <v>-45530</v>
      </c>
      <c r="Z247" s="15">
        <f>IF(ISBLANK(Table25[[#This Row],[Roster Received By]]),1,0)</f>
        <v>1</v>
      </c>
      <c r="AA247" s="15">
        <f ca="1">IF(Table25[[#This Row],[Start Date]]&gt;TODAY(),1,)</f>
        <v>0</v>
      </c>
    </row>
    <row r="248" spans="1:27" s="62" customFormat="1" hidden="1" x14ac:dyDescent="0.25">
      <c r="B248" s="99"/>
      <c r="C248" s="100" t="e">
        <v>#N/A</v>
      </c>
      <c r="D248" s="100" t="e">
        <v>#N/A</v>
      </c>
      <c r="E248" s="99"/>
      <c r="F248" s="102"/>
      <c r="G248" s="102"/>
      <c r="H248" s="105"/>
      <c r="I248" s="105"/>
      <c r="J248" s="102"/>
      <c r="K248" s="102"/>
      <c r="L248" s="102"/>
      <c r="M248" s="102"/>
      <c r="N248" s="102"/>
      <c r="O248" s="99"/>
      <c r="P248" s="99"/>
      <c r="Q248" s="15" t="e">
        <v>#N/A</v>
      </c>
      <c r="R248" s="15" t="e">
        <v>#N/A</v>
      </c>
      <c r="S248" s="15"/>
      <c r="T248" s="103"/>
      <c r="U248" s="15"/>
      <c r="V248" s="15"/>
      <c r="W248" s="15"/>
      <c r="X248" s="99"/>
      <c r="Y248" s="71">
        <f ca="1">Table25[[#This Row],[End Date]]+2-TODAY()</f>
        <v>-45530</v>
      </c>
      <c r="Z248" s="15">
        <f>IF(ISBLANK(Table25[[#This Row],[Roster Received By]]),1,0)</f>
        <v>1</v>
      </c>
      <c r="AA248" s="15">
        <f ca="1">IF(Table25[[#This Row],[Start Date]]&gt;TODAY(),1,)</f>
        <v>0</v>
      </c>
    </row>
    <row r="249" spans="1:27" s="62" customFormat="1" hidden="1" x14ac:dyDescent="0.25">
      <c r="B249" s="116"/>
      <c r="C249" s="100" t="e">
        <v>#N/A</v>
      </c>
      <c r="D249" s="100" t="e">
        <v>#N/A</v>
      </c>
      <c r="E249" s="66"/>
      <c r="F249" s="98"/>
      <c r="G249" s="110"/>
      <c r="H249" s="105"/>
      <c r="I249" s="105"/>
      <c r="J249" s="102"/>
      <c r="K249" s="102"/>
      <c r="L249" s="102"/>
      <c r="M249" s="102"/>
      <c r="N249" s="102"/>
      <c r="O249" s="99"/>
      <c r="P249" s="99"/>
      <c r="Q249" s="15" t="e">
        <v>#N/A</v>
      </c>
      <c r="R249" s="15" t="e">
        <v>#N/A</v>
      </c>
      <c r="S249" s="15"/>
      <c r="T249" s="103"/>
      <c r="U249" s="15"/>
      <c r="V249" s="15"/>
      <c r="W249" s="100"/>
      <c r="X249" s="99"/>
      <c r="Y249" s="71">
        <f ca="1">Table25[[#This Row],[End Date]]+2-TODAY()</f>
        <v>-45530</v>
      </c>
      <c r="Z249" s="15">
        <f>IF(ISBLANK(Table25[[#This Row],[Roster Received By]]),1,0)</f>
        <v>1</v>
      </c>
      <c r="AA249" s="15">
        <f ca="1">IF(Table25[[#This Row],[Start Date]]&gt;TODAY(),1,)</f>
        <v>0</v>
      </c>
    </row>
    <row r="250" spans="1:27" s="62" customFormat="1" hidden="1" x14ac:dyDescent="0.25">
      <c r="B250" s="66"/>
      <c r="C250" s="100" t="e">
        <v>#N/A</v>
      </c>
      <c r="D250" s="100" t="e">
        <v>#N/A</v>
      </c>
      <c r="E250" s="130"/>
      <c r="F250" s="98"/>
      <c r="G250" s="98"/>
      <c r="H250" s="101"/>
      <c r="I250" s="101"/>
      <c r="J250" s="102"/>
      <c r="K250" s="102"/>
      <c r="L250" s="102"/>
      <c r="M250" s="102"/>
      <c r="N250" s="102"/>
      <c r="O250" s="99"/>
      <c r="P250" s="99"/>
      <c r="Q250" s="15" t="e">
        <v>#N/A</v>
      </c>
      <c r="R250" s="15" t="e">
        <v>#N/A</v>
      </c>
      <c r="S250" s="15"/>
      <c r="T250" s="103"/>
      <c r="U250" s="15"/>
      <c r="V250" s="15"/>
      <c r="W250" s="15"/>
      <c r="X250" s="99"/>
      <c r="Y250" s="71">
        <f ca="1">Table25[[#This Row],[End Date]]+2-TODAY()</f>
        <v>-45530</v>
      </c>
      <c r="Z250" s="15">
        <f>IF(ISBLANK(Table25[[#This Row],[Roster Received By]]),1,0)</f>
        <v>1</v>
      </c>
      <c r="AA250" s="15">
        <f ca="1">IF(Table25[[#This Row],[Start Date]]&gt;TODAY(),1,)</f>
        <v>0</v>
      </c>
    </row>
    <row r="251" spans="1:27" s="62" customFormat="1" hidden="1" x14ac:dyDescent="0.25">
      <c r="B251" s="116"/>
      <c r="C251" s="100" t="e">
        <v>#N/A</v>
      </c>
      <c r="D251" s="100" t="e">
        <v>#N/A</v>
      </c>
      <c r="E251" s="116"/>
      <c r="F251" s="110"/>
      <c r="G251" s="110"/>
      <c r="H251" s="102"/>
      <c r="I251" s="101"/>
      <c r="J251" s="101"/>
      <c r="K251" s="101"/>
      <c r="L251" s="101"/>
      <c r="M251" s="101"/>
      <c r="N251" s="101"/>
      <c r="O251" s="99"/>
      <c r="P251" s="99"/>
      <c r="Q251" s="15" t="e">
        <v>#N/A</v>
      </c>
      <c r="R251" s="15" t="e">
        <v>#N/A</v>
      </c>
      <c r="S251" s="15"/>
      <c r="T251" s="103"/>
      <c r="U251" s="15"/>
      <c r="V251" s="15"/>
      <c r="W251" s="15"/>
      <c r="X251" s="99"/>
      <c r="Y251" s="71">
        <f ca="1">Table25[[#This Row],[End Date]]+2-TODAY()</f>
        <v>-45530</v>
      </c>
      <c r="Z251" s="15">
        <f>IF(ISBLANK(Table25[[#This Row],[Roster Received By]]),1,0)</f>
        <v>1</v>
      </c>
      <c r="AA251" s="15">
        <f ca="1">IF(Table25[[#This Row],[Start Date]]&gt;TODAY(),1,)</f>
        <v>0</v>
      </c>
    </row>
    <row r="252" spans="1:27" s="62" customFormat="1" hidden="1" x14ac:dyDescent="0.25">
      <c r="B252" s="116"/>
      <c r="C252" s="100" t="e">
        <v>#N/A</v>
      </c>
      <c r="D252" s="100" t="e">
        <v>#N/A</v>
      </c>
      <c r="E252" s="116"/>
      <c r="F252" s="110"/>
      <c r="G252" s="110"/>
      <c r="H252" s="102"/>
      <c r="I252" s="101"/>
      <c r="J252" s="101"/>
      <c r="K252" s="101"/>
      <c r="L252" s="101"/>
      <c r="M252" s="101"/>
      <c r="N252" s="101"/>
      <c r="O252" s="99"/>
      <c r="P252" s="99"/>
      <c r="Q252" s="15" t="e">
        <v>#N/A</v>
      </c>
      <c r="R252" s="15" t="e">
        <v>#N/A</v>
      </c>
      <c r="S252" s="15"/>
      <c r="T252" s="103"/>
      <c r="U252" s="15"/>
      <c r="V252" s="15"/>
      <c r="W252" s="100"/>
      <c r="X252" s="99"/>
      <c r="Y252" s="71">
        <f ca="1">Table25[[#This Row],[End Date]]+2-TODAY()</f>
        <v>-45530</v>
      </c>
      <c r="Z252" s="15">
        <f>IF(ISBLANK(Table25[[#This Row],[Roster Received By]]),1,0)</f>
        <v>1</v>
      </c>
      <c r="AA252" s="15">
        <f ca="1">IF(Table25[[#This Row],[Start Date]]&gt;TODAY(),1,)</f>
        <v>0</v>
      </c>
    </row>
    <row r="253" spans="1:27" s="62" customFormat="1" hidden="1" x14ac:dyDescent="0.25">
      <c r="B253" s="116"/>
      <c r="C253" s="100" t="e">
        <v>#N/A</v>
      </c>
      <c r="D253" s="100" t="e">
        <v>#N/A</v>
      </c>
      <c r="E253" s="116"/>
      <c r="F253" s="110"/>
      <c r="G253" s="110"/>
      <c r="H253" s="102"/>
      <c r="I253" s="101"/>
      <c r="J253" s="101"/>
      <c r="K253" s="101"/>
      <c r="L253" s="101"/>
      <c r="M253" s="101"/>
      <c r="N253" s="101"/>
      <c r="O253" s="99"/>
      <c r="P253" s="99"/>
      <c r="Q253" s="15" t="e">
        <v>#N/A</v>
      </c>
      <c r="R253" s="15" t="e">
        <v>#N/A</v>
      </c>
      <c r="S253" s="15"/>
      <c r="T253" s="103"/>
      <c r="U253" s="15"/>
      <c r="V253" s="15"/>
      <c r="W253" s="15"/>
      <c r="X253" s="99"/>
      <c r="Y253" s="71">
        <f ca="1">Table25[[#This Row],[End Date]]+2-TODAY()</f>
        <v>-45530</v>
      </c>
      <c r="Z253" s="15">
        <f>IF(ISBLANK(Table25[[#This Row],[Roster Received By]]),1,0)</f>
        <v>1</v>
      </c>
      <c r="AA253" s="15">
        <f ca="1">IF(Table25[[#This Row],[Start Date]]&gt;TODAY(),1,)</f>
        <v>0</v>
      </c>
    </row>
    <row r="254" spans="1:27" s="62" customFormat="1" hidden="1" x14ac:dyDescent="0.25">
      <c r="A254" s="65"/>
      <c r="B254" s="116"/>
      <c r="C254" s="100" t="e">
        <v>#N/A</v>
      </c>
      <c r="D254" s="100" t="e">
        <v>#N/A</v>
      </c>
      <c r="E254" s="116"/>
      <c r="F254" s="110"/>
      <c r="G254" s="110"/>
      <c r="H254" s="102"/>
      <c r="I254" s="101"/>
      <c r="J254" s="101"/>
      <c r="K254" s="101"/>
      <c r="L254" s="101"/>
      <c r="M254" s="101"/>
      <c r="N254" s="101"/>
      <c r="O254" s="99"/>
      <c r="P254" s="99"/>
      <c r="Q254" s="15" t="e">
        <v>#N/A</v>
      </c>
      <c r="R254" s="15" t="e">
        <v>#N/A</v>
      </c>
      <c r="S254" s="15"/>
      <c r="T254" s="103"/>
      <c r="U254" s="15"/>
      <c r="V254" s="15"/>
      <c r="W254" s="15"/>
      <c r="X254" s="99"/>
      <c r="Y254" s="71">
        <f ca="1">Table25[[#This Row],[End Date]]+2-TODAY()</f>
        <v>-45530</v>
      </c>
      <c r="Z254" s="15">
        <f>IF(ISBLANK(Table25[[#This Row],[Roster Received By]]),1,0)</f>
        <v>1</v>
      </c>
      <c r="AA254" s="15">
        <f ca="1">IF(Table25[[#This Row],[Start Date]]&gt;TODAY(),1,)</f>
        <v>0</v>
      </c>
    </row>
    <row r="255" spans="1:27" s="62" customFormat="1" hidden="1" x14ac:dyDescent="0.25">
      <c r="B255" s="116"/>
      <c r="C255" s="100" t="e">
        <v>#N/A</v>
      </c>
      <c r="D255" s="100" t="e">
        <v>#N/A</v>
      </c>
      <c r="E255" s="116"/>
      <c r="F255" s="110"/>
      <c r="G255" s="110"/>
      <c r="H255" s="108"/>
      <c r="I255" s="108"/>
      <c r="J255" s="102"/>
      <c r="K255" s="102"/>
      <c r="L255" s="102"/>
      <c r="M255" s="102"/>
      <c r="N255" s="102"/>
      <c r="O255" s="99"/>
      <c r="P255" s="99"/>
      <c r="Q255" s="15" t="e">
        <v>#N/A</v>
      </c>
      <c r="R255" s="15" t="e">
        <v>#N/A</v>
      </c>
      <c r="S255" s="15"/>
      <c r="T255" s="103"/>
      <c r="U255" s="15"/>
      <c r="V255" s="15"/>
      <c r="W255" s="15"/>
      <c r="X255" s="99"/>
      <c r="Y255" s="71">
        <f ca="1">Table25[[#This Row],[End Date]]+2-TODAY()</f>
        <v>-45530</v>
      </c>
      <c r="Z255" s="15">
        <f>IF(ISBLANK(Table25[[#This Row],[Roster Received By]]),1,0)</f>
        <v>1</v>
      </c>
      <c r="AA255" s="15">
        <f ca="1">IF(Table25[[#This Row],[Start Date]]&gt;TODAY(),1,)</f>
        <v>0</v>
      </c>
    </row>
    <row r="256" spans="1:27" s="62" customFormat="1" hidden="1" x14ac:dyDescent="0.25">
      <c r="B256" s="116"/>
      <c r="C256" s="100" t="e">
        <v>#N/A</v>
      </c>
      <c r="D256" s="100" t="e">
        <v>#N/A</v>
      </c>
      <c r="E256" s="116"/>
      <c r="F256" s="110"/>
      <c r="G256" s="110"/>
      <c r="H256" s="101"/>
      <c r="I256" s="105"/>
      <c r="J256" s="102"/>
      <c r="K256" s="102"/>
      <c r="L256" s="102"/>
      <c r="M256" s="102"/>
      <c r="N256" s="102"/>
      <c r="O256" s="99"/>
      <c r="P256" s="99"/>
      <c r="Q256" s="15" t="e">
        <v>#N/A</v>
      </c>
      <c r="R256" s="15" t="e">
        <v>#N/A</v>
      </c>
      <c r="S256" s="103"/>
      <c r="T256" s="103"/>
      <c r="U256" s="15"/>
      <c r="V256" s="15"/>
      <c r="W256" s="15"/>
      <c r="X256" s="99"/>
      <c r="Y256" s="71">
        <f ca="1">Table25[[#This Row],[End Date]]+2-TODAY()</f>
        <v>-45530</v>
      </c>
      <c r="Z256" s="15">
        <f>IF(ISBLANK(Table25[[#This Row],[Roster Received By]]),1,0)</f>
        <v>1</v>
      </c>
      <c r="AA256" s="15">
        <f ca="1">IF(Table25[[#This Row],[Start Date]]&gt;TODAY(),1,)</f>
        <v>0</v>
      </c>
    </row>
    <row r="257" spans="1:27" s="62" customFormat="1" hidden="1" x14ac:dyDescent="0.25">
      <c r="B257" s="116"/>
      <c r="C257" s="100" t="e">
        <v>#N/A</v>
      </c>
      <c r="D257" s="100" t="e">
        <v>#N/A</v>
      </c>
      <c r="E257" s="116"/>
      <c r="F257" s="110"/>
      <c r="G257" s="110"/>
      <c r="H257" s="105"/>
      <c r="I257" s="105"/>
      <c r="J257" s="105"/>
      <c r="K257" s="105"/>
      <c r="L257" s="105"/>
      <c r="M257" s="105"/>
      <c r="N257" s="105"/>
      <c r="O257" s="99"/>
      <c r="P257" s="99"/>
      <c r="Q257" s="15" t="e">
        <v>#N/A</v>
      </c>
      <c r="R257" s="15" t="e">
        <v>#N/A</v>
      </c>
      <c r="S257" s="103"/>
      <c r="T257" s="103"/>
      <c r="U257" s="15"/>
      <c r="V257" s="15"/>
      <c r="W257" s="15"/>
      <c r="X257" s="99"/>
      <c r="Y257" s="71">
        <f ca="1">Table25[[#This Row],[End Date]]+2-TODAY()</f>
        <v>-45530</v>
      </c>
      <c r="Z257" s="15">
        <f>IF(ISBLANK(Table25[[#This Row],[Roster Received By]]),1,0)</f>
        <v>1</v>
      </c>
      <c r="AA257" s="15">
        <f ca="1">IF(Table25[[#This Row],[Start Date]]&gt;TODAY(),1,)</f>
        <v>0</v>
      </c>
    </row>
    <row r="258" spans="1:27" s="62" customFormat="1" hidden="1" x14ac:dyDescent="0.25">
      <c r="B258" s="116"/>
      <c r="C258" s="100" t="e">
        <v>#N/A</v>
      </c>
      <c r="D258" s="100" t="e">
        <v>#N/A</v>
      </c>
      <c r="E258" s="130"/>
      <c r="F258" s="98"/>
      <c r="G258" s="98"/>
      <c r="H258" s="101"/>
      <c r="I258" s="101"/>
      <c r="J258" s="102"/>
      <c r="K258" s="102"/>
      <c r="L258" s="102"/>
      <c r="M258" s="102"/>
      <c r="N258" s="102"/>
      <c r="O258" s="99"/>
      <c r="P258" s="99"/>
      <c r="Q258" s="15" t="e">
        <v>#N/A</v>
      </c>
      <c r="R258" s="15" t="e">
        <v>#N/A</v>
      </c>
      <c r="S258" s="15"/>
      <c r="T258" s="103"/>
      <c r="U258" s="15"/>
      <c r="V258" s="15"/>
      <c r="W258" s="103"/>
      <c r="X258" s="99"/>
      <c r="Y258" s="71">
        <f ca="1">Table25[[#This Row],[End Date]]+2-TODAY()</f>
        <v>-45530</v>
      </c>
      <c r="Z258" s="15">
        <f>IF(ISBLANK(Table25[[#This Row],[Roster Received By]]),1,0)</f>
        <v>1</v>
      </c>
      <c r="AA258" s="15">
        <f ca="1">IF(Table25[[#This Row],[Start Date]]&gt;TODAY(),1,)</f>
        <v>0</v>
      </c>
    </row>
    <row r="259" spans="1:27" s="62" customFormat="1" hidden="1" x14ac:dyDescent="0.25">
      <c r="B259" s="116"/>
      <c r="C259" s="100" t="e">
        <v>#N/A</v>
      </c>
      <c r="D259" s="100" t="e">
        <v>#N/A</v>
      </c>
      <c r="E259" s="99"/>
      <c r="F259" s="102"/>
      <c r="G259" s="102"/>
      <c r="H259" s="105"/>
      <c r="I259" s="105"/>
      <c r="J259" s="105"/>
      <c r="K259" s="105"/>
      <c r="L259" s="105"/>
      <c r="M259" s="105"/>
      <c r="N259" s="105"/>
      <c r="O259" s="99"/>
      <c r="P259" s="99"/>
      <c r="Q259" s="15" t="e">
        <v>#N/A</v>
      </c>
      <c r="R259" s="15" t="e">
        <v>#N/A</v>
      </c>
      <c r="S259" s="15"/>
      <c r="T259" s="103"/>
      <c r="U259" s="15"/>
      <c r="V259" s="15"/>
      <c r="W259" s="15"/>
      <c r="X259" s="99"/>
      <c r="Y259" s="71">
        <f ca="1">Table25[[#This Row],[End Date]]+2-TODAY()</f>
        <v>-45530</v>
      </c>
      <c r="Z259" s="15">
        <f>IF(ISBLANK(Table25[[#This Row],[Roster Received By]]),1,0)</f>
        <v>1</v>
      </c>
      <c r="AA259" s="15">
        <f ca="1">IF(Table25[[#This Row],[Start Date]]&gt;TODAY(),1,)</f>
        <v>0</v>
      </c>
    </row>
    <row r="260" spans="1:27" s="62" customFormat="1" hidden="1" x14ac:dyDescent="0.25">
      <c r="B260" s="117"/>
      <c r="C260" s="100" t="e">
        <v>#N/A</v>
      </c>
      <c r="D260" s="100" t="e">
        <v>#N/A</v>
      </c>
      <c r="E260" s="99"/>
      <c r="F260" s="102"/>
      <c r="G260" s="102"/>
      <c r="H260" s="102"/>
      <c r="I260" s="101"/>
      <c r="J260" s="101"/>
      <c r="K260" s="101"/>
      <c r="L260" s="101"/>
      <c r="M260" s="101"/>
      <c r="N260" s="101"/>
      <c r="O260" s="99"/>
      <c r="P260" s="99"/>
      <c r="Q260" s="15" t="e">
        <v>#N/A</v>
      </c>
      <c r="R260" s="15" t="e">
        <v>#N/A</v>
      </c>
      <c r="S260" s="15"/>
      <c r="T260" s="103"/>
      <c r="U260" s="15"/>
      <c r="V260" s="15"/>
      <c r="W260" s="15"/>
      <c r="X260" s="99"/>
      <c r="Y260" s="71">
        <f ca="1">Table25[[#This Row],[End Date]]+2-TODAY()</f>
        <v>-45530</v>
      </c>
      <c r="Z260" s="15">
        <f>IF(ISBLANK(Table25[[#This Row],[Roster Received By]]),1,0)</f>
        <v>1</v>
      </c>
      <c r="AA260" s="15">
        <f ca="1">IF(Table25[[#This Row],[Start Date]]&gt;TODAY(),1,)</f>
        <v>0</v>
      </c>
    </row>
    <row r="261" spans="1:27" s="62" customFormat="1" hidden="1" x14ac:dyDescent="0.25">
      <c r="B261" s="117"/>
      <c r="C261" s="100" t="e">
        <v>#N/A</v>
      </c>
      <c r="D261" s="100" t="e">
        <v>#N/A</v>
      </c>
      <c r="E261" s="99"/>
      <c r="F261" s="102"/>
      <c r="G261" s="102"/>
      <c r="H261" s="102"/>
      <c r="I261" s="101"/>
      <c r="J261" s="101"/>
      <c r="K261" s="101"/>
      <c r="L261" s="101"/>
      <c r="M261" s="101"/>
      <c r="N261" s="101"/>
      <c r="O261" s="99"/>
      <c r="P261" s="99"/>
      <c r="Q261" s="15" t="e">
        <v>#N/A</v>
      </c>
      <c r="R261" s="15" t="e">
        <v>#N/A</v>
      </c>
      <c r="S261" s="15"/>
      <c r="T261" s="103"/>
      <c r="U261" s="15"/>
      <c r="V261" s="15"/>
      <c r="W261" s="15"/>
      <c r="X261" s="99"/>
      <c r="Y261" s="71">
        <f ca="1">Table25[[#This Row],[End Date]]+2-TODAY()</f>
        <v>-45530</v>
      </c>
      <c r="Z261" s="15">
        <f>IF(ISBLANK(Table25[[#This Row],[Roster Received By]]),1,0)</f>
        <v>1</v>
      </c>
      <c r="AA261" s="15">
        <f ca="1">IF(Table25[[#This Row],[Start Date]]&gt;TODAY(),1,)</f>
        <v>0</v>
      </c>
    </row>
    <row r="262" spans="1:27" s="62" customFormat="1" hidden="1" x14ac:dyDescent="0.25">
      <c r="B262" s="116"/>
      <c r="C262" s="100" t="e">
        <v>#N/A</v>
      </c>
      <c r="D262" s="100" t="e">
        <v>#N/A</v>
      </c>
      <c r="E262" s="99"/>
      <c r="F262" s="102"/>
      <c r="G262" s="102"/>
      <c r="H262" s="102"/>
      <c r="I262" s="101"/>
      <c r="J262" s="101"/>
      <c r="K262" s="101"/>
      <c r="L262" s="101"/>
      <c r="M262" s="101"/>
      <c r="N262" s="101"/>
      <c r="O262" s="99"/>
      <c r="P262" s="99"/>
      <c r="Q262" s="15" t="e">
        <v>#N/A</v>
      </c>
      <c r="R262" s="15" t="e">
        <v>#N/A</v>
      </c>
      <c r="S262" s="15"/>
      <c r="T262" s="103"/>
      <c r="U262" s="15"/>
      <c r="V262" s="15"/>
      <c r="W262" s="15"/>
      <c r="X262" s="99"/>
      <c r="Y262" s="71">
        <f ca="1">Table25[[#This Row],[End Date]]+2-TODAY()</f>
        <v>-45530</v>
      </c>
      <c r="Z262" s="15">
        <f>IF(ISBLANK(Table25[[#This Row],[Roster Received By]]),1,0)</f>
        <v>1</v>
      </c>
      <c r="AA262" s="15">
        <f ca="1">IF(Table25[[#This Row],[Start Date]]&gt;TODAY(),1,)</f>
        <v>0</v>
      </c>
    </row>
    <row r="263" spans="1:27" s="62" customFormat="1" hidden="1" x14ac:dyDescent="0.25">
      <c r="B263" s="116"/>
      <c r="C263" s="100" t="e">
        <v>#N/A</v>
      </c>
      <c r="D263" s="100" t="e">
        <v>#N/A</v>
      </c>
      <c r="E263" s="99"/>
      <c r="F263" s="102"/>
      <c r="G263" s="102"/>
      <c r="H263" s="102"/>
      <c r="I263" s="101"/>
      <c r="J263" s="101"/>
      <c r="K263" s="101"/>
      <c r="L263" s="101"/>
      <c r="M263" s="101"/>
      <c r="N263" s="101"/>
      <c r="O263" s="99"/>
      <c r="P263" s="99"/>
      <c r="Q263" s="15" t="e">
        <v>#N/A</v>
      </c>
      <c r="R263" s="15" t="e">
        <v>#N/A</v>
      </c>
      <c r="S263" s="15"/>
      <c r="T263" s="103"/>
      <c r="U263" s="15"/>
      <c r="V263" s="15"/>
      <c r="W263" s="15"/>
      <c r="X263" s="99"/>
      <c r="Y263" s="71">
        <f ca="1">Table25[[#This Row],[End Date]]+2-TODAY()</f>
        <v>-45530</v>
      </c>
      <c r="Z263" s="15">
        <f>IF(ISBLANK(Table25[[#This Row],[Roster Received By]]),1,0)</f>
        <v>1</v>
      </c>
      <c r="AA263" s="15">
        <f ca="1">IF(Table25[[#This Row],[Start Date]]&gt;TODAY(),1,)</f>
        <v>0</v>
      </c>
    </row>
    <row r="264" spans="1:27" s="62" customFormat="1" hidden="1" x14ac:dyDescent="0.25">
      <c r="B264" s="116"/>
      <c r="C264" s="100" t="e">
        <v>#N/A</v>
      </c>
      <c r="D264" s="100" t="e">
        <v>#N/A</v>
      </c>
      <c r="E264" s="99"/>
      <c r="F264" s="102"/>
      <c r="G264" s="102"/>
      <c r="H264" s="102"/>
      <c r="I264" s="101"/>
      <c r="J264" s="101"/>
      <c r="K264" s="101"/>
      <c r="L264" s="101"/>
      <c r="M264" s="101"/>
      <c r="N264" s="101"/>
      <c r="O264" s="99"/>
      <c r="P264" s="99"/>
      <c r="Q264" s="15" t="e">
        <v>#N/A</v>
      </c>
      <c r="R264" s="15" t="e">
        <v>#N/A</v>
      </c>
      <c r="S264" s="15"/>
      <c r="T264" s="103"/>
      <c r="U264" s="15"/>
      <c r="V264" s="15"/>
      <c r="W264" s="15"/>
      <c r="X264" s="99"/>
      <c r="Y264" s="71">
        <f ca="1">Table25[[#This Row],[End Date]]+2-TODAY()</f>
        <v>-45530</v>
      </c>
      <c r="Z264" s="15">
        <f>IF(ISBLANK(Table25[[#This Row],[Roster Received By]]),1,0)</f>
        <v>1</v>
      </c>
      <c r="AA264" s="15">
        <f ca="1">IF(Table25[[#This Row],[Start Date]]&gt;TODAY(),1,)</f>
        <v>0</v>
      </c>
    </row>
    <row r="265" spans="1:27" s="62" customFormat="1" hidden="1" x14ac:dyDescent="0.25">
      <c r="B265" s="116"/>
      <c r="C265" s="100" t="e">
        <v>#N/A</v>
      </c>
      <c r="D265" s="100" t="e">
        <v>#N/A</v>
      </c>
      <c r="E265" s="65"/>
      <c r="F265" s="102"/>
      <c r="G265" s="102"/>
      <c r="H265" s="105"/>
      <c r="I265" s="105"/>
      <c r="J265" s="102"/>
      <c r="K265" s="102"/>
      <c r="L265" s="102"/>
      <c r="M265" s="102"/>
      <c r="N265" s="102"/>
      <c r="O265" s="99"/>
      <c r="P265" s="99"/>
      <c r="Q265" s="15" t="e">
        <v>#N/A</v>
      </c>
      <c r="R265" s="15" t="e">
        <v>#N/A</v>
      </c>
      <c r="S265" s="15"/>
      <c r="T265" s="103"/>
      <c r="U265" s="15"/>
      <c r="V265" s="15"/>
      <c r="W265" s="15"/>
      <c r="X265" s="99"/>
      <c r="Y265" s="71">
        <f ca="1">Table25[[#This Row],[End Date]]+2-TODAY()</f>
        <v>-45530</v>
      </c>
      <c r="Z265" s="15">
        <f>IF(ISBLANK(Table25[[#This Row],[Roster Received By]]),1,0)</f>
        <v>1</v>
      </c>
      <c r="AA265" s="15">
        <f ca="1">IF(Table25[[#This Row],[Start Date]]&gt;TODAY(),1,)</f>
        <v>0</v>
      </c>
    </row>
    <row r="266" spans="1:27" s="62" customFormat="1" hidden="1" x14ac:dyDescent="0.25">
      <c r="B266" s="116"/>
      <c r="C266" s="100" t="e">
        <v>#N/A</v>
      </c>
      <c r="D266" s="100" t="e">
        <v>#N/A</v>
      </c>
      <c r="E266" s="99"/>
      <c r="F266" s="102"/>
      <c r="G266" s="102"/>
      <c r="H266" s="102"/>
      <c r="I266" s="101"/>
      <c r="J266" s="101"/>
      <c r="K266" s="101"/>
      <c r="L266" s="101"/>
      <c r="M266" s="101"/>
      <c r="N266" s="101"/>
      <c r="O266" s="99"/>
      <c r="P266" s="99"/>
      <c r="Q266" s="15" t="e">
        <v>#N/A</v>
      </c>
      <c r="R266" s="15" t="e">
        <v>#N/A</v>
      </c>
      <c r="S266" s="15"/>
      <c r="T266" s="103"/>
      <c r="U266" s="15"/>
      <c r="V266" s="15"/>
      <c r="W266" s="15"/>
      <c r="X266" s="99"/>
      <c r="Y266" s="71">
        <f ca="1">Table25[[#This Row],[End Date]]+2-TODAY()</f>
        <v>-45530</v>
      </c>
      <c r="Z266" s="15">
        <f>IF(ISBLANK(Table25[[#This Row],[Roster Received By]]),1,0)</f>
        <v>1</v>
      </c>
      <c r="AA266" s="15">
        <f ca="1">IF(Table25[[#This Row],[Start Date]]&gt;TODAY(),1,)</f>
        <v>0</v>
      </c>
    </row>
    <row r="267" spans="1:27" s="106" customFormat="1" ht="15.75" hidden="1" customHeight="1" x14ac:dyDescent="0.25">
      <c r="A267" s="62"/>
      <c r="B267" s="116"/>
      <c r="C267" s="100" t="e">
        <v>#N/A</v>
      </c>
      <c r="D267" s="100" t="e">
        <v>#N/A</v>
      </c>
      <c r="E267" s="99"/>
      <c r="F267" s="102"/>
      <c r="G267" s="102"/>
      <c r="H267" s="102"/>
      <c r="I267" s="101"/>
      <c r="J267" s="101"/>
      <c r="K267" s="101"/>
      <c r="L267" s="101"/>
      <c r="M267" s="101"/>
      <c r="N267" s="101"/>
      <c r="O267" s="99"/>
      <c r="P267" s="99"/>
      <c r="Q267" s="15" t="e">
        <v>#N/A</v>
      </c>
      <c r="R267" s="15" t="e">
        <v>#N/A</v>
      </c>
      <c r="S267" s="15"/>
      <c r="T267" s="103"/>
      <c r="U267" s="15"/>
      <c r="V267" s="15"/>
      <c r="W267" s="100"/>
      <c r="X267" s="99"/>
      <c r="Y267" s="71">
        <f ca="1">Table25[[#This Row],[End Date]]+2-TODAY()</f>
        <v>-45530</v>
      </c>
      <c r="Z267" s="15">
        <f>IF(ISBLANK(Table25[[#This Row],[Roster Received By]]),1,0)</f>
        <v>1</v>
      </c>
      <c r="AA267" s="15">
        <f ca="1">IF(Table25[[#This Row],[Start Date]]&gt;TODAY(),1,)</f>
        <v>0</v>
      </c>
    </row>
    <row r="268" spans="1:27" s="106" customFormat="1" ht="14.45" hidden="1" customHeight="1" x14ac:dyDescent="0.25">
      <c r="A268" s="62"/>
      <c r="B268" s="116"/>
      <c r="C268" s="100" t="e">
        <v>#N/A</v>
      </c>
      <c r="D268" s="100" t="e">
        <v>#N/A</v>
      </c>
      <c r="E268" s="65"/>
      <c r="F268" s="102"/>
      <c r="G268" s="102"/>
      <c r="H268" s="108"/>
      <c r="I268" s="108"/>
      <c r="J268" s="102"/>
      <c r="K268" s="102"/>
      <c r="L268" s="102"/>
      <c r="M268" s="102"/>
      <c r="N268" s="102"/>
      <c r="O268" s="99"/>
      <c r="P268" s="99"/>
      <c r="Q268" s="15" t="e">
        <v>#N/A</v>
      </c>
      <c r="R268" s="15" t="e">
        <v>#N/A</v>
      </c>
      <c r="S268" s="15"/>
      <c r="T268" s="103"/>
      <c r="U268" s="15"/>
      <c r="V268" s="15"/>
      <c r="W268" s="15"/>
      <c r="X268" s="99"/>
      <c r="Y268" s="71">
        <f ca="1">Table25[[#This Row],[End Date]]+2-TODAY()</f>
        <v>-45530</v>
      </c>
      <c r="Z268" s="15">
        <f>IF(ISBLANK(Table25[[#This Row],[Roster Received By]]),1,0)</f>
        <v>1</v>
      </c>
      <c r="AA268" s="15">
        <f ca="1">IF(Table25[[#This Row],[Start Date]]&gt;TODAY(),1,)</f>
        <v>0</v>
      </c>
    </row>
    <row r="269" spans="1:27" s="106" customFormat="1" ht="15.75" hidden="1" customHeight="1" x14ac:dyDescent="0.25">
      <c r="A269" s="62"/>
      <c r="B269" s="116"/>
      <c r="C269" s="100" t="e">
        <v>#N/A</v>
      </c>
      <c r="D269" s="100" t="e">
        <v>#N/A</v>
      </c>
      <c r="E269" s="111"/>
      <c r="F269" s="67"/>
      <c r="G269" s="67"/>
      <c r="H269" s="108"/>
      <c r="I269" s="108"/>
      <c r="J269" s="102"/>
      <c r="K269" s="102"/>
      <c r="L269" s="102"/>
      <c r="M269" s="102"/>
      <c r="N269" s="102"/>
      <c r="O269" s="99"/>
      <c r="P269" s="99"/>
      <c r="Q269" s="15" t="e">
        <v>#N/A</v>
      </c>
      <c r="R269" s="15" t="e">
        <v>#N/A</v>
      </c>
      <c r="S269" s="15"/>
      <c r="T269" s="103"/>
      <c r="U269" s="15"/>
      <c r="V269" s="15"/>
      <c r="W269" s="15"/>
      <c r="X269" s="99"/>
      <c r="Y269" s="71">
        <f ca="1">Table25[[#This Row],[End Date]]+2-TODAY()</f>
        <v>-45530</v>
      </c>
      <c r="Z269" s="15">
        <f>IF(ISBLANK(Table25[[#This Row],[Roster Received By]]),1,0)</f>
        <v>1</v>
      </c>
      <c r="AA269" s="15">
        <f ca="1">IF(Table25[[#This Row],[Start Date]]&gt;TODAY(),1,)</f>
        <v>0</v>
      </c>
    </row>
    <row r="270" spans="1:27" s="106" customFormat="1" ht="15.75" hidden="1" customHeight="1" x14ac:dyDescent="0.25">
      <c r="A270" s="62"/>
      <c r="B270" s="116"/>
      <c r="C270" s="100" t="e">
        <v>#N/A</v>
      </c>
      <c r="D270" s="100" t="e">
        <v>#N/A</v>
      </c>
      <c r="E270" s="99"/>
      <c r="F270" s="102"/>
      <c r="G270" s="102"/>
      <c r="H270" s="105"/>
      <c r="I270" s="105"/>
      <c r="J270" s="105"/>
      <c r="K270" s="105"/>
      <c r="L270" s="105"/>
      <c r="M270" s="105"/>
      <c r="N270" s="102"/>
      <c r="O270" s="99"/>
      <c r="P270" s="99"/>
      <c r="Q270" s="15" t="e">
        <v>#N/A</v>
      </c>
      <c r="R270" s="15" t="e">
        <v>#N/A</v>
      </c>
      <c r="S270" s="15"/>
      <c r="T270" s="103"/>
      <c r="U270" s="15"/>
      <c r="V270" s="15"/>
      <c r="W270" s="15"/>
      <c r="X270" s="99"/>
      <c r="Y270" s="71">
        <f ca="1">Table25[[#This Row],[End Date]]+2-TODAY()</f>
        <v>-45530</v>
      </c>
      <c r="Z270" s="15">
        <f>IF(ISBLANK(Table25[[#This Row],[Roster Received By]]),1,0)</f>
        <v>1</v>
      </c>
      <c r="AA270" s="15">
        <f ca="1">IF(Table25[[#This Row],[Start Date]]&gt;TODAY(),1,)</f>
        <v>0</v>
      </c>
    </row>
    <row r="271" spans="1:27" s="106" customFormat="1" ht="15.75" hidden="1" customHeight="1" x14ac:dyDescent="0.25">
      <c r="A271" s="65"/>
      <c r="B271" s="116"/>
      <c r="C271" s="100" t="e">
        <v>#N/A</v>
      </c>
      <c r="D271" s="100" t="e">
        <v>#N/A</v>
      </c>
      <c r="E271" s="99"/>
      <c r="F271" s="102"/>
      <c r="G271" s="102"/>
      <c r="H271" s="108"/>
      <c r="I271" s="108"/>
      <c r="J271" s="102"/>
      <c r="K271" s="102"/>
      <c r="L271" s="102"/>
      <c r="M271" s="102"/>
      <c r="N271" s="102"/>
      <c r="O271" s="99"/>
      <c r="P271" s="99"/>
      <c r="Q271" s="15" t="e">
        <v>#N/A</v>
      </c>
      <c r="R271" s="15" t="e">
        <v>#N/A</v>
      </c>
      <c r="S271" s="15"/>
      <c r="T271" s="103"/>
      <c r="U271" s="15"/>
      <c r="V271" s="15"/>
      <c r="W271" s="15"/>
      <c r="X271" s="99"/>
      <c r="Y271" s="71">
        <f ca="1">Table25[[#This Row],[End Date]]+2-TODAY()</f>
        <v>-45530</v>
      </c>
      <c r="Z271" s="15">
        <f>IF(ISBLANK(Table25[[#This Row],[Roster Received By]]),1,0)</f>
        <v>1</v>
      </c>
      <c r="AA271" s="15">
        <f ca="1">IF(Table25[[#This Row],[Start Date]]&gt;TODAY(),1,)</f>
        <v>0</v>
      </c>
    </row>
    <row r="272" spans="1:27" s="106" customFormat="1" ht="15.75" hidden="1" customHeight="1" x14ac:dyDescent="0.25">
      <c r="A272" s="62"/>
      <c r="B272" s="116"/>
      <c r="C272" s="100" t="e">
        <v>#N/A</v>
      </c>
      <c r="D272" s="100" t="e">
        <v>#N/A</v>
      </c>
      <c r="E272" s="65"/>
      <c r="F272" s="102"/>
      <c r="G272" s="102"/>
      <c r="H272" s="105"/>
      <c r="I272" s="105"/>
      <c r="J272" s="102"/>
      <c r="K272" s="102"/>
      <c r="L272" s="102"/>
      <c r="M272" s="102"/>
      <c r="N272" s="102"/>
      <c r="O272" s="99"/>
      <c r="P272" s="99"/>
      <c r="Q272" s="15" t="e">
        <v>#N/A</v>
      </c>
      <c r="R272" s="15" t="e">
        <v>#N/A</v>
      </c>
      <c r="S272" s="15"/>
      <c r="T272" s="103"/>
      <c r="U272" s="15"/>
      <c r="V272" s="15"/>
      <c r="W272" s="15"/>
      <c r="X272" s="99"/>
      <c r="Y272" s="71">
        <f ca="1">Table25[[#This Row],[End Date]]+2-TODAY()</f>
        <v>-45530</v>
      </c>
      <c r="Z272" s="15">
        <f>IF(ISBLANK(Table25[[#This Row],[Roster Received By]]),1,0)</f>
        <v>1</v>
      </c>
      <c r="AA272" s="15">
        <f ca="1">IF(Table25[[#This Row],[Start Date]]&gt;TODAY(),1,)</f>
        <v>0</v>
      </c>
    </row>
    <row r="273" spans="1:27" s="106" customFormat="1" ht="15.75" hidden="1" customHeight="1" x14ac:dyDescent="0.25">
      <c r="A273" s="99"/>
      <c r="B273" s="116"/>
      <c r="C273" s="100" t="e">
        <v>#N/A</v>
      </c>
      <c r="D273" s="100" t="e">
        <v>#N/A</v>
      </c>
      <c r="E273" s="99"/>
      <c r="F273" s="102"/>
      <c r="G273" s="102"/>
      <c r="H273" s="105"/>
      <c r="I273" s="105"/>
      <c r="J273" s="102"/>
      <c r="K273" s="102"/>
      <c r="L273" s="102"/>
      <c r="M273" s="102"/>
      <c r="N273" s="102"/>
      <c r="O273" s="99"/>
      <c r="P273" s="99"/>
      <c r="Q273" s="15" t="e">
        <v>#N/A</v>
      </c>
      <c r="R273" s="15" t="e">
        <v>#N/A</v>
      </c>
      <c r="S273" s="15"/>
      <c r="T273" s="103"/>
      <c r="U273" s="15"/>
      <c r="V273" s="15"/>
      <c r="W273" s="15"/>
      <c r="X273" s="99"/>
      <c r="Y273" s="71">
        <f ca="1">Table25[[#This Row],[End Date]]+2-TODAY()</f>
        <v>-45530</v>
      </c>
      <c r="Z273" s="15">
        <f>IF(ISBLANK(Table25[[#This Row],[Roster Received By]]),1,0)</f>
        <v>1</v>
      </c>
      <c r="AA273" s="15">
        <f ca="1">IF(Table25[[#This Row],[Start Date]]&gt;TODAY(),1,)</f>
        <v>0</v>
      </c>
    </row>
    <row r="274" spans="1:27" s="106" customFormat="1" ht="15.75" hidden="1" customHeight="1" x14ac:dyDescent="0.25">
      <c r="A274" s="62"/>
      <c r="B274" s="116"/>
      <c r="C274" s="100" t="e">
        <v>#N/A</v>
      </c>
      <c r="D274" s="100" t="e">
        <v>#N/A</v>
      </c>
      <c r="E274" s="65"/>
      <c r="F274" s="102"/>
      <c r="G274" s="102"/>
      <c r="H274" s="105"/>
      <c r="I274" s="101"/>
      <c r="J274" s="101"/>
      <c r="K274" s="101"/>
      <c r="L274" s="101"/>
      <c r="M274" s="101"/>
      <c r="N274" s="101"/>
      <c r="O274" s="99"/>
      <c r="P274" s="99"/>
      <c r="Q274" s="15" t="e">
        <v>#N/A</v>
      </c>
      <c r="R274" s="15" t="e">
        <v>#N/A</v>
      </c>
      <c r="S274" s="15"/>
      <c r="T274" s="103"/>
      <c r="U274" s="15"/>
      <c r="V274" s="15"/>
      <c r="W274" s="15"/>
      <c r="X274" s="99"/>
      <c r="Y274" s="71">
        <f ca="1">Table25[[#This Row],[End Date]]+2-TODAY()</f>
        <v>-45530</v>
      </c>
      <c r="Z274" s="15">
        <f>IF(ISBLANK(Table25[[#This Row],[Roster Received By]]),1,0)</f>
        <v>1</v>
      </c>
      <c r="AA274" s="15">
        <f ca="1">IF(Table25[[#This Row],[Start Date]]&gt;TODAY(),1,)</f>
        <v>0</v>
      </c>
    </row>
    <row r="275" spans="1:27" s="106" customFormat="1" ht="15.75" hidden="1" customHeight="1" x14ac:dyDescent="0.25">
      <c r="A275" s="99"/>
      <c r="B275" s="116"/>
      <c r="C275" s="100" t="e">
        <v>#N/A</v>
      </c>
      <c r="D275" s="100" t="e">
        <v>#N/A</v>
      </c>
      <c r="E275" s="99"/>
      <c r="F275" s="102"/>
      <c r="G275" s="102"/>
      <c r="H275" s="105"/>
      <c r="I275" s="105"/>
      <c r="J275" s="102"/>
      <c r="K275" s="102"/>
      <c r="L275" s="102"/>
      <c r="M275" s="102"/>
      <c r="N275" s="102"/>
      <c r="O275" s="99"/>
      <c r="P275" s="99"/>
      <c r="Q275" s="15" t="e">
        <v>#N/A</v>
      </c>
      <c r="R275" s="15" t="e">
        <v>#N/A</v>
      </c>
      <c r="S275" s="15"/>
      <c r="T275" s="103"/>
      <c r="U275" s="15"/>
      <c r="V275" s="15"/>
      <c r="W275" s="100"/>
      <c r="X275" s="99"/>
      <c r="Y275" s="71">
        <f ca="1">Table25[[#This Row],[End Date]]+2-TODAY()</f>
        <v>-45530</v>
      </c>
      <c r="Z275" s="15">
        <f>IF(ISBLANK(Table25[[#This Row],[Roster Received By]]),1,0)</f>
        <v>1</v>
      </c>
      <c r="AA275" s="15">
        <f ca="1">IF(Table25[[#This Row],[Start Date]]&gt;TODAY(),1,)</f>
        <v>0</v>
      </c>
    </row>
    <row r="276" spans="1:27" s="106" customFormat="1" ht="15.75" hidden="1" customHeight="1" x14ac:dyDescent="0.25">
      <c r="A276" s="62"/>
      <c r="B276" s="116"/>
      <c r="C276" s="100" t="e">
        <v>#N/A</v>
      </c>
      <c r="D276" s="100" t="e">
        <v>#N/A</v>
      </c>
      <c r="E276" s="65"/>
      <c r="F276" s="67"/>
      <c r="G276" s="102"/>
      <c r="H276" s="105"/>
      <c r="I276" s="105"/>
      <c r="J276" s="102"/>
      <c r="K276" s="102"/>
      <c r="L276" s="102"/>
      <c r="M276" s="102"/>
      <c r="N276" s="102"/>
      <c r="O276" s="99"/>
      <c r="P276" s="99"/>
      <c r="Q276" s="15" t="e">
        <v>#N/A</v>
      </c>
      <c r="R276" s="15" t="e">
        <v>#N/A</v>
      </c>
      <c r="S276" s="15"/>
      <c r="T276" s="103"/>
      <c r="U276" s="15"/>
      <c r="V276" s="15"/>
      <c r="W276" s="15"/>
      <c r="X276" s="99"/>
      <c r="Y276" s="71">
        <f ca="1">Table25[[#This Row],[End Date]]+2-TODAY()</f>
        <v>-45530</v>
      </c>
      <c r="Z276" s="15">
        <f>IF(ISBLANK(Table25[[#This Row],[Roster Received By]]),1,0)</f>
        <v>1</v>
      </c>
      <c r="AA276" s="15">
        <f ca="1">IF(Table25[[#This Row],[Start Date]]&gt;TODAY(),1,)</f>
        <v>0</v>
      </c>
    </row>
    <row r="277" spans="1:27" s="106" customFormat="1" ht="15.75" hidden="1" customHeight="1" x14ac:dyDescent="0.25">
      <c r="A277" s="99"/>
      <c r="B277" s="116"/>
      <c r="C277" s="100" t="e">
        <v>#N/A</v>
      </c>
      <c r="D277" s="100" t="e">
        <v>#N/A</v>
      </c>
      <c r="E277" s="99"/>
      <c r="F277" s="102"/>
      <c r="G277" s="102"/>
      <c r="H277" s="102"/>
      <c r="I277" s="101"/>
      <c r="J277" s="101"/>
      <c r="K277" s="101"/>
      <c r="L277" s="101"/>
      <c r="M277" s="101"/>
      <c r="N277" s="101"/>
      <c r="O277" s="99"/>
      <c r="P277" s="99"/>
      <c r="Q277" s="15" t="e">
        <v>#N/A</v>
      </c>
      <c r="R277" s="15" t="e">
        <v>#N/A</v>
      </c>
      <c r="S277" s="15"/>
      <c r="T277" s="103"/>
      <c r="U277" s="15"/>
      <c r="V277" s="15"/>
      <c r="W277" s="15"/>
      <c r="X277" s="99"/>
      <c r="Y277" s="71">
        <f ca="1">Table25[[#This Row],[End Date]]+2-TODAY()</f>
        <v>-45530</v>
      </c>
      <c r="Z277" s="15">
        <f>IF(ISBLANK(Table25[[#This Row],[Roster Received By]]),1,0)</f>
        <v>1</v>
      </c>
      <c r="AA277" s="15">
        <f ca="1">IF(Table25[[#This Row],[Start Date]]&gt;TODAY(),1,)</f>
        <v>0</v>
      </c>
    </row>
    <row r="278" spans="1:27" s="106" customFormat="1" ht="15.75" hidden="1" customHeight="1" x14ac:dyDescent="0.25">
      <c r="A278" s="62"/>
      <c r="B278" s="117"/>
      <c r="C278" s="100" t="e">
        <v>#N/A</v>
      </c>
      <c r="D278" s="100" t="e">
        <v>#N/A</v>
      </c>
      <c r="E278" s="99"/>
      <c r="F278" s="102"/>
      <c r="G278" s="102"/>
      <c r="H278" s="102"/>
      <c r="I278" s="101"/>
      <c r="J278" s="101"/>
      <c r="K278" s="101"/>
      <c r="L278" s="101"/>
      <c r="M278" s="101"/>
      <c r="N278" s="101"/>
      <c r="O278" s="99"/>
      <c r="P278" s="99"/>
      <c r="Q278" s="15" t="e">
        <v>#N/A</v>
      </c>
      <c r="R278" s="15" t="e">
        <v>#N/A</v>
      </c>
      <c r="S278" s="15"/>
      <c r="T278" s="103"/>
      <c r="U278" s="15"/>
      <c r="V278" s="15"/>
      <c r="W278" s="15"/>
      <c r="X278" s="99"/>
      <c r="Y278" s="71">
        <f ca="1">Table25[[#This Row],[End Date]]+2-TODAY()</f>
        <v>-45530</v>
      </c>
      <c r="Z278" s="15">
        <f>IF(ISBLANK(Table25[[#This Row],[Roster Received By]]),1,0)</f>
        <v>1</v>
      </c>
      <c r="AA278" s="15">
        <f ca="1">IF(Table25[[#This Row],[Start Date]]&gt;TODAY(),1,)</f>
        <v>0</v>
      </c>
    </row>
    <row r="279" spans="1:27" s="106" customFormat="1" ht="15.75" hidden="1" customHeight="1" x14ac:dyDescent="0.25">
      <c r="A279" s="62"/>
      <c r="B279" s="117"/>
      <c r="C279" s="100" t="e">
        <v>#N/A</v>
      </c>
      <c r="D279" s="100" t="e">
        <v>#N/A</v>
      </c>
      <c r="E279" s="99"/>
      <c r="F279" s="102"/>
      <c r="G279" s="102"/>
      <c r="H279" s="102"/>
      <c r="I279" s="101"/>
      <c r="J279" s="101"/>
      <c r="K279" s="101"/>
      <c r="L279" s="101"/>
      <c r="M279" s="101"/>
      <c r="N279" s="101"/>
      <c r="O279" s="99"/>
      <c r="P279" s="99"/>
      <c r="Q279" s="15" t="e">
        <v>#N/A</v>
      </c>
      <c r="R279" s="15" t="e">
        <v>#N/A</v>
      </c>
      <c r="S279" s="15"/>
      <c r="T279" s="103"/>
      <c r="U279" s="15"/>
      <c r="V279" s="15"/>
      <c r="W279" s="107"/>
      <c r="X279" s="99"/>
      <c r="Y279" s="71">
        <f ca="1">Table25[[#This Row],[End Date]]+2-TODAY()</f>
        <v>-45530</v>
      </c>
      <c r="Z279" s="15">
        <f>IF(ISBLANK(Table25[[#This Row],[Roster Received By]]),1,0)</f>
        <v>1</v>
      </c>
      <c r="AA279" s="15">
        <f ca="1">IF(Table25[[#This Row],[Start Date]]&gt;TODAY(),1,)</f>
        <v>0</v>
      </c>
    </row>
    <row r="280" spans="1:27" s="106" customFormat="1" ht="15.75" hidden="1" customHeight="1" x14ac:dyDescent="0.25">
      <c r="A280" s="62"/>
      <c r="B280" s="117"/>
      <c r="C280" s="100" t="e">
        <v>#N/A</v>
      </c>
      <c r="D280" s="100" t="e">
        <v>#N/A</v>
      </c>
      <c r="E280" s="99"/>
      <c r="F280" s="102"/>
      <c r="G280" s="102"/>
      <c r="H280" s="105"/>
      <c r="I280" s="105"/>
      <c r="J280" s="105"/>
      <c r="K280" s="105"/>
      <c r="L280" s="105"/>
      <c r="M280" s="105"/>
      <c r="N280" s="102"/>
      <c r="O280" s="99"/>
      <c r="P280" s="99"/>
      <c r="Q280" s="15" t="e">
        <v>#N/A</v>
      </c>
      <c r="R280" s="15" t="e">
        <v>#N/A</v>
      </c>
      <c r="S280" s="15"/>
      <c r="T280" s="103"/>
      <c r="U280" s="15"/>
      <c r="V280" s="15"/>
      <c r="W280" s="15"/>
      <c r="X280" s="99"/>
      <c r="Y280" s="71">
        <f ca="1">Table25[[#This Row],[End Date]]+2-TODAY()</f>
        <v>-45530</v>
      </c>
      <c r="Z280" s="15">
        <f>IF(ISBLANK(Table25[[#This Row],[Roster Received By]]),1,0)</f>
        <v>1</v>
      </c>
      <c r="AA280" s="15">
        <f ca="1">IF(Table25[[#This Row],[Start Date]]&gt;TODAY(),1,)</f>
        <v>0</v>
      </c>
    </row>
    <row r="281" spans="1:27" s="62" customFormat="1" hidden="1" x14ac:dyDescent="0.25">
      <c r="B281" s="116"/>
      <c r="C281" s="100" t="e">
        <v>#N/A</v>
      </c>
      <c r="D281" s="100" t="e">
        <v>#N/A</v>
      </c>
      <c r="E281" s="99"/>
      <c r="F281" s="102"/>
      <c r="G281" s="102"/>
      <c r="H281" s="102"/>
      <c r="I281" s="101"/>
      <c r="J281" s="101"/>
      <c r="K281" s="101"/>
      <c r="L281" s="101"/>
      <c r="M281" s="101"/>
      <c r="N281" s="101"/>
      <c r="O281" s="99"/>
      <c r="P281" s="99"/>
      <c r="Q281" s="15" t="e">
        <v>#N/A</v>
      </c>
      <c r="R281" s="15" t="e">
        <v>#N/A</v>
      </c>
      <c r="S281" s="15"/>
      <c r="T281" s="103"/>
      <c r="U281" s="15"/>
      <c r="V281" s="15"/>
      <c r="W281" s="15"/>
      <c r="X281" s="99"/>
      <c r="Y281" s="71">
        <f ca="1">Table25[[#This Row],[End Date]]+2-TODAY()</f>
        <v>-45530</v>
      </c>
      <c r="Z281" s="15">
        <f>IF(ISBLANK(Table25[[#This Row],[Roster Received By]]),1,0)</f>
        <v>1</v>
      </c>
      <c r="AA281" s="15">
        <f ca="1">IF(Table25[[#This Row],[Start Date]]&gt;TODAY(),1,)</f>
        <v>0</v>
      </c>
    </row>
    <row r="282" spans="1:27" s="62" customFormat="1" hidden="1" x14ac:dyDescent="0.25">
      <c r="B282" s="116"/>
      <c r="C282" s="100" t="e">
        <v>#N/A</v>
      </c>
      <c r="D282" s="100" t="e">
        <v>#N/A</v>
      </c>
      <c r="E282" s="99"/>
      <c r="F282" s="102"/>
      <c r="G282" s="102"/>
      <c r="H282" s="102"/>
      <c r="I282" s="101"/>
      <c r="J282" s="101"/>
      <c r="K282" s="101"/>
      <c r="L282" s="101"/>
      <c r="M282" s="101"/>
      <c r="N282" s="101"/>
      <c r="O282" s="99"/>
      <c r="P282" s="99"/>
      <c r="Q282" s="15" t="e">
        <v>#N/A</v>
      </c>
      <c r="R282" s="15" t="e">
        <v>#N/A</v>
      </c>
      <c r="S282" s="15"/>
      <c r="T282" s="103"/>
      <c r="U282" s="15"/>
      <c r="V282" s="15"/>
      <c r="W282" s="15"/>
      <c r="X282" s="99"/>
      <c r="Y282" s="71">
        <f ca="1">Table25[[#This Row],[End Date]]+2-TODAY()</f>
        <v>-45530</v>
      </c>
      <c r="Z282" s="15">
        <f>IF(ISBLANK(Table25[[#This Row],[Roster Received By]]),1,0)</f>
        <v>1</v>
      </c>
      <c r="AA282" s="15">
        <f ca="1">IF(Table25[[#This Row],[Start Date]]&gt;TODAY(),1,)</f>
        <v>0</v>
      </c>
    </row>
    <row r="283" spans="1:27" s="62" customFormat="1" hidden="1" x14ac:dyDescent="0.25">
      <c r="B283" s="117"/>
      <c r="C283" s="100" t="e">
        <v>#N/A</v>
      </c>
      <c r="D283" s="100" t="e">
        <v>#N/A</v>
      </c>
      <c r="E283" s="99"/>
      <c r="F283" s="102"/>
      <c r="G283" s="102"/>
      <c r="H283" s="102"/>
      <c r="I283" s="101"/>
      <c r="J283" s="101"/>
      <c r="K283" s="101"/>
      <c r="L283" s="101"/>
      <c r="M283" s="101"/>
      <c r="N283" s="101"/>
      <c r="O283" s="99"/>
      <c r="P283" s="99"/>
      <c r="Q283" s="15" t="e">
        <v>#N/A</v>
      </c>
      <c r="R283" s="15" t="e">
        <v>#N/A</v>
      </c>
      <c r="S283" s="15"/>
      <c r="T283" s="103"/>
      <c r="U283" s="15"/>
      <c r="V283" s="15"/>
      <c r="W283" s="15"/>
      <c r="X283" s="99"/>
      <c r="Y283" s="71">
        <f ca="1">Table25[[#This Row],[End Date]]+2-TODAY()</f>
        <v>-45530</v>
      </c>
      <c r="Z283" s="15">
        <f>IF(ISBLANK(Table25[[#This Row],[Roster Received By]]),1,0)</f>
        <v>1</v>
      </c>
      <c r="AA283" s="15">
        <f ca="1">IF(Table25[[#This Row],[Start Date]]&gt;TODAY(),1,)</f>
        <v>0</v>
      </c>
    </row>
    <row r="284" spans="1:27" s="62" customFormat="1" hidden="1" x14ac:dyDescent="0.25">
      <c r="B284" s="117"/>
      <c r="C284" s="100" t="e">
        <v>#N/A</v>
      </c>
      <c r="D284" s="100" t="e">
        <v>#N/A</v>
      </c>
      <c r="E284" s="99"/>
      <c r="F284" s="67"/>
      <c r="G284" s="67"/>
      <c r="H284" s="67"/>
      <c r="I284" s="101"/>
      <c r="J284" s="101"/>
      <c r="K284" s="101"/>
      <c r="L284" s="101"/>
      <c r="M284" s="101"/>
      <c r="N284" s="101"/>
      <c r="O284" s="99"/>
      <c r="P284" s="99"/>
      <c r="Q284" s="15" t="e">
        <v>#N/A</v>
      </c>
      <c r="R284" s="15" t="e">
        <v>#N/A</v>
      </c>
      <c r="S284" s="15"/>
      <c r="T284" s="103"/>
      <c r="U284" s="15"/>
      <c r="V284" s="15"/>
      <c r="W284" s="103"/>
      <c r="X284" s="99"/>
      <c r="Y284" s="71">
        <f ca="1">Table25[[#This Row],[End Date]]+2-TODAY()</f>
        <v>-45530</v>
      </c>
      <c r="Z284" s="15">
        <f>IF(ISBLANK(Table25[[#This Row],[Roster Received By]]),1,0)</f>
        <v>1</v>
      </c>
      <c r="AA284" s="15">
        <f ca="1">IF(Table25[[#This Row],[Start Date]]&gt;TODAY(),1,)</f>
        <v>0</v>
      </c>
    </row>
    <row r="285" spans="1:27" s="62" customFormat="1" hidden="1" x14ac:dyDescent="0.25">
      <c r="B285" s="116"/>
      <c r="C285" s="100" t="e">
        <v>#N/A</v>
      </c>
      <c r="D285" s="100" t="e">
        <v>#N/A</v>
      </c>
      <c r="E285" s="99"/>
      <c r="F285" s="102"/>
      <c r="G285" s="102"/>
      <c r="H285" s="105"/>
      <c r="I285" s="105"/>
      <c r="J285" s="105"/>
      <c r="K285" s="105"/>
      <c r="L285" s="105"/>
      <c r="M285" s="105"/>
      <c r="N285" s="105"/>
      <c r="O285" s="99"/>
      <c r="P285" s="99"/>
      <c r="Q285" s="15" t="e">
        <v>#N/A</v>
      </c>
      <c r="R285" s="15" t="e">
        <v>#N/A</v>
      </c>
      <c r="S285" s="15"/>
      <c r="T285" s="103"/>
      <c r="U285" s="15"/>
      <c r="V285" s="15"/>
      <c r="W285" s="15"/>
      <c r="X285" s="99"/>
      <c r="Y285" s="71">
        <f ca="1">Table25[[#This Row],[End Date]]+2-TODAY()</f>
        <v>-45530</v>
      </c>
      <c r="Z285" s="15">
        <f>IF(ISBLANK(Table25[[#This Row],[Roster Received By]]),1,0)</f>
        <v>1</v>
      </c>
      <c r="AA285" s="15">
        <f ca="1">IF(Table25[[#This Row],[Start Date]]&gt;TODAY(),1,)</f>
        <v>0</v>
      </c>
    </row>
    <row r="286" spans="1:27" s="62" customFormat="1" hidden="1" x14ac:dyDescent="0.25">
      <c r="B286" s="116"/>
      <c r="C286" s="100" t="e">
        <v>#N/A</v>
      </c>
      <c r="D286" s="100" t="e">
        <v>#N/A</v>
      </c>
      <c r="E286" s="99"/>
      <c r="F286" s="67"/>
      <c r="G286" s="102"/>
      <c r="H286" s="102"/>
      <c r="I286" s="101"/>
      <c r="J286" s="101"/>
      <c r="K286" s="101"/>
      <c r="L286" s="101"/>
      <c r="M286" s="101"/>
      <c r="N286" s="101"/>
      <c r="O286" s="99"/>
      <c r="P286" s="99"/>
      <c r="Q286" s="15" t="e">
        <v>#N/A</v>
      </c>
      <c r="R286" s="15" t="e">
        <v>#N/A</v>
      </c>
      <c r="S286" s="15"/>
      <c r="T286" s="103"/>
      <c r="U286" s="15"/>
      <c r="V286" s="15"/>
      <c r="W286" s="15"/>
      <c r="X286" s="99"/>
      <c r="Y286" s="71">
        <f ca="1">Table25[[#This Row],[End Date]]+2-TODAY()</f>
        <v>-45530</v>
      </c>
      <c r="Z286" s="15">
        <f>IF(ISBLANK(Table25[[#This Row],[Roster Received By]]),1,0)</f>
        <v>1</v>
      </c>
      <c r="AA286" s="15">
        <f ca="1">IF(Table25[[#This Row],[Start Date]]&gt;TODAY(),1,)</f>
        <v>0</v>
      </c>
    </row>
    <row r="287" spans="1:27" s="62" customFormat="1" hidden="1" x14ac:dyDescent="0.25">
      <c r="B287" s="117"/>
      <c r="C287" s="100" t="e">
        <v>#N/A</v>
      </c>
      <c r="D287" s="100" t="e">
        <v>#N/A</v>
      </c>
      <c r="E287" s="99"/>
      <c r="F287" s="102"/>
      <c r="G287" s="102"/>
      <c r="H287" s="105"/>
      <c r="I287" s="105"/>
      <c r="J287" s="102"/>
      <c r="K287" s="102"/>
      <c r="L287" s="102"/>
      <c r="M287" s="102"/>
      <c r="N287" s="102"/>
      <c r="O287" s="99"/>
      <c r="P287" s="99"/>
      <c r="Q287" s="15" t="e">
        <v>#N/A</v>
      </c>
      <c r="R287" s="15" t="e">
        <v>#N/A</v>
      </c>
      <c r="S287" s="15"/>
      <c r="T287" s="103"/>
      <c r="U287" s="15"/>
      <c r="V287" s="15"/>
      <c r="W287" s="15"/>
      <c r="X287" s="99"/>
      <c r="Y287" s="71">
        <f ca="1">Table25[[#This Row],[End Date]]+2-TODAY()</f>
        <v>-45530</v>
      </c>
      <c r="Z287" s="15">
        <f>IF(ISBLANK(Table25[[#This Row],[Roster Received By]]),1,0)</f>
        <v>1</v>
      </c>
      <c r="AA287" s="15">
        <f ca="1">IF(Table25[[#This Row],[Start Date]]&gt;TODAY(),1,)</f>
        <v>0</v>
      </c>
    </row>
    <row r="288" spans="1:27" s="62" customFormat="1" hidden="1" x14ac:dyDescent="0.25">
      <c r="A288" s="65"/>
      <c r="B288" s="117"/>
      <c r="C288" s="100" t="e">
        <v>#N/A</v>
      </c>
      <c r="D288" s="100" t="e">
        <v>#N/A</v>
      </c>
      <c r="E288" s="65"/>
      <c r="F288" s="102"/>
      <c r="G288" s="102"/>
      <c r="H288" s="105"/>
      <c r="I288" s="105"/>
      <c r="J288" s="102"/>
      <c r="K288" s="102"/>
      <c r="L288" s="102"/>
      <c r="M288" s="102"/>
      <c r="N288" s="102"/>
      <c r="O288" s="99"/>
      <c r="P288" s="99"/>
      <c r="Q288" s="15" t="e">
        <v>#N/A</v>
      </c>
      <c r="R288" s="15" t="e">
        <v>#N/A</v>
      </c>
      <c r="S288" s="15"/>
      <c r="T288" s="103"/>
      <c r="U288" s="15"/>
      <c r="V288" s="15"/>
      <c r="W288" s="15"/>
      <c r="X288" s="99"/>
      <c r="Y288" s="71">
        <f ca="1">Table25[[#This Row],[End Date]]+2-TODAY()</f>
        <v>-45530</v>
      </c>
      <c r="Z288" s="15">
        <f>IF(ISBLANK(Table25[[#This Row],[Roster Received By]]),1,0)</f>
        <v>1</v>
      </c>
      <c r="AA288" s="15">
        <f ca="1">IF(Table25[[#This Row],[Start Date]]&gt;TODAY(),1,)</f>
        <v>0</v>
      </c>
    </row>
    <row r="289" spans="2:27" s="62" customFormat="1" hidden="1" x14ac:dyDescent="0.25">
      <c r="B289" s="116"/>
      <c r="C289" s="100" t="e">
        <v>#N/A</v>
      </c>
      <c r="D289" s="100" t="e">
        <v>#N/A</v>
      </c>
      <c r="E289" s="99"/>
      <c r="F289" s="102"/>
      <c r="G289" s="102"/>
      <c r="H289" s="105"/>
      <c r="I289" s="105"/>
      <c r="J289" s="105"/>
      <c r="K289" s="105"/>
      <c r="L289" s="105"/>
      <c r="M289" s="105"/>
      <c r="N289" s="102"/>
      <c r="O289" s="99"/>
      <c r="P289" s="99"/>
      <c r="Q289" s="15" t="e">
        <v>#N/A</v>
      </c>
      <c r="R289" s="15" t="e">
        <v>#N/A</v>
      </c>
      <c r="S289" s="15"/>
      <c r="T289" s="103"/>
      <c r="U289" s="15"/>
      <c r="V289" s="15"/>
      <c r="W289" s="15"/>
      <c r="X289" s="99"/>
      <c r="Y289" s="71">
        <f ca="1">Table25[[#This Row],[End Date]]+2-TODAY()</f>
        <v>-45530</v>
      </c>
      <c r="Z289" s="15">
        <f>IF(ISBLANK(Table25[[#This Row],[Roster Received By]]),1,0)</f>
        <v>1</v>
      </c>
      <c r="AA289" s="15">
        <f ca="1">IF(Table25[[#This Row],[Start Date]]&gt;TODAY(),1,)</f>
        <v>0</v>
      </c>
    </row>
    <row r="290" spans="2:27" s="62" customFormat="1" hidden="1" x14ac:dyDescent="0.25">
      <c r="B290" s="116"/>
      <c r="C290" s="100" t="e">
        <v>#N/A</v>
      </c>
      <c r="D290" s="100" t="e">
        <v>#N/A</v>
      </c>
      <c r="E290" s="99"/>
      <c r="F290" s="102"/>
      <c r="G290" s="102"/>
      <c r="H290" s="105"/>
      <c r="I290" s="105"/>
      <c r="J290" s="105"/>
      <c r="K290" s="105"/>
      <c r="L290" s="105"/>
      <c r="M290" s="105"/>
      <c r="N290" s="102"/>
      <c r="O290" s="99"/>
      <c r="P290" s="99"/>
      <c r="Q290" s="15" t="e">
        <v>#N/A</v>
      </c>
      <c r="R290" s="15" t="e">
        <v>#N/A</v>
      </c>
      <c r="S290" s="15"/>
      <c r="T290" s="103"/>
      <c r="U290" s="15"/>
      <c r="V290" s="15"/>
      <c r="W290" s="100"/>
      <c r="X290" s="99"/>
      <c r="Y290" s="71">
        <f ca="1">Table25[[#This Row],[End Date]]+2-TODAY()</f>
        <v>-45530</v>
      </c>
      <c r="Z290" s="15">
        <f>IF(ISBLANK(Table25[[#This Row],[Roster Received By]]),1,0)</f>
        <v>1</v>
      </c>
      <c r="AA290" s="15">
        <f ca="1">IF(Table25[[#This Row],[Start Date]]&gt;TODAY(),1,)</f>
        <v>0</v>
      </c>
    </row>
    <row r="291" spans="2:27" s="62" customFormat="1" hidden="1" x14ac:dyDescent="0.25">
      <c r="B291" s="116"/>
      <c r="C291" s="100" t="e">
        <v>#N/A</v>
      </c>
      <c r="D291" s="100" t="e">
        <v>#N/A</v>
      </c>
      <c r="E291" s="99"/>
      <c r="F291" s="102"/>
      <c r="G291" s="102"/>
      <c r="H291" s="102"/>
      <c r="I291" s="101"/>
      <c r="J291" s="101"/>
      <c r="K291" s="101"/>
      <c r="L291" s="101"/>
      <c r="M291" s="101"/>
      <c r="N291" s="101"/>
      <c r="O291" s="99"/>
      <c r="P291" s="99"/>
      <c r="Q291" s="15" t="e">
        <v>#N/A</v>
      </c>
      <c r="R291" s="15" t="e">
        <v>#N/A</v>
      </c>
      <c r="S291" s="15"/>
      <c r="T291" s="103"/>
      <c r="U291" s="15"/>
      <c r="V291" s="15"/>
      <c r="W291" s="15"/>
      <c r="X291" s="99"/>
      <c r="Y291" s="71">
        <f ca="1">Table25[[#This Row],[End Date]]+2-TODAY()</f>
        <v>-45530</v>
      </c>
      <c r="Z291" s="15">
        <f>IF(ISBLANK(Table25[[#This Row],[Roster Received By]]),1,0)</f>
        <v>1</v>
      </c>
      <c r="AA291" s="15">
        <f ca="1">IF(Table25[[#This Row],[Start Date]]&gt;TODAY(),1,)</f>
        <v>0</v>
      </c>
    </row>
    <row r="292" spans="2:27" s="62" customFormat="1" hidden="1" x14ac:dyDescent="0.25">
      <c r="B292" s="116"/>
      <c r="C292" s="100" t="e">
        <v>#N/A</v>
      </c>
      <c r="D292" s="100" t="e">
        <v>#N/A</v>
      </c>
      <c r="E292" s="99"/>
      <c r="F292" s="102"/>
      <c r="G292" s="102"/>
      <c r="H292" s="102"/>
      <c r="I292" s="101"/>
      <c r="J292" s="101"/>
      <c r="K292" s="101"/>
      <c r="L292" s="101"/>
      <c r="M292" s="101"/>
      <c r="N292" s="101"/>
      <c r="O292" s="99"/>
      <c r="P292" s="99"/>
      <c r="Q292" s="15" t="e">
        <v>#N/A</v>
      </c>
      <c r="R292" s="15" t="e">
        <v>#N/A</v>
      </c>
      <c r="S292" s="15"/>
      <c r="T292" s="103"/>
      <c r="U292" s="15"/>
      <c r="V292" s="15"/>
      <c r="W292" s="15"/>
      <c r="X292" s="99"/>
      <c r="Y292" s="71">
        <f ca="1">Table25[[#This Row],[End Date]]+2-TODAY()</f>
        <v>-45530</v>
      </c>
      <c r="Z292" s="15">
        <f>IF(ISBLANK(Table25[[#This Row],[Roster Received By]]),1,0)</f>
        <v>1</v>
      </c>
      <c r="AA292" s="15">
        <f ca="1">IF(Table25[[#This Row],[Start Date]]&gt;TODAY(),1,)</f>
        <v>0</v>
      </c>
    </row>
    <row r="293" spans="2:27" s="62" customFormat="1" hidden="1" x14ac:dyDescent="0.25">
      <c r="B293" s="116"/>
      <c r="C293" s="100" t="e">
        <v>#N/A</v>
      </c>
      <c r="D293" s="100" t="e">
        <v>#N/A</v>
      </c>
      <c r="E293" s="99"/>
      <c r="F293" s="102"/>
      <c r="G293" s="102"/>
      <c r="H293" s="102"/>
      <c r="I293" s="101"/>
      <c r="J293" s="101"/>
      <c r="K293" s="101"/>
      <c r="L293" s="101"/>
      <c r="M293" s="101"/>
      <c r="N293" s="101"/>
      <c r="O293" s="99"/>
      <c r="P293" s="99"/>
      <c r="Q293" s="15" t="e">
        <v>#N/A</v>
      </c>
      <c r="R293" s="15" t="e">
        <v>#N/A</v>
      </c>
      <c r="S293" s="15"/>
      <c r="T293" s="103"/>
      <c r="U293" s="15"/>
      <c r="V293" s="15"/>
      <c r="W293" s="15"/>
      <c r="X293" s="99"/>
      <c r="Y293" s="71">
        <f ca="1">Table25[[#This Row],[End Date]]+2-TODAY()</f>
        <v>-45530</v>
      </c>
      <c r="Z293" s="15">
        <f>IF(ISBLANK(Table25[[#This Row],[Roster Received By]]),1,0)</f>
        <v>1</v>
      </c>
      <c r="AA293" s="15">
        <f ca="1">IF(Table25[[#This Row],[Start Date]]&gt;TODAY(),1,)</f>
        <v>0</v>
      </c>
    </row>
    <row r="294" spans="2:27" s="62" customFormat="1" hidden="1" x14ac:dyDescent="0.25">
      <c r="B294" s="116"/>
      <c r="C294" s="100" t="e">
        <v>#N/A</v>
      </c>
      <c r="D294" s="100" t="e">
        <v>#N/A</v>
      </c>
      <c r="E294" s="99"/>
      <c r="F294" s="102"/>
      <c r="G294" s="102"/>
      <c r="H294" s="102"/>
      <c r="I294" s="101"/>
      <c r="J294" s="101"/>
      <c r="K294" s="101"/>
      <c r="L294" s="101"/>
      <c r="M294" s="101"/>
      <c r="N294" s="101"/>
      <c r="O294" s="99"/>
      <c r="P294" s="99"/>
      <c r="Q294" s="15" t="e">
        <v>#N/A</v>
      </c>
      <c r="R294" s="15" t="e">
        <v>#N/A</v>
      </c>
      <c r="S294" s="15"/>
      <c r="T294" s="103"/>
      <c r="U294" s="15"/>
      <c r="V294" s="15"/>
      <c r="W294" s="15"/>
      <c r="X294" s="99"/>
      <c r="Y294" s="71">
        <f ca="1">Table25[[#This Row],[End Date]]+2-TODAY()</f>
        <v>-45530</v>
      </c>
      <c r="Z294" s="15">
        <f>IF(ISBLANK(Table25[[#This Row],[Roster Received By]]),1,0)</f>
        <v>1</v>
      </c>
      <c r="AA294" s="15">
        <f ca="1">IF(Table25[[#This Row],[Start Date]]&gt;TODAY(),1,)</f>
        <v>0</v>
      </c>
    </row>
    <row r="295" spans="2:27" s="62" customFormat="1" hidden="1" x14ac:dyDescent="0.25">
      <c r="B295" s="117"/>
      <c r="C295" s="100" t="e">
        <v>#N/A</v>
      </c>
      <c r="D295" s="100" t="e">
        <v>#N/A</v>
      </c>
      <c r="E295" s="99"/>
      <c r="F295" s="102"/>
      <c r="G295" s="102"/>
      <c r="H295" s="102"/>
      <c r="I295" s="101"/>
      <c r="J295" s="101"/>
      <c r="K295" s="101"/>
      <c r="L295" s="101"/>
      <c r="M295" s="101"/>
      <c r="N295" s="101"/>
      <c r="O295" s="99"/>
      <c r="P295" s="99"/>
      <c r="Q295" s="15" t="e">
        <v>#N/A</v>
      </c>
      <c r="R295" s="15" t="e">
        <v>#N/A</v>
      </c>
      <c r="S295" s="15"/>
      <c r="T295" s="103"/>
      <c r="U295" s="15"/>
      <c r="V295" s="15"/>
      <c r="W295" s="15"/>
      <c r="X295" s="99"/>
      <c r="Y295" s="71">
        <f ca="1">Table25[[#This Row],[End Date]]+2-TODAY()</f>
        <v>-45530</v>
      </c>
      <c r="Z295" s="15">
        <f>IF(ISBLANK(Table25[[#This Row],[Roster Received By]]),1,0)</f>
        <v>1</v>
      </c>
      <c r="AA295" s="15">
        <f ca="1">IF(Table25[[#This Row],[Start Date]]&gt;TODAY(),1,)</f>
        <v>0</v>
      </c>
    </row>
    <row r="296" spans="2:27" s="62" customFormat="1" hidden="1" x14ac:dyDescent="0.25">
      <c r="B296" s="117"/>
      <c r="C296" s="100" t="e">
        <v>#N/A</v>
      </c>
      <c r="D296" s="100" t="e">
        <v>#N/A</v>
      </c>
      <c r="E296" s="99"/>
      <c r="F296" s="102"/>
      <c r="G296" s="102"/>
      <c r="H296" s="108"/>
      <c r="I296" s="108"/>
      <c r="J296" s="102"/>
      <c r="K296" s="102"/>
      <c r="L296" s="102"/>
      <c r="M296" s="102"/>
      <c r="N296" s="102"/>
      <c r="O296" s="99"/>
      <c r="P296" s="99"/>
      <c r="Q296" s="15" t="e">
        <v>#N/A</v>
      </c>
      <c r="R296" s="15" t="e">
        <v>#N/A</v>
      </c>
      <c r="S296" s="15"/>
      <c r="T296" s="103"/>
      <c r="U296" s="15"/>
      <c r="V296" s="15"/>
      <c r="W296" s="15"/>
      <c r="X296" s="99"/>
      <c r="Y296" s="71">
        <f ca="1">Table25[[#This Row],[End Date]]+2-TODAY()</f>
        <v>-45530</v>
      </c>
      <c r="Z296" s="15">
        <f>IF(ISBLANK(Table25[[#This Row],[Roster Received By]]),1,0)</f>
        <v>1</v>
      </c>
      <c r="AA296" s="15">
        <f ca="1">IF(Table25[[#This Row],[Start Date]]&gt;TODAY(),1,)</f>
        <v>0</v>
      </c>
    </row>
    <row r="297" spans="2:27" s="62" customFormat="1" hidden="1" x14ac:dyDescent="0.25">
      <c r="B297" s="117"/>
      <c r="C297" s="100" t="e">
        <v>#N/A</v>
      </c>
      <c r="D297" s="100" t="e">
        <v>#N/A</v>
      </c>
      <c r="E297" s="99"/>
      <c r="F297" s="102"/>
      <c r="G297" s="102"/>
      <c r="H297" s="102"/>
      <c r="I297" s="101"/>
      <c r="J297" s="101"/>
      <c r="K297" s="101"/>
      <c r="L297" s="101"/>
      <c r="M297" s="101"/>
      <c r="N297" s="101"/>
      <c r="O297" s="99"/>
      <c r="P297" s="99"/>
      <c r="Q297" s="15" t="e">
        <v>#N/A</v>
      </c>
      <c r="R297" s="15" t="e">
        <v>#N/A</v>
      </c>
      <c r="S297" s="15"/>
      <c r="T297" s="103"/>
      <c r="U297" s="15"/>
      <c r="V297" s="15"/>
      <c r="W297" s="15"/>
      <c r="X297" s="99"/>
      <c r="Y297" s="71">
        <f ca="1">Table25[[#This Row],[End Date]]+2-TODAY()</f>
        <v>-45530</v>
      </c>
      <c r="Z297" s="15">
        <f>IF(ISBLANK(Table25[[#This Row],[Roster Received By]]),1,0)</f>
        <v>1</v>
      </c>
      <c r="AA297" s="15">
        <f ca="1">IF(Table25[[#This Row],[Start Date]]&gt;TODAY(),1,)</f>
        <v>0</v>
      </c>
    </row>
    <row r="298" spans="2:27" s="62" customFormat="1" hidden="1" x14ac:dyDescent="0.25">
      <c r="B298" s="117"/>
      <c r="C298" s="100" t="e">
        <v>#N/A</v>
      </c>
      <c r="D298" s="100" t="e">
        <v>#N/A</v>
      </c>
      <c r="E298" s="99"/>
      <c r="F298" s="102"/>
      <c r="G298" s="102"/>
      <c r="H298" s="102"/>
      <c r="I298" s="101"/>
      <c r="J298" s="101"/>
      <c r="K298" s="101"/>
      <c r="L298" s="101"/>
      <c r="M298" s="101"/>
      <c r="N298" s="101"/>
      <c r="O298" s="99"/>
      <c r="P298" s="99"/>
      <c r="Q298" s="15" t="e">
        <v>#N/A</v>
      </c>
      <c r="R298" s="15" t="e">
        <v>#N/A</v>
      </c>
      <c r="S298" s="15"/>
      <c r="T298" s="103"/>
      <c r="U298" s="15"/>
      <c r="V298" s="15"/>
      <c r="W298" s="103"/>
      <c r="X298" s="99"/>
      <c r="Y298" s="71">
        <f ca="1">Table25[[#This Row],[End Date]]+2-TODAY()</f>
        <v>-45530</v>
      </c>
      <c r="Z298" s="15">
        <f>IF(ISBLANK(Table25[[#This Row],[Roster Received By]]),1,0)</f>
        <v>1</v>
      </c>
      <c r="AA298" s="15">
        <f ca="1">IF(Table25[[#This Row],[Start Date]]&gt;TODAY(),1,)</f>
        <v>0</v>
      </c>
    </row>
    <row r="299" spans="2:27" s="62" customFormat="1" hidden="1" x14ac:dyDescent="0.25">
      <c r="B299" s="117"/>
      <c r="C299" s="100" t="e">
        <v>#N/A</v>
      </c>
      <c r="D299" s="100" t="e">
        <v>#N/A</v>
      </c>
      <c r="E299" s="99"/>
      <c r="F299" s="102"/>
      <c r="G299" s="102"/>
      <c r="H299" s="105"/>
      <c r="I299" s="105"/>
      <c r="J299" s="102"/>
      <c r="K299" s="102"/>
      <c r="L299" s="102"/>
      <c r="M299" s="102"/>
      <c r="N299" s="102"/>
      <c r="O299" s="99"/>
      <c r="P299" s="99"/>
      <c r="Q299" s="15" t="e">
        <v>#N/A</v>
      </c>
      <c r="R299" s="15" t="e">
        <v>#N/A</v>
      </c>
      <c r="S299" s="103"/>
      <c r="T299" s="103"/>
      <c r="U299" s="15"/>
      <c r="V299" s="15"/>
      <c r="W299" s="100"/>
      <c r="X299" s="99"/>
      <c r="Y299" s="109">
        <f ca="1">Table25[[#This Row],[End Date]]+2-TODAY()</f>
        <v>-45530</v>
      </c>
      <c r="Z299" s="15">
        <f>IF(ISBLANK(Table25[[#This Row],[Roster Received By]]),1,0)</f>
        <v>1</v>
      </c>
      <c r="AA299" s="100">
        <f ca="1">IF(Table25[[#This Row],[Start Date]]&gt;TODAY(),1,)</f>
        <v>0</v>
      </c>
    </row>
    <row r="300" spans="2:27" s="62" customFormat="1" hidden="1" x14ac:dyDescent="0.25">
      <c r="B300" s="117"/>
      <c r="C300" s="100" t="e">
        <v>#N/A</v>
      </c>
      <c r="D300" s="100" t="e">
        <v>#N/A</v>
      </c>
      <c r="E300" s="99"/>
      <c r="F300" s="102"/>
      <c r="G300" s="102"/>
      <c r="H300" s="105"/>
      <c r="I300" s="105"/>
      <c r="J300" s="102"/>
      <c r="K300" s="102"/>
      <c r="L300" s="102"/>
      <c r="M300" s="102"/>
      <c r="N300" s="102"/>
      <c r="O300" s="99"/>
      <c r="P300" s="99"/>
      <c r="Q300" s="15" t="e">
        <v>#N/A</v>
      </c>
      <c r="R300" s="15" t="e">
        <v>#N/A</v>
      </c>
      <c r="S300" s="15"/>
      <c r="T300" s="103"/>
      <c r="U300" s="15"/>
      <c r="V300" s="15"/>
      <c r="W300" s="15"/>
      <c r="X300" s="99"/>
      <c r="Y300" s="71">
        <f ca="1">Table25[[#This Row],[End Date]]+2-TODAY()</f>
        <v>-45530</v>
      </c>
      <c r="Z300" s="15">
        <f>IF(ISBLANK(Table25[[#This Row],[Roster Received By]]),1,0)</f>
        <v>1</v>
      </c>
      <c r="AA300" s="15">
        <f ca="1">IF(Table25[[#This Row],[Start Date]]&gt;TODAY(),1,)</f>
        <v>0</v>
      </c>
    </row>
    <row r="301" spans="2:27" s="62" customFormat="1" hidden="1" x14ac:dyDescent="0.25">
      <c r="B301" s="117"/>
      <c r="C301" s="100" t="e">
        <v>#N/A</v>
      </c>
      <c r="D301" s="100" t="e">
        <v>#N/A</v>
      </c>
      <c r="E301" s="99"/>
      <c r="F301" s="102"/>
      <c r="G301" s="102"/>
      <c r="H301" s="105"/>
      <c r="I301" s="105"/>
      <c r="J301" s="105"/>
      <c r="K301" s="105"/>
      <c r="L301" s="105"/>
      <c r="M301" s="105"/>
      <c r="N301" s="105"/>
      <c r="O301" s="99"/>
      <c r="P301" s="99"/>
      <c r="Q301" s="15" t="e">
        <v>#N/A</v>
      </c>
      <c r="R301" s="15" t="e">
        <v>#N/A</v>
      </c>
      <c r="S301" s="15"/>
      <c r="T301" s="103"/>
      <c r="U301" s="15"/>
      <c r="V301" s="15"/>
      <c r="W301" s="15"/>
      <c r="X301" s="99"/>
      <c r="Y301" s="71">
        <f ca="1">Table25[[#This Row],[End Date]]+2-TODAY()</f>
        <v>-45530</v>
      </c>
      <c r="Z301" s="15">
        <f>IF(ISBLANK(Table25[[#This Row],[Roster Received By]]),1,0)</f>
        <v>1</v>
      </c>
      <c r="AA301" s="15">
        <f ca="1">IF(Table25[[#This Row],[Start Date]]&gt;TODAY(),1,)</f>
        <v>0</v>
      </c>
    </row>
    <row r="302" spans="2:27" s="62" customFormat="1" hidden="1" x14ac:dyDescent="0.25">
      <c r="B302" s="117"/>
      <c r="C302" s="100" t="e">
        <v>#N/A</v>
      </c>
      <c r="D302" s="100" t="e">
        <v>#N/A</v>
      </c>
      <c r="E302" s="99"/>
      <c r="F302" s="67"/>
      <c r="G302" s="102"/>
      <c r="H302" s="102"/>
      <c r="I302" s="101"/>
      <c r="J302" s="101"/>
      <c r="K302" s="101"/>
      <c r="L302" s="101"/>
      <c r="M302" s="101"/>
      <c r="N302" s="101"/>
      <c r="O302" s="99"/>
      <c r="P302" s="99"/>
      <c r="Q302" s="15" t="e">
        <v>#N/A</v>
      </c>
      <c r="R302" s="15" t="e">
        <v>#N/A</v>
      </c>
      <c r="S302" s="15"/>
      <c r="T302" s="103"/>
      <c r="U302" s="15"/>
      <c r="V302" s="15"/>
      <c r="W302" s="15"/>
      <c r="X302" s="99"/>
      <c r="Y302" s="71">
        <f ca="1">Table25[[#This Row],[End Date]]+2-TODAY()</f>
        <v>-45530</v>
      </c>
      <c r="Z302" s="15">
        <f>IF(ISBLANK(Table25[[#This Row],[Roster Received By]]),1,0)</f>
        <v>1</v>
      </c>
      <c r="AA302" s="15">
        <f ca="1">IF(Table25[[#This Row],[Start Date]]&gt;TODAY(),1,)</f>
        <v>0</v>
      </c>
    </row>
    <row r="303" spans="2:27" s="62" customFormat="1" hidden="1" x14ac:dyDescent="0.25">
      <c r="B303" s="117"/>
      <c r="C303" s="100" t="e">
        <v>#N/A</v>
      </c>
      <c r="D303" s="100" t="e">
        <v>#N/A</v>
      </c>
      <c r="E303" s="99"/>
      <c r="F303" s="102"/>
      <c r="G303" s="102"/>
      <c r="H303" s="102"/>
      <c r="I303" s="101"/>
      <c r="J303" s="101"/>
      <c r="K303" s="101"/>
      <c r="L303" s="101"/>
      <c r="M303" s="101"/>
      <c r="N303" s="101"/>
      <c r="O303" s="99"/>
      <c r="P303" s="99"/>
      <c r="Q303" s="15" t="e">
        <v>#N/A</v>
      </c>
      <c r="R303" s="15" t="e">
        <v>#N/A</v>
      </c>
      <c r="S303" s="15"/>
      <c r="T303" s="103"/>
      <c r="U303" s="15"/>
      <c r="V303" s="15"/>
      <c r="W303" s="15"/>
      <c r="X303" s="99"/>
      <c r="Y303" s="71">
        <f ca="1">Table25[[#This Row],[End Date]]+2-TODAY()</f>
        <v>-45530</v>
      </c>
      <c r="Z303" s="15">
        <f>IF(ISBLANK(Table25[[#This Row],[Roster Received By]]),1,0)</f>
        <v>1</v>
      </c>
      <c r="AA303" s="15">
        <f ca="1">IF(Table25[[#This Row],[Start Date]]&gt;TODAY(),1,)</f>
        <v>0</v>
      </c>
    </row>
    <row r="304" spans="2:27" s="62" customFormat="1" hidden="1" x14ac:dyDescent="0.25">
      <c r="B304" s="117"/>
      <c r="C304" s="100" t="e">
        <v>#N/A</v>
      </c>
      <c r="D304" s="100" t="e">
        <v>#N/A</v>
      </c>
      <c r="E304" s="99"/>
      <c r="F304" s="110"/>
      <c r="G304" s="110"/>
      <c r="H304" s="102"/>
      <c r="I304" s="101"/>
      <c r="J304" s="101"/>
      <c r="K304" s="101"/>
      <c r="L304" s="101"/>
      <c r="M304" s="101"/>
      <c r="N304" s="101"/>
      <c r="O304" s="99"/>
      <c r="P304" s="99"/>
      <c r="Q304" s="15" t="e">
        <v>#N/A</v>
      </c>
      <c r="R304" s="15" t="e">
        <v>#N/A</v>
      </c>
      <c r="S304" s="15"/>
      <c r="T304" s="103"/>
      <c r="U304" s="15"/>
      <c r="V304" s="15"/>
      <c r="W304" s="15"/>
      <c r="X304" s="99"/>
      <c r="Y304" s="71">
        <f ca="1">Table25[[#This Row],[End Date]]+2-TODAY()</f>
        <v>-45530</v>
      </c>
      <c r="Z304" s="15">
        <f>IF(ISBLANK(Table25[[#This Row],[Roster Received By]]),1,0)</f>
        <v>1</v>
      </c>
      <c r="AA304" s="15">
        <f ca="1">IF(Table25[[#This Row],[Start Date]]&gt;TODAY(),1,)</f>
        <v>0</v>
      </c>
    </row>
    <row r="305" spans="1:27" s="62" customFormat="1" hidden="1" x14ac:dyDescent="0.25">
      <c r="B305" s="117"/>
      <c r="C305" s="100" t="e">
        <v>#N/A</v>
      </c>
      <c r="D305" s="100" t="e">
        <v>#N/A</v>
      </c>
      <c r="E305" s="99"/>
      <c r="F305" s="110"/>
      <c r="G305" s="110"/>
      <c r="H305" s="102"/>
      <c r="I305" s="101"/>
      <c r="J305" s="101"/>
      <c r="K305" s="101"/>
      <c r="L305" s="101"/>
      <c r="M305" s="101"/>
      <c r="N305" s="101"/>
      <c r="O305" s="99"/>
      <c r="P305" s="99"/>
      <c r="Q305" s="15" t="e">
        <v>#N/A</v>
      </c>
      <c r="R305" s="15" t="e">
        <v>#N/A</v>
      </c>
      <c r="S305" s="15"/>
      <c r="T305" s="103"/>
      <c r="U305" s="15"/>
      <c r="V305" s="15"/>
      <c r="W305" s="15"/>
      <c r="X305" s="99"/>
      <c r="Y305" s="71">
        <f ca="1">Table25[[#This Row],[End Date]]+2-TODAY()</f>
        <v>-45530</v>
      </c>
      <c r="Z305" s="15">
        <f>IF(ISBLANK(Table25[[#This Row],[Roster Received By]]),1,0)</f>
        <v>1</v>
      </c>
      <c r="AA305" s="15">
        <f ca="1">IF(Table25[[#This Row],[Start Date]]&gt;TODAY(),1,)</f>
        <v>0</v>
      </c>
    </row>
    <row r="306" spans="1:27" s="62" customFormat="1" hidden="1" x14ac:dyDescent="0.25">
      <c r="B306" s="117"/>
      <c r="C306" s="100" t="e">
        <v>#N/A</v>
      </c>
      <c r="D306" s="100" t="e">
        <v>#N/A</v>
      </c>
      <c r="E306" s="99"/>
      <c r="F306" s="110"/>
      <c r="G306" s="110"/>
      <c r="H306" s="102"/>
      <c r="I306" s="101"/>
      <c r="J306" s="101"/>
      <c r="K306" s="101"/>
      <c r="L306" s="101"/>
      <c r="M306" s="101"/>
      <c r="N306" s="101"/>
      <c r="O306" s="99"/>
      <c r="P306" s="99"/>
      <c r="Q306" s="15" t="e">
        <v>#N/A</v>
      </c>
      <c r="R306" s="15" t="e">
        <v>#N/A</v>
      </c>
      <c r="S306" s="15"/>
      <c r="T306" s="103"/>
      <c r="U306" s="15"/>
      <c r="V306" s="15"/>
      <c r="W306" s="15"/>
      <c r="X306" s="99"/>
      <c r="Y306" s="71">
        <f ca="1">Table25[[#This Row],[End Date]]+2-TODAY()</f>
        <v>-45530</v>
      </c>
      <c r="Z306" s="15">
        <f>IF(ISBLANK(Table25[[#This Row],[Roster Received By]]),1,0)</f>
        <v>1</v>
      </c>
      <c r="AA306" s="15">
        <f ca="1">IF(Table25[[#This Row],[Start Date]]&gt;TODAY(),1,)</f>
        <v>0</v>
      </c>
    </row>
    <row r="307" spans="1:27" s="62" customFormat="1" hidden="1" x14ac:dyDescent="0.25">
      <c r="B307" s="117"/>
      <c r="C307" s="100" t="e">
        <v>#N/A</v>
      </c>
      <c r="D307" s="100" t="e">
        <v>#N/A</v>
      </c>
      <c r="E307" s="99"/>
      <c r="F307" s="110"/>
      <c r="G307" s="110"/>
      <c r="H307" s="108"/>
      <c r="I307" s="108"/>
      <c r="J307" s="102"/>
      <c r="K307" s="102"/>
      <c r="L307" s="102"/>
      <c r="M307" s="102"/>
      <c r="N307" s="102"/>
      <c r="O307" s="99"/>
      <c r="P307" s="99"/>
      <c r="Q307" s="15" t="e">
        <v>#N/A</v>
      </c>
      <c r="R307" s="15" t="e">
        <v>#N/A</v>
      </c>
      <c r="S307" s="15"/>
      <c r="T307" s="103"/>
      <c r="U307" s="15"/>
      <c r="V307" s="15"/>
      <c r="W307" s="15"/>
      <c r="X307" s="99"/>
      <c r="Y307" s="71">
        <f ca="1">Table25[[#This Row],[End Date]]+2-TODAY()</f>
        <v>-45530</v>
      </c>
      <c r="Z307" s="15">
        <f>IF(ISBLANK(Table25[[#This Row],[Roster Received By]]),1,0)</f>
        <v>1</v>
      </c>
      <c r="AA307" s="15">
        <f ca="1">IF(Table25[[#This Row],[Start Date]]&gt;TODAY(),1,)</f>
        <v>0</v>
      </c>
    </row>
    <row r="308" spans="1:27" s="62" customFormat="1" hidden="1" x14ac:dyDescent="0.25">
      <c r="B308" s="117"/>
      <c r="C308" s="100" t="e">
        <v>#N/A</v>
      </c>
      <c r="D308" s="100" t="e">
        <v>#N/A</v>
      </c>
      <c r="E308" s="99"/>
      <c r="F308" s="110"/>
      <c r="G308" s="110"/>
      <c r="H308" s="105"/>
      <c r="I308" s="105"/>
      <c r="J308" s="105"/>
      <c r="K308" s="105"/>
      <c r="L308" s="105"/>
      <c r="M308" s="105"/>
      <c r="N308" s="102"/>
      <c r="O308" s="99"/>
      <c r="P308" s="99"/>
      <c r="Q308" s="15" t="e">
        <v>#N/A</v>
      </c>
      <c r="R308" s="15" t="e">
        <v>#N/A</v>
      </c>
      <c r="S308" s="15"/>
      <c r="T308" s="103"/>
      <c r="U308" s="15"/>
      <c r="V308" s="15"/>
      <c r="W308" s="100"/>
      <c r="X308" s="99"/>
      <c r="Y308" s="71">
        <f ca="1">Table25[[#This Row],[End Date]]+2-TODAY()</f>
        <v>-45530</v>
      </c>
      <c r="Z308" s="15">
        <f>IF(ISBLANK(Table25[[#This Row],[Roster Received By]]),1,0)</f>
        <v>1</v>
      </c>
      <c r="AA308" s="15">
        <f ca="1">IF(Table25[[#This Row],[Start Date]]&gt;TODAY(),1,)</f>
        <v>0</v>
      </c>
    </row>
    <row r="309" spans="1:27" s="62" customFormat="1" hidden="1" x14ac:dyDescent="0.25">
      <c r="B309" s="117"/>
      <c r="C309" s="100" t="e">
        <v>#N/A</v>
      </c>
      <c r="D309" s="100" t="e">
        <v>#N/A</v>
      </c>
      <c r="E309" s="65"/>
      <c r="F309" s="110"/>
      <c r="G309" s="110"/>
      <c r="H309" s="105"/>
      <c r="I309" s="105"/>
      <c r="J309" s="102"/>
      <c r="K309" s="102"/>
      <c r="L309" s="102"/>
      <c r="M309" s="102"/>
      <c r="N309" s="102"/>
      <c r="O309" s="99"/>
      <c r="P309" s="99"/>
      <c r="Q309" s="15" t="e">
        <v>#N/A</v>
      </c>
      <c r="R309" s="15" t="e">
        <v>#N/A</v>
      </c>
      <c r="S309" s="15"/>
      <c r="T309" s="103"/>
      <c r="U309" s="15"/>
      <c r="V309" s="15"/>
      <c r="W309" s="15"/>
      <c r="X309" s="99"/>
      <c r="Y309" s="71">
        <f ca="1">Table25[[#This Row],[End Date]]+2-TODAY()</f>
        <v>-45530</v>
      </c>
      <c r="Z309" s="15">
        <f>IF(ISBLANK(Table25[[#This Row],[Roster Received By]]),1,0)</f>
        <v>1</v>
      </c>
      <c r="AA309" s="15">
        <f ca="1">IF(Table25[[#This Row],[Start Date]]&gt;TODAY(),1,)</f>
        <v>0</v>
      </c>
    </row>
    <row r="310" spans="1:27" s="62" customFormat="1" hidden="1" x14ac:dyDescent="0.25">
      <c r="B310" s="117"/>
      <c r="C310" s="100" t="e">
        <v>#N/A</v>
      </c>
      <c r="D310" s="100" t="e">
        <v>#N/A</v>
      </c>
      <c r="E310" s="65"/>
      <c r="F310" s="110"/>
      <c r="G310" s="110"/>
      <c r="H310" s="105"/>
      <c r="I310" s="105"/>
      <c r="J310" s="102"/>
      <c r="K310" s="102"/>
      <c r="L310" s="102"/>
      <c r="M310" s="102"/>
      <c r="N310" s="102"/>
      <c r="O310" s="99"/>
      <c r="P310" s="99"/>
      <c r="Q310" s="15" t="e">
        <v>#N/A</v>
      </c>
      <c r="R310" s="15" t="e">
        <v>#N/A</v>
      </c>
      <c r="S310" s="15"/>
      <c r="T310" s="103"/>
      <c r="U310" s="15"/>
      <c r="V310" s="15"/>
      <c r="W310" s="15"/>
      <c r="X310" s="99"/>
      <c r="Y310" s="71">
        <f ca="1">Table25[[#This Row],[End Date]]+2-TODAY()</f>
        <v>-45530</v>
      </c>
      <c r="Z310" s="15">
        <f>IF(ISBLANK(Table25[[#This Row],[Roster Received By]]),1,0)</f>
        <v>1</v>
      </c>
      <c r="AA310" s="15">
        <f ca="1">IF(Table25[[#This Row],[Start Date]]&gt;TODAY(),1,)</f>
        <v>0</v>
      </c>
    </row>
    <row r="311" spans="1:27" s="62" customFormat="1" hidden="1" x14ac:dyDescent="0.25">
      <c r="B311" s="117"/>
      <c r="C311" s="100" t="e">
        <v>#N/A</v>
      </c>
      <c r="D311" s="100" t="e">
        <v>#N/A</v>
      </c>
      <c r="E311" s="99"/>
      <c r="F311" s="110"/>
      <c r="G311" s="110"/>
      <c r="H311" s="108"/>
      <c r="I311" s="108"/>
      <c r="J311" s="102"/>
      <c r="K311" s="102"/>
      <c r="L311" s="102"/>
      <c r="M311" s="102"/>
      <c r="N311" s="102"/>
      <c r="O311" s="99"/>
      <c r="P311" s="99"/>
      <c r="Q311" s="15" t="e">
        <v>#N/A</v>
      </c>
      <c r="R311" s="15" t="e">
        <v>#N/A</v>
      </c>
      <c r="S311" s="103"/>
      <c r="T311" s="103"/>
      <c r="U311" s="15"/>
      <c r="V311" s="15"/>
      <c r="W311" s="15"/>
      <c r="X311" s="99"/>
      <c r="Y311" s="71">
        <f ca="1">Table25[[#This Row],[End Date]]+2-TODAY()</f>
        <v>-45530</v>
      </c>
      <c r="Z311" s="15">
        <f>IF(ISBLANK(Table25[[#This Row],[Roster Received By]]),1,0)</f>
        <v>1</v>
      </c>
      <c r="AA311" s="15">
        <f ca="1">IF(Table25[[#This Row],[Start Date]]&gt;TODAY(),1,)</f>
        <v>0</v>
      </c>
    </row>
    <row r="312" spans="1:27" s="62" customFormat="1" hidden="1" x14ac:dyDescent="0.25">
      <c r="B312" s="99"/>
      <c r="C312" s="100" t="e">
        <v>#N/A</v>
      </c>
      <c r="D312" s="100" t="e">
        <v>#N/A</v>
      </c>
      <c r="E312" s="99"/>
      <c r="F312" s="110"/>
      <c r="G312" s="110"/>
      <c r="H312" s="105"/>
      <c r="I312" s="105"/>
      <c r="J312" s="102"/>
      <c r="K312" s="102"/>
      <c r="L312" s="102"/>
      <c r="M312" s="102"/>
      <c r="N312" s="102"/>
      <c r="O312" s="99"/>
      <c r="P312" s="99"/>
      <c r="Q312" s="15" t="e">
        <v>#N/A</v>
      </c>
      <c r="R312" s="15" t="e">
        <v>#N/A</v>
      </c>
      <c r="S312" s="103"/>
      <c r="T312" s="103"/>
      <c r="U312" s="15"/>
      <c r="V312" s="15"/>
      <c r="W312" s="100"/>
      <c r="X312" s="99"/>
      <c r="Y312" s="109">
        <f ca="1">Table25[[#This Row],[End Date]]+2-TODAY()</f>
        <v>-45530</v>
      </c>
      <c r="Z312" s="15">
        <f>IF(ISBLANK(Table25[[#This Row],[Roster Received By]]),1,0)</f>
        <v>1</v>
      </c>
      <c r="AA312" s="100">
        <f ca="1">IF(Table25[[#This Row],[Start Date]]&gt;TODAY(),1,)</f>
        <v>0</v>
      </c>
    </row>
    <row r="313" spans="1:27" s="62" customFormat="1" hidden="1" x14ac:dyDescent="0.25">
      <c r="B313" s="118"/>
      <c r="C313" s="100" t="e">
        <v>#N/A</v>
      </c>
      <c r="D313" s="100" t="e">
        <v>#N/A</v>
      </c>
      <c r="E313" s="99"/>
      <c r="F313" s="110"/>
      <c r="G313" s="110"/>
      <c r="H313" s="108"/>
      <c r="I313" s="108"/>
      <c r="J313" s="102"/>
      <c r="K313" s="102"/>
      <c r="L313" s="102"/>
      <c r="M313" s="102"/>
      <c r="N313" s="102"/>
      <c r="O313" s="99"/>
      <c r="P313" s="99"/>
      <c r="Q313" s="15" t="e">
        <v>#N/A</v>
      </c>
      <c r="R313" s="15" t="e">
        <v>#N/A</v>
      </c>
      <c r="S313" s="15"/>
      <c r="T313" s="103"/>
      <c r="U313" s="15"/>
      <c r="V313" s="15"/>
      <c r="W313" s="15"/>
      <c r="X313" s="99"/>
      <c r="Y313" s="71">
        <f ca="1">Table25[[#This Row],[End Date]]+2-TODAY()</f>
        <v>-45530</v>
      </c>
      <c r="Z313" s="15">
        <f>IF(ISBLANK(Table25[[#This Row],[Roster Received By]]),1,0)</f>
        <v>1</v>
      </c>
      <c r="AA313" s="15">
        <f ca="1">IF(Table25[[#This Row],[Start Date]]&gt;TODAY(),1,)</f>
        <v>0</v>
      </c>
    </row>
    <row r="314" spans="1:27" s="62" customFormat="1" hidden="1" x14ac:dyDescent="0.25">
      <c r="B314" s="117"/>
      <c r="C314" s="100" t="e">
        <v>#N/A</v>
      </c>
      <c r="D314" s="100" t="e">
        <v>#N/A</v>
      </c>
      <c r="E314" s="99"/>
      <c r="F314" s="110"/>
      <c r="G314" s="110"/>
      <c r="H314" s="102"/>
      <c r="I314" s="101"/>
      <c r="J314" s="101"/>
      <c r="K314" s="101"/>
      <c r="L314" s="101"/>
      <c r="M314" s="101"/>
      <c r="N314" s="101"/>
      <c r="O314" s="99"/>
      <c r="P314" s="99"/>
      <c r="Q314" s="15" t="e">
        <v>#N/A</v>
      </c>
      <c r="R314" s="15" t="e">
        <v>#N/A</v>
      </c>
      <c r="S314" s="15"/>
      <c r="T314" s="103"/>
      <c r="U314" s="15"/>
      <c r="V314" s="15"/>
      <c r="W314" s="15"/>
      <c r="X314" s="99"/>
      <c r="Y314" s="71">
        <f ca="1">Table25[[#This Row],[End Date]]+2-TODAY()</f>
        <v>-45530</v>
      </c>
      <c r="Z314" s="15">
        <f>IF(ISBLANK(Table25[[#This Row],[Roster Received By]]),1,0)</f>
        <v>1</v>
      </c>
      <c r="AA314" s="15">
        <f ca="1">IF(Table25[[#This Row],[Start Date]]&gt;TODAY(),1,)</f>
        <v>0</v>
      </c>
    </row>
    <row r="315" spans="1:27" s="62" customFormat="1" hidden="1" x14ac:dyDescent="0.25">
      <c r="B315" s="118"/>
      <c r="C315" s="100" t="e">
        <v>#N/A</v>
      </c>
      <c r="D315" s="100" t="e">
        <v>#N/A</v>
      </c>
      <c r="E315" s="99"/>
      <c r="F315" s="110"/>
      <c r="G315" s="110"/>
      <c r="H315" s="105"/>
      <c r="I315" s="105"/>
      <c r="J315" s="102"/>
      <c r="K315" s="102"/>
      <c r="L315" s="102"/>
      <c r="M315" s="102"/>
      <c r="N315" s="102"/>
      <c r="O315" s="99"/>
      <c r="P315" s="99"/>
      <c r="Q315" s="15" t="e">
        <v>#N/A</v>
      </c>
      <c r="R315" s="15" t="e">
        <v>#N/A</v>
      </c>
      <c r="S315" s="15"/>
      <c r="T315" s="103"/>
      <c r="U315" s="15"/>
      <c r="V315" s="15"/>
      <c r="W315" s="15"/>
      <c r="X315" s="99"/>
      <c r="Y315" s="71">
        <f ca="1">Table25[[#This Row],[End Date]]+2-TODAY()</f>
        <v>-45530</v>
      </c>
      <c r="Z315" s="15">
        <f>IF(ISBLANK(Table25[[#This Row],[Roster Received By]]),1,0)</f>
        <v>1</v>
      </c>
      <c r="AA315" s="15">
        <f ca="1">IF(Table25[[#This Row],[Start Date]]&gt;TODAY(),1,)</f>
        <v>0</v>
      </c>
    </row>
    <row r="316" spans="1:27" s="62" customFormat="1" hidden="1" x14ac:dyDescent="0.25">
      <c r="B316" s="118"/>
      <c r="C316" s="100" t="e">
        <v>#N/A</v>
      </c>
      <c r="D316" s="100" t="e">
        <v>#N/A</v>
      </c>
      <c r="E316" s="99"/>
      <c r="F316" s="110"/>
      <c r="G316" s="110"/>
      <c r="H316" s="105"/>
      <c r="I316" s="105"/>
      <c r="J316" s="102"/>
      <c r="K316" s="102"/>
      <c r="L316" s="102"/>
      <c r="M316" s="102"/>
      <c r="N316" s="102"/>
      <c r="O316" s="99"/>
      <c r="P316" s="99"/>
      <c r="Q316" s="15" t="e">
        <v>#N/A</v>
      </c>
      <c r="R316" s="15" t="e">
        <v>#N/A</v>
      </c>
      <c r="S316" s="15"/>
      <c r="T316" s="103"/>
      <c r="U316" s="15"/>
      <c r="V316" s="15"/>
      <c r="W316" s="15"/>
      <c r="X316" s="99"/>
      <c r="Y316" s="71">
        <f ca="1">Table25[[#This Row],[End Date]]+2-TODAY()</f>
        <v>-45530</v>
      </c>
      <c r="Z316" s="15">
        <f>IF(ISBLANK(Table25[[#This Row],[Roster Received By]]),1,0)</f>
        <v>1</v>
      </c>
      <c r="AA316" s="15">
        <f ca="1">IF(Table25[[#This Row],[Start Date]]&gt;TODAY(),1,)</f>
        <v>0</v>
      </c>
    </row>
    <row r="317" spans="1:27" s="62" customFormat="1" hidden="1" x14ac:dyDescent="0.25">
      <c r="A317" s="142"/>
      <c r="B317" s="118"/>
      <c r="C317" s="100" t="e">
        <v>#N/A</v>
      </c>
      <c r="D317" s="100" t="e">
        <v>#N/A</v>
      </c>
      <c r="E317" s="99"/>
      <c r="F317" s="132"/>
      <c r="G317" s="132"/>
      <c r="H317" s="105"/>
      <c r="I317" s="105"/>
      <c r="J317" s="102"/>
      <c r="K317" s="102"/>
      <c r="L317" s="102"/>
      <c r="M317" s="102"/>
      <c r="N317" s="102"/>
      <c r="O317" s="99"/>
      <c r="P317" s="99"/>
      <c r="Q317" s="15" t="e">
        <v>#N/A</v>
      </c>
      <c r="R317" s="15" t="e">
        <v>#N/A</v>
      </c>
      <c r="S317" s="103"/>
      <c r="T317" s="103"/>
      <c r="U317" s="15"/>
      <c r="V317" s="15"/>
      <c r="W317" s="15"/>
      <c r="X317" s="99"/>
      <c r="Y317" s="71">
        <f ca="1">Table25[[#This Row],[End Date]]+2-TODAY()</f>
        <v>-45530</v>
      </c>
      <c r="Z317" s="15">
        <f>IF(ISBLANK(Table25[[#This Row],[Roster Received By]]),1,0)</f>
        <v>1</v>
      </c>
      <c r="AA317" s="15">
        <f ca="1">IF(Table25[[#This Row],[Start Date]]&gt;TODAY(),1,)</f>
        <v>0</v>
      </c>
    </row>
    <row r="318" spans="1:27" s="62" customFormat="1" hidden="1" x14ac:dyDescent="0.25">
      <c r="A318" s="99"/>
      <c r="B318" s="118"/>
      <c r="C318" s="100" t="e">
        <v>#N/A</v>
      </c>
      <c r="D318" s="100" t="e">
        <v>#N/A</v>
      </c>
      <c r="E318" s="118"/>
      <c r="F318" s="133"/>
      <c r="G318" s="133"/>
      <c r="H318" s="67"/>
      <c r="I318" s="101"/>
      <c r="J318" s="101"/>
      <c r="K318" s="101"/>
      <c r="L318" s="101"/>
      <c r="M318" s="101"/>
      <c r="N318" s="101"/>
      <c r="O318" s="99"/>
      <c r="P318" s="99"/>
      <c r="Q318" s="15" t="e">
        <v>#N/A</v>
      </c>
      <c r="R318" s="15" t="e">
        <v>#N/A</v>
      </c>
      <c r="S318" s="15"/>
      <c r="T318" s="103"/>
      <c r="U318" s="15"/>
      <c r="V318" s="15"/>
      <c r="W318" s="15"/>
      <c r="X318" s="99"/>
      <c r="Y318" s="71">
        <f ca="1">Table25[[#This Row],[End Date]]+2-TODAY()</f>
        <v>-45530</v>
      </c>
      <c r="Z318" s="15">
        <f>IF(ISBLANK(Table25[[#This Row],[Roster Received By]]),1,0)</f>
        <v>1</v>
      </c>
      <c r="AA318" s="15">
        <f ca="1">IF(Table25[[#This Row],[Start Date]]&gt;TODAY(),1,)</f>
        <v>0</v>
      </c>
    </row>
    <row r="319" spans="1:27" s="62" customFormat="1" hidden="1" x14ac:dyDescent="0.25">
      <c r="B319" s="118"/>
      <c r="C319" s="100" t="e">
        <v>#N/A</v>
      </c>
      <c r="D319" s="100" t="e">
        <v>#N/A</v>
      </c>
      <c r="E319" s="118"/>
      <c r="F319" s="132"/>
      <c r="G319" s="132"/>
      <c r="H319" s="102"/>
      <c r="I319" s="101"/>
      <c r="J319" s="101"/>
      <c r="K319" s="101"/>
      <c r="L319" s="101"/>
      <c r="M319" s="101"/>
      <c r="N319" s="101"/>
      <c r="O319" s="99"/>
      <c r="P319" s="99"/>
      <c r="Q319" s="15" t="e">
        <v>#N/A</v>
      </c>
      <c r="R319" s="15" t="e">
        <v>#N/A</v>
      </c>
      <c r="S319" s="15"/>
      <c r="T319" s="103"/>
      <c r="U319" s="15"/>
      <c r="V319" s="15"/>
      <c r="W319" s="15"/>
      <c r="X319" s="99"/>
      <c r="Y319" s="71">
        <f ca="1">Table25[[#This Row],[End Date]]+2-TODAY()</f>
        <v>-45530</v>
      </c>
      <c r="Z319" s="15">
        <f>IF(ISBLANK(Table25[[#This Row],[Roster Received By]]),1,0)</f>
        <v>1</v>
      </c>
      <c r="AA319" s="15">
        <f ca="1">IF(Table25[[#This Row],[Start Date]]&gt;TODAY(),1,)</f>
        <v>0</v>
      </c>
    </row>
    <row r="320" spans="1:27" s="62" customFormat="1" hidden="1" x14ac:dyDescent="0.25">
      <c r="B320" s="118"/>
      <c r="C320" s="100" t="e">
        <v>#N/A</v>
      </c>
      <c r="D320" s="100" t="e">
        <v>#N/A</v>
      </c>
      <c r="E320" s="99"/>
      <c r="F320" s="102"/>
      <c r="G320" s="102"/>
      <c r="H320" s="105"/>
      <c r="I320" s="105"/>
      <c r="J320" s="105"/>
      <c r="K320" s="105"/>
      <c r="L320" s="105"/>
      <c r="M320" s="105"/>
      <c r="N320" s="102"/>
      <c r="O320" s="99"/>
      <c r="P320" s="99"/>
      <c r="Q320" s="15" t="e">
        <v>#N/A</v>
      </c>
      <c r="R320" s="15" t="e">
        <v>#N/A</v>
      </c>
      <c r="S320" s="15"/>
      <c r="T320" s="103"/>
      <c r="U320" s="15"/>
      <c r="V320" s="15"/>
      <c r="W320" s="15"/>
      <c r="X320" s="99"/>
      <c r="Y320" s="71">
        <f ca="1">Table25[[#This Row],[End Date]]+2-TODAY()</f>
        <v>-45530</v>
      </c>
      <c r="Z320" s="15">
        <f>IF(ISBLANK(Table25[[#This Row],[Roster Received By]]),1,0)</f>
        <v>1</v>
      </c>
      <c r="AA320" s="15">
        <f ca="1">IF(Table25[[#This Row],[Start Date]]&gt;TODAY(),1,)</f>
        <v>0</v>
      </c>
    </row>
    <row r="321" spans="1:27" s="62" customFormat="1" hidden="1" x14ac:dyDescent="0.25">
      <c r="B321" s="118"/>
      <c r="C321" s="100" t="e">
        <v>#N/A</v>
      </c>
      <c r="D321" s="100" t="e">
        <v>#N/A</v>
      </c>
      <c r="E321" s="66"/>
      <c r="F321" s="110"/>
      <c r="G321" s="110"/>
      <c r="H321" s="105"/>
      <c r="I321" s="105"/>
      <c r="J321" s="102"/>
      <c r="K321" s="102"/>
      <c r="L321" s="102"/>
      <c r="M321" s="102"/>
      <c r="N321" s="102"/>
      <c r="O321" s="99"/>
      <c r="P321" s="99"/>
      <c r="Q321" s="15" t="e">
        <v>#N/A</v>
      </c>
      <c r="R321" s="15" t="e">
        <v>#N/A</v>
      </c>
      <c r="S321" s="15"/>
      <c r="T321" s="103"/>
      <c r="U321" s="15"/>
      <c r="V321" s="15"/>
      <c r="W321" s="15"/>
      <c r="X321" s="99"/>
      <c r="Y321" s="71">
        <f ca="1">Table25[[#This Row],[End Date]]+2-TODAY()</f>
        <v>-45530</v>
      </c>
      <c r="Z321" s="15">
        <f>IF(ISBLANK(Table25[[#This Row],[Roster Received By]]),1,0)</f>
        <v>1</v>
      </c>
      <c r="AA321" s="15">
        <f ca="1">IF(Table25[[#This Row],[Start Date]]&gt;TODAY(),1,)</f>
        <v>0</v>
      </c>
    </row>
    <row r="322" spans="1:27" s="62" customFormat="1" hidden="1" x14ac:dyDescent="0.25">
      <c r="B322" s="118"/>
      <c r="C322" s="100" t="e">
        <v>#N/A</v>
      </c>
      <c r="D322" s="100" t="e">
        <v>#N/A</v>
      </c>
      <c r="E322" s="116"/>
      <c r="F322" s="110"/>
      <c r="G322" s="110"/>
      <c r="H322" s="108"/>
      <c r="I322" s="108"/>
      <c r="J322" s="102"/>
      <c r="K322" s="102"/>
      <c r="L322" s="102"/>
      <c r="M322" s="102"/>
      <c r="N322" s="102"/>
      <c r="O322" s="99"/>
      <c r="P322" s="99"/>
      <c r="Q322" s="15" t="e">
        <v>#N/A</v>
      </c>
      <c r="R322" s="15" t="e">
        <v>#N/A</v>
      </c>
      <c r="S322" s="15"/>
      <c r="T322" s="103"/>
      <c r="U322" s="15"/>
      <c r="V322" s="15"/>
      <c r="W322" s="15"/>
      <c r="X322" s="99"/>
      <c r="Y322" s="71">
        <f ca="1">Table25[[#This Row],[End Date]]+2-TODAY()</f>
        <v>-45530</v>
      </c>
      <c r="Z322" s="15">
        <f>IF(ISBLANK(Table25[[#This Row],[Roster Received By]]),1,0)</f>
        <v>1</v>
      </c>
      <c r="AA322" s="15">
        <f ca="1">IF(Table25[[#This Row],[Start Date]]&gt;TODAY(),1,)</f>
        <v>0</v>
      </c>
    </row>
    <row r="323" spans="1:27" s="62" customFormat="1" hidden="1" x14ac:dyDescent="0.25">
      <c r="B323" s="118"/>
      <c r="C323" s="100" t="e">
        <v>#N/A</v>
      </c>
      <c r="D323" s="100" t="e">
        <v>#N/A</v>
      </c>
      <c r="E323" s="116"/>
      <c r="F323" s="110"/>
      <c r="G323" s="110"/>
      <c r="H323" s="102"/>
      <c r="I323" s="101"/>
      <c r="J323" s="101"/>
      <c r="K323" s="101"/>
      <c r="L323" s="101"/>
      <c r="M323" s="101"/>
      <c r="N323" s="101"/>
      <c r="O323" s="99"/>
      <c r="P323" s="99"/>
      <c r="Q323" s="15" t="e">
        <v>#N/A</v>
      </c>
      <c r="R323" s="15" t="e">
        <v>#N/A</v>
      </c>
      <c r="S323" s="15"/>
      <c r="T323" s="103"/>
      <c r="U323" s="15"/>
      <c r="V323" s="15"/>
      <c r="W323" s="15"/>
      <c r="X323" s="99"/>
      <c r="Y323" s="71">
        <f ca="1">Table25[[#This Row],[End Date]]+2-TODAY()</f>
        <v>-45530</v>
      </c>
      <c r="Z323" s="15">
        <f>IF(ISBLANK(Table25[[#This Row],[Roster Received By]]),1,0)</f>
        <v>1</v>
      </c>
      <c r="AA323" s="15">
        <f ca="1">IF(Table25[[#This Row],[Start Date]]&gt;TODAY(),1,)</f>
        <v>0</v>
      </c>
    </row>
    <row r="324" spans="1:27" s="62" customFormat="1" hidden="1" x14ac:dyDescent="0.25">
      <c r="A324" s="99"/>
      <c r="B324" s="118"/>
      <c r="C324" s="100" t="e">
        <v>#N/A</v>
      </c>
      <c r="D324" s="100" t="e">
        <v>#N/A</v>
      </c>
      <c r="E324" s="116"/>
      <c r="F324" s="110"/>
      <c r="G324" s="110"/>
      <c r="H324" s="105"/>
      <c r="I324" s="105"/>
      <c r="J324" s="102"/>
      <c r="K324" s="102"/>
      <c r="L324" s="102"/>
      <c r="M324" s="102"/>
      <c r="N324" s="102"/>
      <c r="O324" s="99"/>
      <c r="P324" s="99"/>
      <c r="Q324" s="15" t="e">
        <v>#N/A</v>
      </c>
      <c r="R324" s="15" t="e">
        <v>#N/A</v>
      </c>
      <c r="S324" s="15"/>
      <c r="T324" s="103"/>
      <c r="U324" s="15"/>
      <c r="V324" s="15"/>
      <c r="W324" s="103"/>
      <c r="X324" s="99"/>
      <c r="Y324" s="71">
        <f ca="1">Table25[[#This Row],[End Date]]+2-TODAY()</f>
        <v>-45530</v>
      </c>
      <c r="Z324" s="15">
        <f>IF(ISBLANK(Table25[[#This Row],[Roster Received By]]),1,0)</f>
        <v>1</v>
      </c>
      <c r="AA324" s="15">
        <f ca="1">IF(Table25[[#This Row],[Start Date]]&gt;TODAY(),1,)</f>
        <v>0</v>
      </c>
    </row>
    <row r="325" spans="1:27" s="62" customFormat="1" hidden="1" x14ac:dyDescent="0.25">
      <c r="B325" s="118"/>
      <c r="C325" s="100" t="e">
        <v>#N/A</v>
      </c>
      <c r="D325" s="100" t="e">
        <v>#N/A</v>
      </c>
      <c r="E325" s="116"/>
      <c r="F325" s="110"/>
      <c r="G325" s="110"/>
      <c r="H325" s="105"/>
      <c r="I325" s="105"/>
      <c r="J325" s="102"/>
      <c r="K325" s="102"/>
      <c r="L325" s="102"/>
      <c r="M325" s="102"/>
      <c r="N325" s="102"/>
      <c r="O325" s="99"/>
      <c r="P325" s="99"/>
      <c r="Q325" s="15" t="e">
        <v>#N/A</v>
      </c>
      <c r="R325" s="15" t="e">
        <v>#N/A</v>
      </c>
      <c r="S325" s="15"/>
      <c r="T325" s="103"/>
      <c r="U325" s="15"/>
      <c r="V325" s="15"/>
      <c r="W325" s="15"/>
      <c r="X325" s="99"/>
      <c r="Y325" s="71">
        <f ca="1">Table25[[#This Row],[End Date]]+2-TODAY()</f>
        <v>-45530</v>
      </c>
      <c r="Z325" s="15">
        <f>IF(ISBLANK(Table25[[#This Row],[Roster Received By]]),1,0)</f>
        <v>1</v>
      </c>
      <c r="AA325" s="15">
        <f ca="1">IF(Table25[[#This Row],[Start Date]]&gt;TODAY(),1,)</f>
        <v>0</v>
      </c>
    </row>
    <row r="326" spans="1:27" s="62" customFormat="1" hidden="1" x14ac:dyDescent="0.25">
      <c r="B326" s="118"/>
      <c r="C326" s="100" t="e">
        <v>#N/A</v>
      </c>
      <c r="D326" s="100" t="e">
        <v>#N/A</v>
      </c>
      <c r="E326" s="116"/>
      <c r="F326" s="110"/>
      <c r="G326" s="110"/>
      <c r="H326" s="102"/>
      <c r="I326" s="101"/>
      <c r="J326" s="101"/>
      <c r="K326" s="101"/>
      <c r="L326" s="101"/>
      <c r="M326" s="101"/>
      <c r="N326" s="101"/>
      <c r="O326" s="99"/>
      <c r="P326" s="99"/>
      <c r="Q326" s="15" t="e">
        <v>#N/A</v>
      </c>
      <c r="R326" s="15" t="e">
        <v>#N/A</v>
      </c>
      <c r="S326" s="15"/>
      <c r="T326" s="103"/>
      <c r="U326" s="15"/>
      <c r="V326" s="15"/>
      <c r="W326" s="100"/>
      <c r="X326" s="99"/>
      <c r="Y326" s="71">
        <f ca="1">Table25[[#This Row],[End Date]]+2-TODAY()</f>
        <v>-45530</v>
      </c>
      <c r="Z326" s="15">
        <f>IF(ISBLANK(Table25[[#This Row],[Roster Received By]]),1,0)</f>
        <v>1</v>
      </c>
      <c r="AA326" s="15">
        <f ca="1">IF(Table25[[#This Row],[Start Date]]&gt;TODAY(),1,)</f>
        <v>0</v>
      </c>
    </row>
    <row r="327" spans="1:27" s="62" customFormat="1" hidden="1" x14ac:dyDescent="0.25">
      <c r="B327" s="118"/>
      <c r="C327" s="100" t="e">
        <v>#N/A</v>
      </c>
      <c r="D327" s="100" t="e">
        <v>#N/A</v>
      </c>
      <c r="E327" s="99"/>
      <c r="F327" s="110"/>
      <c r="G327" s="110"/>
      <c r="H327" s="102"/>
      <c r="I327" s="101"/>
      <c r="J327" s="101"/>
      <c r="K327" s="101"/>
      <c r="L327" s="101"/>
      <c r="M327" s="101"/>
      <c r="N327" s="101"/>
      <c r="O327" s="99"/>
      <c r="P327" s="99"/>
      <c r="Q327" s="15" t="e">
        <v>#N/A</v>
      </c>
      <c r="R327" s="15" t="e">
        <v>#N/A</v>
      </c>
      <c r="S327" s="15"/>
      <c r="T327" s="103"/>
      <c r="U327" s="15"/>
      <c r="V327" s="15"/>
      <c r="W327" s="15"/>
      <c r="X327" s="99"/>
      <c r="Y327" s="71">
        <f ca="1">Table25[[#This Row],[End Date]]+2-TODAY()</f>
        <v>-45530</v>
      </c>
      <c r="Z327" s="15">
        <f>IF(ISBLANK(Table25[[#This Row],[Roster Received By]]),1,0)</f>
        <v>1</v>
      </c>
      <c r="AA327" s="15">
        <f ca="1">IF(Table25[[#This Row],[Start Date]]&gt;TODAY(),1,)</f>
        <v>0</v>
      </c>
    </row>
    <row r="328" spans="1:27" s="62" customFormat="1" hidden="1" x14ac:dyDescent="0.25">
      <c r="B328" s="119"/>
      <c r="C328" s="100" t="e">
        <v>#N/A</v>
      </c>
      <c r="D328" s="100" t="e">
        <v>#N/A</v>
      </c>
      <c r="E328" s="116"/>
      <c r="F328" s="98"/>
      <c r="G328" s="98"/>
      <c r="H328" s="67"/>
      <c r="I328" s="101"/>
      <c r="J328" s="101"/>
      <c r="K328" s="101"/>
      <c r="L328" s="101"/>
      <c r="M328" s="101"/>
      <c r="N328" s="101"/>
      <c r="O328" s="99"/>
      <c r="P328" s="99"/>
      <c r="Q328" s="15" t="e">
        <v>#N/A</v>
      </c>
      <c r="R328" s="15" t="e">
        <v>#N/A</v>
      </c>
      <c r="S328" s="15"/>
      <c r="T328" s="103"/>
      <c r="U328" s="15"/>
      <c r="V328" s="15"/>
      <c r="W328" s="15"/>
      <c r="X328" s="99"/>
      <c r="Y328" s="71">
        <f ca="1">Table25[[#This Row],[End Date]]+2-TODAY()</f>
        <v>-45530</v>
      </c>
      <c r="Z328" s="15">
        <f>IF(ISBLANK(Table25[[#This Row],[Roster Received By]]),1,0)</f>
        <v>1</v>
      </c>
      <c r="AA328" s="15">
        <f ca="1">IF(Table25[[#This Row],[Start Date]]&gt;TODAY(),1,)</f>
        <v>0</v>
      </c>
    </row>
    <row r="329" spans="1:27" s="62" customFormat="1" hidden="1" x14ac:dyDescent="0.25">
      <c r="A329" s="99"/>
      <c r="B329" s="118"/>
      <c r="C329" s="100" t="e">
        <v>#N/A</v>
      </c>
      <c r="D329" s="100" t="e">
        <v>#N/A</v>
      </c>
      <c r="E329" s="116"/>
      <c r="F329" s="110"/>
      <c r="G329" s="110"/>
      <c r="H329" s="102"/>
      <c r="I329" s="101"/>
      <c r="J329" s="101"/>
      <c r="K329" s="101"/>
      <c r="L329" s="101"/>
      <c r="M329" s="101"/>
      <c r="N329" s="101"/>
      <c r="O329" s="99"/>
      <c r="P329" s="99"/>
      <c r="Q329" s="15" t="e">
        <v>#N/A</v>
      </c>
      <c r="R329" s="15" t="e">
        <v>#N/A</v>
      </c>
      <c r="S329" s="15"/>
      <c r="T329" s="103"/>
      <c r="U329" s="15"/>
      <c r="V329" s="15"/>
      <c r="W329" s="15"/>
      <c r="X329" s="99"/>
      <c r="Y329" s="71">
        <f ca="1">Table25[[#This Row],[End Date]]+2-TODAY()</f>
        <v>-45530</v>
      </c>
      <c r="Z329" s="15">
        <f>IF(ISBLANK(Table25[[#This Row],[Roster Received By]]),1,0)</f>
        <v>1</v>
      </c>
      <c r="AA329" s="15">
        <f ca="1">IF(Table25[[#This Row],[Start Date]]&gt;TODAY(),1,)</f>
        <v>0</v>
      </c>
    </row>
    <row r="330" spans="1:27" s="62" customFormat="1" hidden="1" x14ac:dyDescent="0.25">
      <c r="B330" s="118"/>
      <c r="C330" s="100" t="e">
        <v>#N/A</v>
      </c>
      <c r="D330" s="100" t="e">
        <v>#N/A</v>
      </c>
      <c r="E330" s="118"/>
      <c r="F330" s="110"/>
      <c r="G330" s="110"/>
      <c r="H330" s="102"/>
      <c r="I330" s="101"/>
      <c r="J330" s="101"/>
      <c r="K330" s="101"/>
      <c r="L330" s="101"/>
      <c r="M330" s="101"/>
      <c r="N330" s="101"/>
      <c r="O330" s="99"/>
      <c r="P330" s="99"/>
      <c r="Q330" s="15" t="e">
        <v>#N/A</v>
      </c>
      <c r="R330" s="15" t="e">
        <v>#N/A</v>
      </c>
      <c r="S330" s="15"/>
      <c r="T330" s="103"/>
      <c r="U330" s="15"/>
      <c r="V330" s="15"/>
      <c r="W330" s="15"/>
      <c r="X330" s="99"/>
      <c r="Y330" s="71">
        <f ca="1">Table25[[#This Row],[End Date]]+2-TODAY()</f>
        <v>-45530</v>
      </c>
      <c r="Z330" s="15">
        <f>IF(ISBLANK(Table25[[#This Row],[Roster Received By]]),1,0)</f>
        <v>1</v>
      </c>
      <c r="AA330" s="15">
        <f ca="1">IF(Table25[[#This Row],[Start Date]]&gt;TODAY(),1,)</f>
        <v>0</v>
      </c>
    </row>
    <row r="331" spans="1:27" s="62" customFormat="1" hidden="1" x14ac:dyDescent="0.25">
      <c r="B331" s="118"/>
      <c r="C331" s="100" t="e">
        <v>#N/A</v>
      </c>
      <c r="D331" s="100" t="e">
        <v>#N/A</v>
      </c>
      <c r="E331" s="118"/>
      <c r="F331" s="110"/>
      <c r="G331" s="110"/>
      <c r="H331" s="102"/>
      <c r="I331" s="101"/>
      <c r="J331" s="101"/>
      <c r="K331" s="101"/>
      <c r="L331" s="101"/>
      <c r="M331" s="101"/>
      <c r="N331" s="101"/>
      <c r="O331" s="99"/>
      <c r="P331" s="99"/>
      <c r="Q331" s="15" t="e">
        <v>#N/A</v>
      </c>
      <c r="R331" s="15" t="e">
        <v>#N/A</v>
      </c>
      <c r="S331" s="15"/>
      <c r="T331" s="103"/>
      <c r="U331" s="15"/>
      <c r="V331" s="15"/>
      <c r="W331" s="15"/>
      <c r="X331" s="99"/>
      <c r="Y331" s="71">
        <f ca="1">Table25[[#This Row],[End Date]]+2-TODAY()</f>
        <v>-45530</v>
      </c>
      <c r="Z331" s="15">
        <f>IF(ISBLANK(Table25[[#This Row],[Roster Received By]]),1,0)</f>
        <v>1</v>
      </c>
      <c r="AA331" s="15">
        <f ca="1">IF(Table25[[#This Row],[Start Date]]&gt;TODAY(),1,)</f>
        <v>0</v>
      </c>
    </row>
    <row r="332" spans="1:27" s="62" customFormat="1" hidden="1" x14ac:dyDescent="0.25">
      <c r="B332" s="118"/>
      <c r="C332" s="100" t="e">
        <v>#N/A</v>
      </c>
      <c r="D332" s="100" t="e">
        <v>#N/A</v>
      </c>
      <c r="E332" s="118"/>
      <c r="F332" s="110"/>
      <c r="G332" s="110"/>
      <c r="H332" s="102"/>
      <c r="I332" s="101"/>
      <c r="J332" s="101"/>
      <c r="K332" s="101"/>
      <c r="L332" s="101"/>
      <c r="M332" s="101"/>
      <c r="N332" s="101"/>
      <c r="O332" s="99"/>
      <c r="P332" s="99"/>
      <c r="Q332" s="15" t="e">
        <v>#N/A</v>
      </c>
      <c r="R332" s="15" t="e">
        <v>#N/A</v>
      </c>
      <c r="S332" s="15"/>
      <c r="T332" s="103"/>
      <c r="U332" s="15"/>
      <c r="V332" s="15"/>
      <c r="W332" s="15"/>
      <c r="X332" s="99"/>
      <c r="Y332" s="71">
        <f ca="1">Table25[[#This Row],[End Date]]+2-TODAY()</f>
        <v>-45530</v>
      </c>
      <c r="Z332" s="15">
        <f>IF(ISBLANK(Table25[[#This Row],[Roster Received By]]),1,0)</f>
        <v>1</v>
      </c>
      <c r="AA332" s="15">
        <f ca="1">IF(Table25[[#This Row],[Start Date]]&gt;TODAY(),1,)</f>
        <v>0</v>
      </c>
    </row>
    <row r="333" spans="1:27" s="106" customFormat="1" ht="15.75" hidden="1" customHeight="1" x14ac:dyDescent="0.25">
      <c r="A333" s="62"/>
      <c r="B333" s="118"/>
      <c r="C333" s="100" t="e">
        <v>#N/A</v>
      </c>
      <c r="D333" s="100" t="e">
        <v>#N/A</v>
      </c>
      <c r="E333" s="129"/>
      <c r="F333" s="110"/>
      <c r="G333" s="110"/>
      <c r="H333" s="105"/>
      <c r="I333" s="105"/>
      <c r="J333" s="105"/>
      <c r="K333" s="105"/>
      <c r="L333" s="105"/>
      <c r="M333" s="105"/>
      <c r="N333" s="102"/>
      <c r="O333" s="99"/>
      <c r="P333" s="99"/>
      <c r="Q333" s="15" t="e">
        <v>#N/A</v>
      </c>
      <c r="R333" s="15" t="e">
        <v>#N/A</v>
      </c>
      <c r="S333" s="15"/>
      <c r="T333" s="103"/>
      <c r="U333" s="15"/>
      <c r="V333" s="15"/>
      <c r="W333" s="15"/>
      <c r="X333" s="99"/>
      <c r="Y333" s="71">
        <f ca="1">Table25[[#This Row],[End Date]]+2-TODAY()</f>
        <v>-45530</v>
      </c>
      <c r="Z333" s="15">
        <f>IF(ISBLANK(Table25[[#This Row],[Roster Received By]]),1,0)</f>
        <v>1</v>
      </c>
      <c r="AA333" s="15">
        <f ca="1">IF(Table25[[#This Row],[Start Date]]&gt;TODAY(),1,)</f>
        <v>0</v>
      </c>
    </row>
    <row r="334" spans="1:27" s="106" customFormat="1" ht="15.75" hidden="1" customHeight="1" x14ac:dyDescent="0.25">
      <c r="A334" s="99"/>
      <c r="B334" s="118"/>
      <c r="C334" s="100" t="e">
        <v>#N/A</v>
      </c>
      <c r="D334" s="100" t="e">
        <v>#N/A</v>
      </c>
      <c r="E334" s="129"/>
      <c r="F334" s="110"/>
      <c r="G334" s="110"/>
      <c r="H334" s="105"/>
      <c r="I334" s="105"/>
      <c r="J334" s="102"/>
      <c r="K334" s="102"/>
      <c r="L334" s="102"/>
      <c r="M334" s="102"/>
      <c r="N334" s="102"/>
      <c r="O334" s="99"/>
      <c r="P334" s="99"/>
      <c r="Q334" s="15" t="e">
        <v>#N/A</v>
      </c>
      <c r="R334" s="15" t="e">
        <v>#N/A</v>
      </c>
      <c r="S334" s="15"/>
      <c r="T334" s="103"/>
      <c r="U334" s="15"/>
      <c r="V334" s="15"/>
      <c r="W334" s="15"/>
      <c r="X334" s="99"/>
      <c r="Y334" s="71">
        <f ca="1">Table25[[#This Row],[End Date]]+2-TODAY()</f>
        <v>-45530</v>
      </c>
      <c r="Z334" s="15">
        <f>IF(ISBLANK(Table25[[#This Row],[Roster Received By]]),1,0)</f>
        <v>1</v>
      </c>
      <c r="AA334" s="15">
        <f ca="1">IF(Table25[[#This Row],[Start Date]]&gt;TODAY(),1,)</f>
        <v>0</v>
      </c>
    </row>
    <row r="335" spans="1:27" s="106" customFormat="1" ht="15.75" hidden="1" customHeight="1" x14ac:dyDescent="0.25">
      <c r="A335" s="62"/>
      <c r="B335" s="118"/>
      <c r="C335" s="100" t="e">
        <v>#N/A</v>
      </c>
      <c r="D335" s="100" t="e">
        <v>#N/A</v>
      </c>
      <c r="E335" s="118"/>
      <c r="F335" s="110"/>
      <c r="G335" s="110"/>
      <c r="H335" s="102"/>
      <c r="I335" s="101"/>
      <c r="J335" s="101"/>
      <c r="K335" s="101"/>
      <c r="L335" s="101"/>
      <c r="M335" s="101"/>
      <c r="N335" s="101"/>
      <c r="O335" s="99"/>
      <c r="P335" s="99"/>
      <c r="Q335" s="15" t="e">
        <v>#N/A</v>
      </c>
      <c r="R335" s="15" t="e">
        <v>#N/A</v>
      </c>
      <c r="S335" s="15"/>
      <c r="T335" s="103"/>
      <c r="U335" s="15"/>
      <c r="V335" s="15"/>
      <c r="W335" s="107"/>
      <c r="X335" s="99"/>
      <c r="Y335" s="71">
        <f ca="1">Table25[[#This Row],[End Date]]+2-TODAY()</f>
        <v>-45530</v>
      </c>
      <c r="Z335" s="15">
        <f>IF(ISBLANK(Table25[[#This Row],[Roster Received By]]),1,0)</f>
        <v>1</v>
      </c>
      <c r="AA335" s="15">
        <f ca="1">IF(Table25[[#This Row],[Start Date]]&gt;TODAY(),1,)</f>
        <v>0</v>
      </c>
    </row>
    <row r="336" spans="1:27" s="106" customFormat="1" ht="15.75" hidden="1" customHeight="1" x14ac:dyDescent="0.25">
      <c r="A336" s="62"/>
      <c r="B336" s="118"/>
      <c r="C336" s="100" t="e">
        <v>#N/A</v>
      </c>
      <c r="D336" s="100" t="e">
        <v>#N/A</v>
      </c>
      <c r="E336" s="118"/>
      <c r="F336" s="110"/>
      <c r="G336" s="110"/>
      <c r="H336" s="105"/>
      <c r="I336" s="105"/>
      <c r="J336" s="105"/>
      <c r="K336" s="105"/>
      <c r="L336" s="105"/>
      <c r="M336" s="105"/>
      <c r="N336" s="102"/>
      <c r="O336" s="99"/>
      <c r="P336" s="99"/>
      <c r="Q336" s="15" t="e">
        <v>#N/A</v>
      </c>
      <c r="R336" s="15" t="e">
        <v>#N/A</v>
      </c>
      <c r="S336" s="15"/>
      <c r="T336" s="103"/>
      <c r="U336" s="15"/>
      <c r="V336" s="15"/>
      <c r="W336" s="15"/>
      <c r="X336" s="99"/>
      <c r="Y336" s="71">
        <f ca="1">Table25[[#This Row],[End Date]]+2-TODAY()</f>
        <v>-45530</v>
      </c>
      <c r="Z336" s="15">
        <f>IF(ISBLANK(Table25[[#This Row],[Roster Received By]]),1,0)</f>
        <v>1</v>
      </c>
      <c r="AA336" s="15">
        <f ca="1">IF(Table25[[#This Row],[Start Date]]&gt;TODAY(),1,)</f>
        <v>0</v>
      </c>
    </row>
    <row r="337" spans="1:27" s="106" customFormat="1" ht="15.75" hidden="1" customHeight="1" x14ac:dyDescent="0.25">
      <c r="A337" s="62"/>
      <c r="B337" s="116"/>
      <c r="C337" s="100" t="e">
        <v>#N/A</v>
      </c>
      <c r="D337" s="100" t="e">
        <v>#N/A</v>
      </c>
      <c r="E337" s="116"/>
      <c r="F337" s="110"/>
      <c r="G337" s="110"/>
      <c r="H337" s="108"/>
      <c r="I337" s="108"/>
      <c r="J337" s="102"/>
      <c r="K337" s="102"/>
      <c r="L337" s="102"/>
      <c r="M337" s="102"/>
      <c r="N337" s="102"/>
      <c r="O337" s="99"/>
      <c r="P337" s="99"/>
      <c r="Q337" s="15" t="e">
        <v>#N/A</v>
      </c>
      <c r="R337" s="15" t="e">
        <v>#N/A</v>
      </c>
      <c r="S337" s="15"/>
      <c r="T337" s="103"/>
      <c r="U337" s="15"/>
      <c r="V337" s="15"/>
      <c r="W337" s="100"/>
      <c r="X337" s="99"/>
      <c r="Y337" s="71">
        <f ca="1">Table25[[#This Row],[End Date]]+2-TODAY()</f>
        <v>-45530</v>
      </c>
      <c r="Z337" s="15">
        <f>IF(ISBLANK(Table25[[#This Row],[Roster Received By]]),1,0)</f>
        <v>1</v>
      </c>
      <c r="AA337" s="15">
        <f ca="1">IF(Table25[[#This Row],[Start Date]]&gt;TODAY(),1,)</f>
        <v>0</v>
      </c>
    </row>
    <row r="338" spans="1:27" s="106" customFormat="1" ht="15.75" hidden="1" customHeight="1" x14ac:dyDescent="0.25">
      <c r="A338" s="62"/>
      <c r="B338" s="116"/>
      <c r="C338" s="100" t="e">
        <v>#N/A</v>
      </c>
      <c r="D338" s="100" t="e">
        <v>#N/A</v>
      </c>
      <c r="E338" s="99"/>
      <c r="F338" s="110"/>
      <c r="G338" s="110"/>
      <c r="H338" s="108"/>
      <c r="I338" s="108"/>
      <c r="J338" s="102"/>
      <c r="K338" s="102"/>
      <c r="L338" s="102"/>
      <c r="M338" s="102"/>
      <c r="N338" s="102"/>
      <c r="O338" s="99"/>
      <c r="P338" s="99"/>
      <c r="Q338" s="15" t="e">
        <v>#N/A</v>
      </c>
      <c r="R338" s="15" t="e">
        <v>#N/A</v>
      </c>
      <c r="S338" s="15"/>
      <c r="T338" s="103"/>
      <c r="U338" s="15"/>
      <c r="V338" s="15"/>
      <c r="W338" s="15"/>
      <c r="X338" s="99"/>
      <c r="Y338" s="71">
        <f ca="1">Table25[[#This Row],[End Date]]+2-TODAY()</f>
        <v>-45530</v>
      </c>
      <c r="Z338" s="15">
        <f>IF(ISBLANK(Table25[[#This Row],[Roster Received By]]),1,0)</f>
        <v>1</v>
      </c>
      <c r="AA338" s="15">
        <f ca="1">IF(Table25[[#This Row],[Start Date]]&gt;TODAY(),1,)</f>
        <v>0</v>
      </c>
    </row>
    <row r="339" spans="1:27" s="106" customFormat="1" ht="15.75" hidden="1" customHeight="1" x14ac:dyDescent="0.25">
      <c r="A339" s="62"/>
      <c r="B339" s="118"/>
      <c r="C339" s="100" t="e">
        <v>#N/A</v>
      </c>
      <c r="D339" s="100" t="e">
        <v>#N/A</v>
      </c>
      <c r="E339" s="116"/>
      <c r="F339" s="110"/>
      <c r="G339" s="110"/>
      <c r="H339" s="102"/>
      <c r="I339" s="101"/>
      <c r="J339" s="101"/>
      <c r="K339" s="101"/>
      <c r="L339" s="101"/>
      <c r="M339" s="101"/>
      <c r="N339" s="101"/>
      <c r="O339" s="99"/>
      <c r="P339" s="99"/>
      <c r="Q339" s="15" t="e">
        <v>#N/A</v>
      </c>
      <c r="R339" s="15" t="e">
        <v>#N/A</v>
      </c>
      <c r="S339" s="15"/>
      <c r="T339" s="103"/>
      <c r="U339" s="15"/>
      <c r="V339" s="15"/>
      <c r="W339" s="15"/>
      <c r="X339" s="99"/>
      <c r="Y339" s="71">
        <f ca="1">Table25[[#This Row],[End Date]]+2-TODAY()</f>
        <v>-45530</v>
      </c>
      <c r="Z339" s="15">
        <f>IF(ISBLANK(Table25[[#This Row],[Roster Received By]]),1,0)</f>
        <v>1</v>
      </c>
      <c r="AA339" s="15">
        <f ca="1">IF(Table25[[#This Row],[Start Date]]&gt;TODAY(),1,)</f>
        <v>0</v>
      </c>
    </row>
    <row r="340" spans="1:27" s="106" customFormat="1" ht="15.75" hidden="1" customHeight="1" x14ac:dyDescent="0.25">
      <c r="A340" s="62"/>
      <c r="B340" s="116"/>
      <c r="C340" s="100" t="e">
        <v>#N/A</v>
      </c>
      <c r="D340" s="100" t="e">
        <v>#N/A</v>
      </c>
      <c r="E340" s="116"/>
      <c r="F340" s="120"/>
      <c r="G340" s="121"/>
      <c r="H340" s="108"/>
      <c r="I340" s="108"/>
      <c r="J340" s="102"/>
      <c r="K340" s="102"/>
      <c r="L340" s="102"/>
      <c r="M340" s="102"/>
      <c r="N340" s="102"/>
      <c r="O340" s="99"/>
      <c r="P340" s="99"/>
      <c r="Q340" s="15" t="e">
        <v>#N/A</v>
      </c>
      <c r="R340" s="15" t="e">
        <v>#N/A</v>
      </c>
      <c r="S340" s="15"/>
      <c r="T340" s="103"/>
      <c r="U340" s="15"/>
      <c r="V340" s="15"/>
      <c r="W340" s="15"/>
      <c r="X340" s="99"/>
      <c r="Y340" s="71">
        <f ca="1">Table25[[#This Row],[End Date]]+2-TODAY()</f>
        <v>-45530</v>
      </c>
      <c r="Z340" s="15">
        <f>IF(ISBLANK(Table25[[#This Row],[Roster Received By]]),1,0)</f>
        <v>1</v>
      </c>
      <c r="AA340" s="15">
        <f ca="1">IF(Table25[[#This Row],[Start Date]]&gt;TODAY(),1,)</f>
        <v>0</v>
      </c>
    </row>
    <row r="341" spans="1:27" s="106" customFormat="1" ht="15.75" hidden="1" customHeight="1" x14ac:dyDescent="0.25">
      <c r="A341" s="99"/>
      <c r="B341" s="116"/>
      <c r="C341" s="100" t="e">
        <v>#N/A</v>
      </c>
      <c r="D341" s="100" t="e">
        <v>#N/A</v>
      </c>
      <c r="E341" s="116"/>
      <c r="F341" s="132"/>
      <c r="G341" s="132"/>
      <c r="H341" s="108"/>
      <c r="I341" s="108"/>
      <c r="J341" s="102"/>
      <c r="K341" s="102"/>
      <c r="L341" s="102"/>
      <c r="M341" s="102"/>
      <c r="N341" s="102"/>
      <c r="O341" s="99"/>
      <c r="P341" s="99"/>
      <c r="Q341" s="15" t="e">
        <v>#N/A</v>
      </c>
      <c r="R341" s="15" t="e">
        <v>#N/A</v>
      </c>
      <c r="S341" s="15"/>
      <c r="T341" s="103"/>
      <c r="U341" s="15"/>
      <c r="V341" s="15"/>
      <c r="W341" s="15"/>
      <c r="X341" s="99"/>
      <c r="Y341" s="71">
        <f ca="1">Table25[[#This Row],[End Date]]+2-TODAY()</f>
        <v>-45530</v>
      </c>
      <c r="Z341" s="15">
        <f>IF(ISBLANK(Table25[[#This Row],[Roster Received By]]),1,0)</f>
        <v>1</v>
      </c>
      <c r="AA341" s="15">
        <f ca="1">IF(Table25[[#This Row],[Start Date]]&gt;TODAY(),1,)</f>
        <v>0</v>
      </c>
    </row>
    <row r="342" spans="1:27" s="106" customFormat="1" ht="15.75" hidden="1" customHeight="1" x14ac:dyDescent="0.25">
      <c r="A342" s="62"/>
      <c r="B342" s="116"/>
      <c r="C342" s="100" t="e">
        <v>#N/A</v>
      </c>
      <c r="D342" s="100" t="e">
        <v>#N/A</v>
      </c>
      <c r="E342" s="66"/>
      <c r="F342" s="133"/>
      <c r="G342" s="133"/>
      <c r="H342" s="101"/>
      <c r="I342" s="101"/>
      <c r="J342" s="102"/>
      <c r="K342" s="102"/>
      <c r="L342" s="102"/>
      <c r="M342" s="102"/>
      <c r="N342" s="102"/>
      <c r="O342" s="99"/>
      <c r="P342" s="99"/>
      <c r="Q342" s="15" t="e">
        <v>#N/A</v>
      </c>
      <c r="R342" s="15" t="e">
        <v>#N/A</v>
      </c>
      <c r="S342" s="15"/>
      <c r="T342" s="103"/>
      <c r="U342" s="15"/>
      <c r="V342" s="15"/>
      <c r="W342" s="15"/>
      <c r="X342" s="99"/>
      <c r="Y342" s="71">
        <f ca="1">Table25[[#This Row],[End Date]]+2-TODAY()</f>
        <v>-45530</v>
      </c>
      <c r="Z342" s="15">
        <f>IF(ISBLANK(Table25[[#This Row],[Roster Received By]]),1,0)</f>
        <v>1</v>
      </c>
      <c r="AA342" s="15">
        <f ca="1">IF(Table25[[#This Row],[Start Date]]&gt;TODAY(),1,)</f>
        <v>0</v>
      </c>
    </row>
    <row r="343" spans="1:27" s="106" customFormat="1" ht="15.75" hidden="1" customHeight="1" x14ac:dyDescent="0.25">
      <c r="A343" s="99"/>
      <c r="B343" s="118"/>
      <c r="C343" s="100" t="e">
        <v>#N/A</v>
      </c>
      <c r="D343" s="100" t="e">
        <v>#N/A</v>
      </c>
      <c r="E343" s="116"/>
      <c r="F343" s="132"/>
      <c r="G343" s="132"/>
      <c r="H343" s="102"/>
      <c r="I343" s="101"/>
      <c r="J343" s="101"/>
      <c r="K343" s="101"/>
      <c r="L343" s="101"/>
      <c r="M343" s="101"/>
      <c r="N343" s="101"/>
      <c r="O343" s="99"/>
      <c r="P343" s="99"/>
      <c r="Q343" s="15" t="e">
        <v>#N/A</v>
      </c>
      <c r="R343" s="15" t="e">
        <v>#N/A</v>
      </c>
      <c r="S343" s="15"/>
      <c r="T343" s="103"/>
      <c r="U343" s="15"/>
      <c r="V343" s="15"/>
      <c r="W343" s="15"/>
      <c r="X343" s="99"/>
      <c r="Y343" s="71">
        <f ca="1">Table25[[#This Row],[End Date]]+2-TODAY()</f>
        <v>-45530</v>
      </c>
      <c r="Z343" s="15">
        <f>IF(ISBLANK(Table25[[#This Row],[Roster Received By]]),1,0)</f>
        <v>1</v>
      </c>
      <c r="AA343" s="15">
        <f ca="1">IF(Table25[[#This Row],[Start Date]]&gt;TODAY(),1,)</f>
        <v>0</v>
      </c>
    </row>
    <row r="344" spans="1:27" s="106" customFormat="1" ht="15.75" hidden="1" customHeight="1" x14ac:dyDescent="0.25">
      <c r="A344" s="99"/>
      <c r="B344" s="116"/>
      <c r="C344" s="100" t="e">
        <v>#N/A</v>
      </c>
      <c r="D344" s="100" t="e">
        <v>#N/A</v>
      </c>
      <c r="E344" s="116"/>
      <c r="F344" s="132"/>
      <c r="G344" s="132"/>
      <c r="H344" s="105"/>
      <c r="I344" s="105"/>
      <c r="J344" s="102"/>
      <c r="K344" s="102"/>
      <c r="L344" s="102"/>
      <c r="M344" s="102"/>
      <c r="N344" s="102"/>
      <c r="O344" s="99"/>
      <c r="P344" s="99"/>
      <c r="Q344" s="15" t="e">
        <v>#N/A</v>
      </c>
      <c r="R344" s="15" t="e">
        <v>#N/A</v>
      </c>
      <c r="S344" s="15"/>
      <c r="T344" s="103"/>
      <c r="U344" s="15"/>
      <c r="V344" s="15"/>
      <c r="W344" s="15"/>
      <c r="X344" s="99"/>
      <c r="Y344" s="71">
        <f ca="1">Table25[[#This Row],[End Date]]+2-TODAY()</f>
        <v>-45530</v>
      </c>
      <c r="Z344" s="15">
        <f>IF(ISBLANK(Table25[[#This Row],[Roster Received By]]),1,0)</f>
        <v>1</v>
      </c>
      <c r="AA344" s="15">
        <f ca="1">IF(Table25[[#This Row],[Start Date]]&gt;TODAY(),1,)</f>
        <v>0</v>
      </c>
    </row>
    <row r="345" spans="1:27" s="106" customFormat="1" ht="15.75" hidden="1" customHeight="1" x14ac:dyDescent="0.25">
      <c r="A345" s="62"/>
      <c r="B345" s="116"/>
      <c r="C345" s="100" t="e">
        <v>#N/A</v>
      </c>
      <c r="D345" s="100" t="e">
        <v>#N/A</v>
      </c>
      <c r="E345" s="66"/>
      <c r="F345" s="132"/>
      <c r="G345" s="132"/>
      <c r="H345" s="105"/>
      <c r="I345" s="105"/>
      <c r="J345" s="102"/>
      <c r="K345" s="102"/>
      <c r="L345" s="102"/>
      <c r="M345" s="102"/>
      <c r="N345" s="102"/>
      <c r="O345" s="99"/>
      <c r="P345" s="99"/>
      <c r="Q345" s="15" t="e">
        <v>#N/A</v>
      </c>
      <c r="R345" s="15" t="e">
        <v>#N/A</v>
      </c>
      <c r="S345" s="15"/>
      <c r="T345" s="103"/>
      <c r="U345" s="15"/>
      <c r="V345" s="15"/>
      <c r="W345" s="15"/>
      <c r="X345" s="99"/>
      <c r="Y345" s="71">
        <f ca="1">Table25[[#This Row],[End Date]]+2-TODAY()</f>
        <v>-45530</v>
      </c>
      <c r="Z345" s="15">
        <f>IF(ISBLANK(Table25[[#This Row],[Roster Received By]]),1,0)</f>
        <v>1</v>
      </c>
      <c r="AA345" s="15">
        <f ca="1">IF(Table25[[#This Row],[Start Date]]&gt;TODAY(),1,)</f>
        <v>0</v>
      </c>
    </row>
    <row r="346" spans="1:27" s="106" customFormat="1" ht="15.75" hidden="1" customHeight="1" x14ac:dyDescent="0.25">
      <c r="A346" s="62"/>
      <c r="B346" s="116"/>
      <c r="C346" s="100" t="e">
        <v>#N/A</v>
      </c>
      <c r="D346" s="100" t="e">
        <v>#N/A</v>
      </c>
      <c r="E346" s="66"/>
      <c r="F346" s="98"/>
      <c r="G346" s="98"/>
      <c r="H346" s="101"/>
      <c r="I346" s="101"/>
      <c r="J346" s="102"/>
      <c r="K346" s="102"/>
      <c r="L346" s="102"/>
      <c r="M346" s="102"/>
      <c r="N346" s="102"/>
      <c r="O346" s="99"/>
      <c r="P346" s="99"/>
      <c r="Q346" s="15" t="e">
        <v>#N/A</v>
      </c>
      <c r="R346" s="15" t="e">
        <v>#N/A</v>
      </c>
      <c r="S346" s="15"/>
      <c r="T346" s="103"/>
      <c r="U346" s="15"/>
      <c r="V346" s="15"/>
      <c r="W346" s="15"/>
      <c r="X346" s="99"/>
      <c r="Y346" s="71">
        <f ca="1">Table25[[#This Row],[End Date]]+2-TODAY()</f>
        <v>-45530</v>
      </c>
      <c r="Z346" s="15">
        <f>IF(ISBLANK(Table25[[#This Row],[Roster Received By]]),1,0)</f>
        <v>1</v>
      </c>
      <c r="AA346" s="15">
        <f ca="1">IF(Table25[[#This Row],[Start Date]]&gt;TODAY(),1,)</f>
        <v>0</v>
      </c>
    </row>
    <row r="347" spans="1:27" s="106" customFormat="1" ht="15.75" hidden="1" customHeight="1" x14ac:dyDescent="0.25">
      <c r="A347" s="62"/>
      <c r="B347" s="116"/>
      <c r="C347" s="100" t="e">
        <v>#N/A</v>
      </c>
      <c r="D347" s="100" t="e">
        <v>#N/A</v>
      </c>
      <c r="E347" s="116"/>
      <c r="F347" s="110"/>
      <c r="G347" s="110"/>
      <c r="H347" s="102"/>
      <c r="I347" s="101"/>
      <c r="J347" s="101"/>
      <c r="K347" s="101"/>
      <c r="L347" s="101"/>
      <c r="M347" s="101"/>
      <c r="N347" s="101"/>
      <c r="O347" s="99"/>
      <c r="P347" s="99"/>
      <c r="Q347" s="15" t="e">
        <v>#N/A</v>
      </c>
      <c r="R347" s="15" t="e">
        <v>#N/A</v>
      </c>
      <c r="S347" s="15"/>
      <c r="T347" s="103"/>
      <c r="U347" s="15"/>
      <c r="V347" s="15"/>
      <c r="W347" s="15"/>
      <c r="X347" s="99"/>
      <c r="Y347" s="71">
        <f ca="1">Table25[[#This Row],[End Date]]+2-TODAY()</f>
        <v>-45530</v>
      </c>
      <c r="Z347" s="15">
        <f>IF(ISBLANK(Table25[[#This Row],[Roster Received By]]),1,0)</f>
        <v>1</v>
      </c>
      <c r="AA347" s="15">
        <f ca="1">IF(Table25[[#This Row],[Start Date]]&gt;TODAY(),1,)</f>
        <v>0</v>
      </c>
    </row>
    <row r="348" spans="1:27" s="100" customFormat="1" hidden="1" x14ac:dyDescent="0.25">
      <c r="A348" s="62"/>
      <c r="B348" s="118"/>
      <c r="C348" s="100" t="e">
        <v>#N/A</v>
      </c>
      <c r="D348" s="100" t="e">
        <v>#N/A</v>
      </c>
      <c r="E348" s="116"/>
      <c r="F348" s="110"/>
      <c r="G348" s="110"/>
      <c r="H348" s="102"/>
      <c r="I348" s="101"/>
      <c r="J348" s="101"/>
      <c r="K348" s="101"/>
      <c r="L348" s="101"/>
      <c r="M348" s="101"/>
      <c r="N348" s="101"/>
      <c r="O348" s="99"/>
      <c r="P348" s="99"/>
      <c r="Q348" s="15" t="e">
        <v>#N/A</v>
      </c>
      <c r="R348" s="15" t="e">
        <v>#N/A</v>
      </c>
      <c r="S348" s="15"/>
      <c r="T348" s="103"/>
      <c r="U348" s="15"/>
      <c r="V348" s="15"/>
      <c r="W348" s="15"/>
      <c r="X348" s="99"/>
      <c r="Y348" s="71">
        <f ca="1">Table25[[#This Row],[End Date]]+2-TODAY()</f>
        <v>-45530</v>
      </c>
      <c r="Z348" s="15">
        <f>IF(ISBLANK(Table25[[#This Row],[Roster Received By]]),1,0)</f>
        <v>1</v>
      </c>
      <c r="AA348" s="15">
        <f ca="1">IF(Table25[[#This Row],[Start Date]]&gt;TODAY(),1,)</f>
        <v>0</v>
      </c>
    </row>
    <row r="349" spans="1:27" s="62" customFormat="1" hidden="1" x14ac:dyDescent="0.25">
      <c r="B349" s="118"/>
      <c r="C349" s="100" t="e">
        <v>#N/A</v>
      </c>
      <c r="D349" s="100" t="e">
        <v>#N/A</v>
      </c>
      <c r="E349" s="66"/>
      <c r="F349" s="98"/>
      <c r="G349" s="98"/>
      <c r="H349" s="101"/>
      <c r="I349" s="101"/>
      <c r="J349" s="102"/>
      <c r="K349" s="102"/>
      <c r="L349" s="102"/>
      <c r="M349" s="102"/>
      <c r="N349" s="102"/>
      <c r="O349" s="99"/>
      <c r="P349" s="99"/>
      <c r="Q349" s="15" t="e">
        <v>#N/A</v>
      </c>
      <c r="R349" s="15" t="e">
        <v>#N/A</v>
      </c>
      <c r="S349" s="15"/>
      <c r="T349" s="103"/>
      <c r="U349" s="15"/>
      <c r="V349" s="15"/>
      <c r="W349" s="100"/>
      <c r="X349" s="99"/>
      <c r="Y349" s="109">
        <f ca="1">Table25[[#This Row],[End Date]]+2-TODAY()</f>
        <v>-45530</v>
      </c>
      <c r="Z349" s="15">
        <f>IF(ISBLANK(Table25[[#This Row],[Roster Received By]]),1,0)</f>
        <v>1</v>
      </c>
      <c r="AA349" s="100">
        <f ca="1">IF(Table25[[#This Row],[Start Date]]&gt;TODAY(),1,)</f>
        <v>0</v>
      </c>
    </row>
    <row r="350" spans="1:27" s="62" customFormat="1" hidden="1" x14ac:dyDescent="0.25">
      <c r="B350" s="116"/>
      <c r="C350" s="100" t="e">
        <v>#N/A</v>
      </c>
      <c r="D350" s="100" t="e">
        <v>#N/A</v>
      </c>
      <c r="E350" s="128"/>
      <c r="F350" s="131"/>
      <c r="G350" s="131"/>
      <c r="H350" s="168"/>
      <c r="I350" s="101"/>
      <c r="J350" s="101"/>
      <c r="K350" s="101"/>
      <c r="L350" s="101"/>
      <c r="M350" s="101"/>
      <c r="N350" s="101"/>
      <c r="O350" s="99"/>
      <c r="P350" s="99"/>
      <c r="Q350" s="15" t="e">
        <v>#N/A</v>
      </c>
      <c r="R350" s="15" t="e">
        <v>#N/A</v>
      </c>
      <c r="S350" s="15"/>
      <c r="T350" s="103"/>
      <c r="U350" s="15"/>
      <c r="V350" s="15"/>
      <c r="W350" s="100"/>
      <c r="X350" s="99"/>
      <c r="Y350" s="109">
        <f ca="1">Table25[[#This Row],[End Date]]+2-TODAY()</f>
        <v>-45530</v>
      </c>
      <c r="Z350" s="15">
        <f>IF(ISBLANK(Table25[[#This Row],[Roster Received By]]),1,0)</f>
        <v>1</v>
      </c>
      <c r="AA350" s="100">
        <f ca="1">IF(Table25[[#This Row],[Start Date]]&gt;TODAY(),1,)</f>
        <v>0</v>
      </c>
    </row>
    <row r="351" spans="1:27" s="62" customFormat="1" hidden="1" x14ac:dyDescent="0.25">
      <c r="B351" s="116"/>
      <c r="C351" s="100" t="e">
        <v>#N/A</v>
      </c>
      <c r="D351" s="100" t="e">
        <v>#N/A</v>
      </c>
      <c r="E351" s="116"/>
      <c r="F351" s="110"/>
      <c r="G351" s="110"/>
      <c r="H351" s="102"/>
      <c r="I351" s="101"/>
      <c r="J351" s="101"/>
      <c r="K351" s="101"/>
      <c r="L351" s="101"/>
      <c r="M351" s="101"/>
      <c r="N351" s="101"/>
      <c r="O351" s="99"/>
      <c r="P351" s="99"/>
      <c r="Q351" s="15" t="e">
        <v>#N/A</v>
      </c>
      <c r="R351" s="15" t="e">
        <v>#N/A</v>
      </c>
      <c r="S351" s="15"/>
      <c r="T351" s="103"/>
      <c r="U351" s="15"/>
      <c r="V351" s="15"/>
      <c r="W351" s="100"/>
      <c r="X351" s="99"/>
      <c r="Y351" s="109">
        <f ca="1">Table25[[#This Row],[End Date]]+2-TODAY()</f>
        <v>-45530</v>
      </c>
      <c r="Z351" s="15">
        <f>IF(ISBLANK(Table25[[#This Row],[Roster Received By]]),1,0)</f>
        <v>1</v>
      </c>
      <c r="AA351" s="100">
        <f ca="1">IF(Table25[[#This Row],[Start Date]]&gt;TODAY(),1,)</f>
        <v>0</v>
      </c>
    </row>
    <row r="352" spans="1:27" s="62" customFormat="1" hidden="1" x14ac:dyDescent="0.25">
      <c r="B352" s="116"/>
      <c r="C352" s="100" t="e">
        <v>#N/A</v>
      </c>
      <c r="D352" s="100" t="e">
        <v>#N/A</v>
      </c>
      <c r="E352" s="116"/>
      <c r="F352" s="110"/>
      <c r="G352" s="110"/>
      <c r="H352" s="102"/>
      <c r="I352" s="101"/>
      <c r="J352" s="101"/>
      <c r="K352" s="101"/>
      <c r="L352" s="101"/>
      <c r="M352" s="101"/>
      <c r="N352" s="101"/>
      <c r="O352" s="99"/>
      <c r="P352" s="99"/>
      <c r="Q352" s="15" t="e">
        <v>#N/A</v>
      </c>
      <c r="R352" s="15" t="e">
        <v>#N/A</v>
      </c>
      <c r="S352" s="15"/>
      <c r="T352" s="103"/>
      <c r="U352" s="15"/>
      <c r="V352" s="15"/>
      <c r="W352" s="100"/>
      <c r="X352" s="99"/>
      <c r="Y352" s="109">
        <f ca="1">Table25[[#This Row],[End Date]]+2-TODAY()</f>
        <v>-45530</v>
      </c>
      <c r="Z352" s="15">
        <f>IF(ISBLANK(Table25[[#This Row],[Roster Received By]]),1,0)</f>
        <v>1</v>
      </c>
      <c r="AA352" s="100">
        <f ca="1">IF(Table25[[#This Row],[Start Date]]&gt;TODAY(),1,)</f>
        <v>0</v>
      </c>
    </row>
    <row r="353" spans="1:27" s="62" customFormat="1" hidden="1" x14ac:dyDescent="0.25">
      <c r="B353" s="116"/>
      <c r="C353" s="100" t="e">
        <v>#N/A</v>
      </c>
      <c r="D353" s="100" t="e">
        <v>#N/A</v>
      </c>
      <c r="E353" s="116"/>
      <c r="F353" s="110"/>
      <c r="G353" s="110"/>
      <c r="H353" s="105"/>
      <c r="I353" s="105"/>
      <c r="J353" s="105"/>
      <c r="K353" s="105"/>
      <c r="L353" s="105"/>
      <c r="M353" s="105"/>
      <c r="N353" s="102"/>
      <c r="O353" s="99"/>
      <c r="P353" s="99"/>
      <c r="Q353" s="15" t="e">
        <v>#N/A</v>
      </c>
      <c r="R353" s="15" t="e">
        <v>#N/A</v>
      </c>
      <c r="S353" s="15"/>
      <c r="T353" s="103"/>
      <c r="U353" s="15"/>
      <c r="V353" s="15"/>
      <c r="W353" s="100"/>
      <c r="X353" s="99"/>
      <c r="Y353" s="109">
        <f ca="1">Table25[[#This Row],[End Date]]+2-TODAY()</f>
        <v>-45530</v>
      </c>
      <c r="Z353" s="15">
        <f>IF(ISBLANK(Table25[[#This Row],[Roster Received By]]),1,0)</f>
        <v>1</v>
      </c>
      <c r="AA353" s="100">
        <f ca="1">IF(Table25[[#This Row],[Start Date]]&gt;TODAY(),1,)</f>
        <v>0</v>
      </c>
    </row>
    <row r="354" spans="1:27" s="62" customFormat="1" hidden="1" x14ac:dyDescent="0.25">
      <c r="A354" s="99"/>
      <c r="B354" s="118"/>
      <c r="C354" s="100" t="e">
        <v>#N/A</v>
      </c>
      <c r="D354" s="100" t="e">
        <v>#N/A</v>
      </c>
      <c r="E354" s="116"/>
      <c r="F354" s="110"/>
      <c r="G354" s="110"/>
      <c r="H354" s="105"/>
      <c r="I354" s="105"/>
      <c r="J354" s="102"/>
      <c r="K354" s="102"/>
      <c r="L354" s="102"/>
      <c r="M354" s="102"/>
      <c r="N354" s="102"/>
      <c r="O354" s="99"/>
      <c r="P354" s="99"/>
      <c r="Q354" s="15" t="e">
        <v>#N/A</v>
      </c>
      <c r="R354" s="15" t="e">
        <v>#N/A</v>
      </c>
      <c r="S354" s="15"/>
      <c r="T354" s="103"/>
      <c r="U354" s="15"/>
      <c r="V354" s="15"/>
      <c r="W354" s="100"/>
      <c r="X354" s="99"/>
      <c r="Y354" s="109">
        <f ca="1">Table25[[#This Row],[End Date]]+2-TODAY()</f>
        <v>-45530</v>
      </c>
      <c r="Z354" s="15">
        <f>IF(ISBLANK(Table25[[#This Row],[Roster Received By]]),1,0)</f>
        <v>1</v>
      </c>
      <c r="AA354" s="100">
        <f ca="1">IF(Table25[[#This Row],[Start Date]]&gt;TODAY(),1,)</f>
        <v>0</v>
      </c>
    </row>
    <row r="355" spans="1:27" s="62" customFormat="1" hidden="1" x14ac:dyDescent="0.25">
      <c r="B355" s="116"/>
      <c r="C355" s="100" t="e">
        <v>#N/A</v>
      </c>
      <c r="D355" s="100" t="e">
        <v>#N/A</v>
      </c>
      <c r="E355" s="116"/>
      <c r="F355" s="110"/>
      <c r="G355" s="110"/>
      <c r="H355" s="105"/>
      <c r="I355" s="105"/>
      <c r="J355" s="102"/>
      <c r="K355" s="102"/>
      <c r="L355" s="102"/>
      <c r="M355" s="102"/>
      <c r="N355" s="102"/>
      <c r="O355" s="99"/>
      <c r="P355" s="99"/>
      <c r="Q355" s="15" t="e">
        <v>#N/A</v>
      </c>
      <c r="R355" s="15" t="e">
        <v>#N/A</v>
      </c>
      <c r="S355" s="103"/>
      <c r="T355" s="103"/>
      <c r="U355" s="15"/>
      <c r="V355" s="15"/>
      <c r="W355" s="100"/>
      <c r="X355" s="99"/>
      <c r="Y355" s="109">
        <f ca="1">Table25[[#This Row],[End Date]]+2-TODAY()</f>
        <v>-45530</v>
      </c>
      <c r="Z355" s="15">
        <f>IF(ISBLANK(Table25[[#This Row],[Roster Received By]]),1,0)</f>
        <v>1</v>
      </c>
      <c r="AA355" s="100">
        <f ca="1">IF(Table25[[#This Row],[Start Date]]&gt;TODAY(),1,)</f>
        <v>0</v>
      </c>
    </row>
    <row r="356" spans="1:27" s="62" customFormat="1" hidden="1" x14ac:dyDescent="0.25">
      <c r="B356" s="116"/>
      <c r="C356" s="100" t="e">
        <v>#N/A</v>
      </c>
      <c r="D356" s="100" t="e">
        <v>#N/A</v>
      </c>
      <c r="E356" s="66"/>
      <c r="F356" s="110"/>
      <c r="G356" s="110"/>
      <c r="H356" s="105"/>
      <c r="I356" s="105"/>
      <c r="J356" s="102"/>
      <c r="K356" s="102"/>
      <c r="L356" s="102"/>
      <c r="M356" s="102"/>
      <c r="N356" s="102"/>
      <c r="O356" s="99"/>
      <c r="P356" s="99"/>
      <c r="Q356" s="15" t="e">
        <v>#N/A</v>
      </c>
      <c r="R356" s="15" t="e">
        <v>#N/A</v>
      </c>
      <c r="S356" s="15"/>
      <c r="T356" s="103"/>
      <c r="U356" s="15"/>
      <c r="V356" s="15"/>
      <c r="W356" s="100"/>
      <c r="X356" s="99"/>
      <c r="Y356" s="109">
        <f ca="1">Table25[[#This Row],[End Date]]+2-TODAY()</f>
        <v>-45530</v>
      </c>
      <c r="Z356" s="15">
        <f>IF(ISBLANK(Table25[[#This Row],[Roster Received By]]),1,0)</f>
        <v>1</v>
      </c>
      <c r="AA356" s="100">
        <f ca="1">IF(Table25[[#This Row],[Start Date]]&gt;TODAY(),1,)</f>
        <v>0</v>
      </c>
    </row>
    <row r="357" spans="1:27" s="62" customFormat="1" hidden="1" x14ac:dyDescent="0.25">
      <c r="A357" s="99"/>
      <c r="B357" s="118"/>
      <c r="C357" s="100" t="e">
        <v>#N/A</v>
      </c>
      <c r="D357" s="100" t="e">
        <v>#N/A</v>
      </c>
      <c r="E357" s="116"/>
      <c r="F357" s="102"/>
      <c r="G357" s="102"/>
      <c r="H357" s="105"/>
      <c r="I357" s="105"/>
      <c r="J357" s="102"/>
      <c r="K357" s="102"/>
      <c r="L357" s="102"/>
      <c r="M357" s="102"/>
      <c r="N357" s="102"/>
      <c r="O357" s="99"/>
      <c r="P357" s="99"/>
      <c r="Q357" s="15" t="e">
        <v>#N/A</v>
      </c>
      <c r="R357" s="15" t="e">
        <v>#N/A</v>
      </c>
      <c r="S357" s="15"/>
      <c r="T357" s="103"/>
      <c r="U357" s="15"/>
      <c r="V357" s="15"/>
      <c r="W357" s="100"/>
      <c r="X357" s="99"/>
      <c r="Y357" s="109">
        <f ca="1">Table25[[#This Row],[End Date]]+2-TODAY()</f>
        <v>-45530</v>
      </c>
      <c r="Z357" s="15">
        <f>IF(ISBLANK(Table25[[#This Row],[Roster Received By]]),1,0)</f>
        <v>1</v>
      </c>
      <c r="AA357" s="100">
        <f ca="1">IF(Table25[[#This Row],[Start Date]]&gt;TODAY(),1,)</f>
        <v>0</v>
      </c>
    </row>
    <row r="358" spans="1:27" s="62" customFormat="1" hidden="1" x14ac:dyDescent="0.25">
      <c r="B358" s="127"/>
      <c r="C358" s="100" t="e">
        <v>#N/A</v>
      </c>
      <c r="D358" s="100" t="e">
        <v>#N/A</v>
      </c>
      <c r="E358" s="116"/>
      <c r="F358" s="102"/>
      <c r="G358" s="102"/>
      <c r="H358" s="102"/>
      <c r="I358" s="101"/>
      <c r="J358" s="101"/>
      <c r="K358" s="101"/>
      <c r="L358" s="101"/>
      <c r="M358" s="101"/>
      <c r="N358" s="101"/>
      <c r="O358" s="99"/>
      <c r="P358" s="99"/>
      <c r="Q358" s="15" t="e">
        <v>#N/A</v>
      </c>
      <c r="R358" s="15" t="e">
        <v>#N/A</v>
      </c>
      <c r="S358" s="15"/>
      <c r="T358" s="103"/>
      <c r="U358" s="15"/>
      <c r="V358" s="15"/>
      <c r="W358" s="100"/>
      <c r="X358" s="99"/>
      <c r="Y358" s="109">
        <f ca="1">Table25[[#This Row],[End Date]]+2-TODAY()</f>
        <v>-45530</v>
      </c>
      <c r="Z358" s="15">
        <f>IF(ISBLANK(Table25[[#This Row],[Roster Received By]]),1,0)</f>
        <v>1</v>
      </c>
      <c r="AA358" s="100">
        <f ca="1">IF(Table25[[#This Row],[Start Date]]&gt;TODAY(),1,)</f>
        <v>0</v>
      </c>
    </row>
    <row r="359" spans="1:27" s="62" customFormat="1" hidden="1" x14ac:dyDescent="0.25">
      <c r="B359" s="118"/>
      <c r="C359" s="100" t="e">
        <v>#N/A</v>
      </c>
      <c r="D359" s="100" t="e">
        <v>#N/A</v>
      </c>
      <c r="E359" s="116"/>
      <c r="F359" s="102"/>
      <c r="G359" s="102"/>
      <c r="H359" s="105"/>
      <c r="I359" s="105"/>
      <c r="J359" s="102"/>
      <c r="K359" s="102"/>
      <c r="L359" s="102"/>
      <c r="M359" s="102"/>
      <c r="N359" s="102"/>
      <c r="O359" s="99"/>
      <c r="P359" s="99"/>
      <c r="Q359" s="15" t="e">
        <v>#N/A</v>
      </c>
      <c r="R359" s="15" t="e">
        <v>#N/A</v>
      </c>
      <c r="S359" s="15"/>
      <c r="T359" s="103"/>
      <c r="U359" s="15"/>
      <c r="V359" s="15"/>
      <c r="W359" s="100"/>
      <c r="X359" s="99"/>
      <c r="Y359" s="109">
        <f ca="1">Table25[[#This Row],[End Date]]+2-TODAY()</f>
        <v>-45530</v>
      </c>
      <c r="Z359" s="15">
        <f>IF(ISBLANK(Table25[[#This Row],[Roster Received By]]),1,0)</f>
        <v>1</v>
      </c>
      <c r="AA359" s="100">
        <f ca="1">IF(Table25[[#This Row],[Start Date]]&gt;TODAY(),1,)</f>
        <v>0</v>
      </c>
    </row>
    <row r="360" spans="1:27" s="62" customFormat="1" hidden="1" x14ac:dyDescent="0.25">
      <c r="B360" s="116"/>
      <c r="C360" s="100" t="e">
        <v>#N/A</v>
      </c>
      <c r="D360" s="100" t="e">
        <v>#N/A</v>
      </c>
      <c r="E360" s="99"/>
      <c r="F360" s="102"/>
      <c r="G360" s="102"/>
      <c r="H360" s="105"/>
      <c r="I360" s="112"/>
      <c r="J360" s="112"/>
      <c r="K360" s="112"/>
      <c r="L360" s="112"/>
      <c r="M360" s="112"/>
      <c r="N360" s="112"/>
      <c r="O360" s="99"/>
      <c r="P360" s="99"/>
      <c r="Q360" s="15" t="e">
        <v>#N/A</v>
      </c>
      <c r="R360" s="15" t="e">
        <v>#N/A</v>
      </c>
      <c r="S360" s="103"/>
      <c r="T360" s="113"/>
      <c r="U360" s="113"/>
      <c r="V360" s="113"/>
      <c r="W360" s="113"/>
      <c r="X360" s="99"/>
      <c r="Y360" s="113"/>
    </row>
    <row r="361" spans="1:27" s="62" customFormat="1" hidden="1" x14ac:dyDescent="0.25">
      <c r="A361" s="65"/>
      <c r="B361" s="116"/>
      <c r="C361" s="100" t="e">
        <v>#N/A</v>
      </c>
      <c r="D361" s="100" t="e">
        <v>#N/A</v>
      </c>
      <c r="E361" s="116"/>
      <c r="F361" s="102"/>
      <c r="G361" s="102"/>
      <c r="H361" s="102"/>
      <c r="I361" s="101"/>
      <c r="J361" s="101"/>
      <c r="K361" s="101"/>
      <c r="L361" s="101"/>
      <c r="M361" s="101"/>
      <c r="N361" s="101"/>
      <c r="O361" s="99"/>
      <c r="P361" s="99"/>
      <c r="Q361" s="15" t="e">
        <v>#N/A</v>
      </c>
      <c r="R361" s="15" t="e">
        <v>#N/A</v>
      </c>
      <c r="S361" s="15"/>
      <c r="T361" s="103"/>
      <c r="U361" s="15"/>
      <c r="V361" s="15"/>
      <c r="W361" s="100"/>
      <c r="X361" s="99"/>
      <c r="Y361" s="109">
        <f ca="1">Table25[[#This Row],[End Date]]+2-TODAY()</f>
        <v>-45530</v>
      </c>
      <c r="Z361" s="15">
        <f>IF(ISBLANK(Table25[[#This Row],[Roster Received By]]),1,0)</f>
        <v>1</v>
      </c>
      <c r="AA361" s="100">
        <f ca="1">IF(Table25[[#This Row],[Start Date]]&gt;TODAY(),1,)</f>
        <v>0</v>
      </c>
    </row>
    <row r="362" spans="1:27" s="62" customFormat="1" hidden="1" x14ac:dyDescent="0.25">
      <c r="B362" s="116"/>
      <c r="C362" s="100" t="e">
        <v>#N/A</v>
      </c>
      <c r="D362" s="100" t="e">
        <v>#N/A</v>
      </c>
      <c r="E362" s="116"/>
      <c r="F362" s="102"/>
      <c r="G362" s="102"/>
      <c r="H362" s="105"/>
      <c r="I362" s="105"/>
      <c r="J362" s="102"/>
      <c r="K362" s="102"/>
      <c r="L362" s="102"/>
      <c r="M362" s="102"/>
      <c r="N362" s="102"/>
      <c r="O362" s="99"/>
      <c r="P362" s="99"/>
      <c r="Q362" s="15" t="e">
        <v>#N/A</v>
      </c>
      <c r="R362" s="15" t="e">
        <v>#N/A</v>
      </c>
      <c r="S362" s="15"/>
      <c r="T362" s="103"/>
      <c r="U362" s="15"/>
      <c r="V362" s="15"/>
      <c r="W362" s="100"/>
      <c r="X362" s="99"/>
      <c r="Y362" s="109">
        <f ca="1">Table25[[#This Row],[End Date]]+2-TODAY()</f>
        <v>-45530</v>
      </c>
      <c r="Z362" s="15">
        <f>IF(ISBLANK(Table25[[#This Row],[Roster Received By]]),1,0)</f>
        <v>1</v>
      </c>
      <c r="AA362" s="100">
        <f ca="1">IF(Table25[[#This Row],[Start Date]]&gt;TODAY(),1,)</f>
        <v>0</v>
      </c>
    </row>
    <row r="363" spans="1:27" s="62" customFormat="1" hidden="1" x14ac:dyDescent="0.25">
      <c r="A363" s="99"/>
      <c r="B363" s="118"/>
      <c r="C363" s="100" t="e">
        <v>#N/A</v>
      </c>
      <c r="D363" s="100" t="e">
        <v>#N/A</v>
      </c>
      <c r="E363" s="116"/>
      <c r="F363" s="102"/>
      <c r="G363" s="102"/>
      <c r="H363" s="105"/>
      <c r="I363" s="105"/>
      <c r="J363" s="102"/>
      <c r="K363" s="102"/>
      <c r="L363" s="102"/>
      <c r="M363" s="102"/>
      <c r="N363" s="102"/>
      <c r="O363" s="99"/>
      <c r="P363" s="99"/>
      <c r="Q363" s="15" t="e">
        <v>#N/A</v>
      </c>
      <c r="R363" s="15" t="e">
        <v>#N/A</v>
      </c>
      <c r="S363" s="15"/>
      <c r="T363" s="103"/>
      <c r="U363" s="15"/>
      <c r="V363" s="15"/>
      <c r="W363" s="100"/>
      <c r="X363" s="99"/>
      <c r="Y363" s="109">
        <f ca="1">Table25[[#This Row],[End Date]]+2-TODAY()</f>
        <v>-45530</v>
      </c>
      <c r="Z363" s="15">
        <f>IF(ISBLANK(Table25[[#This Row],[Roster Received By]]),1,0)</f>
        <v>1</v>
      </c>
      <c r="AA363" s="100">
        <f ca="1">IF(Table25[[#This Row],[Start Date]]&gt;TODAY(),1,)</f>
        <v>0</v>
      </c>
    </row>
    <row r="364" spans="1:27" s="62" customFormat="1" hidden="1" x14ac:dyDescent="0.25">
      <c r="B364" s="116"/>
      <c r="C364" s="100" t="e">
        <v>#N/A</v>
      </c>
      <c r="D364" s="100" t="e">
        <v>#N/A</v>
      </c>
      <c r="E364" s="116"/>
      <c r="F364" s="102"/>
      <c r="G364" s="102"/>
      <c r="H364" s="102"/>
      <c r="I364" s="101"/>
      <c r="J364" s="101"/>
      <c r="K364" s="101"/>
      <c r="L364" s="101"/>
      <c r="M364" s="101"/>
      <c r="N364" s="101"/>
      <c r="O364" s="99"/>
      <c r="P364" s="99"/>
      <c r="Q364" s="15" t="e">
        <v>#N/A</v>
      </c>
      <c r="R364" s="15" t="e">
        <v>#N/A</v>
      </c>
      <c r="S364" s="15"/>
      <c r="T364" s="103"/>
      <c r="U364" s="15"/>
      <c r="V364" s="15"/>
      <c r="W364" s="100"/>
      <c r="X364" s="99"/>
      <c r="Y364" s="109">
        <f ca="1">Table25[[#This Row],[End Date]]+2-TODAY()</f>
        <v>-45530</v>
      </c>
      <c r="Z364" s="15">
        <f>IF(ISBLANK(Table25[[#This Row],[Roster Received By]]),1,0)</f>
        <v>1</v>
      </c>
      <c r="AA364" s="100">
        <f ca="1">IF(Table25[[#This Row],[Start Date]]&gt;TODAY(),1,)</f>
        <v>0</v>
      </c>
    </row>
    <row r="365" spans="1:27" s="62" customFormat="1" hidden="1" x14ac:dyDescent="0.25">
      <c r="B365" s="116"/>
      <c r="C365" s="100" t="e">
        <v>#N/A</v>
      </c>
      <c r="D365" s="100" t="e">
        <v>#N/A</v>
      </c>
      <c r="E365" s="116"/>
      <c r="F365" s="102"/>
      <c r="G365" s="102"/>
      <c r="H365" s="102"/>
      <c r="I365" s="101"/>
      <c r="J365" s="101"/>
      <c r="K365" s="101"/>
      <c r="L365" s="101"/>
      <c r="M365" s="101"/>
      <c r="N365" s="101"/>
      <c r="O365" s="99"/>
      <c r="P365" s="99"/>
      <c r="Q365" s="15" t="e">
        <v>#N/A</v>
      </c>
      <c r="R365" s="15" t="e">
        <v>#N/A</v>
      </c>
      <c r="S365" s="15"/>
      <c r="T365" s="103"/>
      <c r="U365" s="15"/>
      <c r="V365" s="15"/>
      <c r="W365" s="100"/>
      <c r="X365" s="99"/>
      <c r="Y365" s="109">
        <f ca="1">Table25[[#This Row],[End Date]]+2-TODAY()</f>
        <v>-45530</v>
      </c>
      <c r="Z365" s="15">
        <f>IF(ISBLANK(Table25[[#This Row],[Roster Received By]]),1,0)</f>
        <v>1</v>
      </c>
      <c r="AA365" s="100">
        <f ca="1">IF(Table25[[#This Row],[Start Date]]&gt;TODAY(),1,)</f>
        <v>0</v>
      </c>
    </row>
    <row r="366" spans="1:27" s="62" customFormat="1" hidden="1" x14ac:dyDescent="0.25">
      <c r="B366" s="116"/>
      <c r="C366" s="100" t="e">
        <v>#N/A</v>
      </c>
      <c r="D366" s="100" t="e">
        <v>#N/A</v>
      </c>
      <c r="E366" s="116"/>
      <c r="F366" s="102"/>
      <c r="G366" s="102"/>
      <c r="H366" s="102"/>
      <c r="I366" s="101"/>
      <c r="J366" s="101"/>
      <c r="K366" s="101"/>
      <c r="L366" s="101"/>
      <c r="M366" s="101"/>
      <c r="N366" s="101"/>
      <c r="O366" s="99"/>
      <c r="P366" s="99"/>
      <c r="Q366" s="15" t="e">
        <v>#N/A</v>
      </c>
      <c r="R366" s="15" t="e">
        <v>#N/A</v>
      </c>
      <c r="S366" s="15"/>
      <c r="T366" s="103"/>
      <c r="U366" s="15"/>
      <c r="V366" s="15"/>
      <c r="W366" s="100"/>
      <c r="X366" s="99"/>
      <c r="Y366" s="109">
        <f ca="1">Table25[[#This Row],[End Date]]+2-TODAY()</f>
        <v>-45530</v>
      </c>
      <c r="Z366" s="15">
        <f>IF(ISBLANK(Table25[[#This Row],[Roster Received By]]),1,0)</f>
        <v>1</v>
      </c>
      <c r="AA366" s="100">
        <f ca="1">IF(Table25[[#This Row],[Start Date]]&gt;TODAY(),1,)</f>
        <v>0</v>
      </c>
    </row>
    <row r="367" spans="1:27" s="62" customFormat="1" hidden="1" x14ac:dyDescent="0.25">
      <c r="B367" s="116"/>
      <c r="C367" s="100" t="e">
        <v>#N/A</v>
      </c>
      <c r="D367" s="100" t="e">
        <v>#N/A</v>
      </c>
      <c r="E367" s="99"/>
      <c r="F367" s="102"/>
      <c r="G367" s="102"/>
      <c r="H367" s="102"/>
      <c r="I367" s="101"/>
      <c r="J367" s="101"/>
      <c r="K367" s="101"/>
      <c r="L367" s="101"/>
      <c r="M367" s="101"/>
      <c r="N367" s="101"/>
      <c r="O367" s="99"/>
      <c r="P367" s="99"/>
      <c r="Q367" s="15" t="e">
        <v>#N/A</v>
      </c>
      <c r="R367" s="15" t="e">
        <v>#N/A</v>
      </c>
      <c r="S367" s="15"/>
      <c r="T367" s="103"/>
      <c r="U367" s="15"/>
      <c r="V367" s="15"/>
      <c r="W367" s="100"/>
      <c r="X367" s="99"/>
      <c r="Y367" s="109">
        <f ca="1">Table25[[#This Row],[End Date]]+2-TODAY()</f>
        <v>-45530</v>
      </c>
      <c r="Z367" s="15">
        <f>IF(ISBLANK(Table25[[#This Row],[Roster Received By]]),1,0)</f>
        <v>1</v>
      </c>
      <c r="AA367" s="100">
        <f ca="1">IF(Table25[[#This Row],[Start Date]]&gt;TODAY(),1,)</f>
        <v>0</v>
      </c>
    </row>
    <row r="368" spans="1:27" s="62" customFormat="1" hidden="1" x14ac:dyDescent="0.25">
      <c r="B368" s="116"/>
      <c r="C368" s="100" t="e">
        <v>#N/A</v>
      </c>
      <c r="D368" s="100" t="e">
        <v>#N/A</v>
      </c>
      <c r="E368" s="116"/>
      <c r="F368" s="102"/>
      <c r="G368" s="102"/>
      <c r="H368" s="105"/>
      <c r="I368" s="105"/>
      <c r="J368" s="102"/>
      <c r="K368" s="102"/>
      <c r="L368" s="102"/>
      <c r="M368" s="102"/>
      <c r="N368" s="102"/>
      <c r="O368" s="99"/>
      <c r="P368" s="99"/>
      <c r="Q368" s="15" t="e">
        <v>#N/A</v>
      </c>
      <c r="R368" s="15" t="e">
        <v>#N/A</v>
      </c>
      <c r="S368" s="15"/>
      <c r="T368" s="103"/>
      <c r="U368" s="15"/>
      <c r="V368" s="15"/>
      <c r="W368" s="100"/>
      <c r="X368" s="99"/>
      <c r="Y368" s="109">
        <f ca="1">Table25[[#This Row],[End Date]]+2-TODAY()</f>
        <v>-45530</v>
      </c>
      <c r="Z368" s="15">
        <f>IF(ISBLANK(Table25[[#This Row],[Roster Received By]]),1,0)</f>
        <v>1</v>
      </c>
      <c r="AA368" s="100">
        <f ca="1">IF(Table25[[#This Row],[Start Date]]&gt;TODAY(),1,)</f>
        <v>0</v>
      </c>
    </row>
    <row r="369" spans="1:27" s="62" customFormat="1" hidden="1" x14ac:dyDescent="0.25">
      <c r="B369" s="116"/>
      <c r="C369" s="100" t="e">
        <v>#N/A</v>
      </c>
      <c r="D369" s="100" t="e">
        <v>#N/A</v>
      </c>
      <c r="E369" s="116"/>
      <c r="F369" s="102"/>
      <c r="G369" s="102"/>
      <c r="H369" s="105"/>
      <c r="I369" s="105"/>
      <c r="J369" s="102"/>
      <c r="K369" s="102"/>
      <c r="L369" s="102"/>
      <c r="M369" s="102"/>
      <c r="N369" s="102"/>
      <c r="O369" s="99"/>
      <c r="P369" s="99"/>
      <c r="Q369" s="15" t="e">
        <v>#N/A</v>
      </c>
      <c r="R369" s="15" t="e">
        <v>#N/A</v>
      </c>
      <c r="S369" s="15"/>
      <c r="T369" s="103"/>
      <c r="U369" s="15"/>
      <c r="V369" s="15"/>
      <c r="W369" s="100"/>
      <c r="X369" s="99"/>
      <c r="Y369" s="109">
        <f ca="1">Table25[[#This Row],[End Date]]+2-TODAY()</f>
        <v>-45530</v>
      </c>
      <c r="Z369" s="15">
        <f>IF(ISBLANK(Table25[[#This Row],[Roster Received By]]),1,0)</f>
        <v>1</v>
      </c>
      <c r="AA369" s="100">
        <f ca="1">IF(Table25[[#This Row],[Start Date]]&gt;TODAY(),1,)</f>
        <v>0</v>
      </c>
    </row>
    <row r="370" spans="1:27" s="62" customFormat="1" hidden="1" x14ac:dyDescent="0.25">
      <c r="B370" s="116"/>
      <c r="C370" s="100" t="e">
        <v>#N/A</v>
      </c>
      <c r="D370" s="100" t="e">
        <v>#N/A</v>
      </c>
      <c r="E370" s="116"/>
      <c r="F370" s="102"/>
      <c r="G370" s="102"/>
      <c r="H370" s="105"/>
      <c r="I370" s="105"/>
      <c r="J370" s="102"/>
      <c r="K370" s="102"/>
      <c r="L370" s="102"/>
      <c r="M370" s="102"/>
      <c r="N370" s="102"/>
      <c r="O370" s="99"/>
      <c r="P370" s="99"/>
      <c r="Q370" s="15" t="e">
        <v>#N/A</v>
      </c>
      <c r="R370" s="15" t="e">
        <v>#N/A</v>
      </c>
      <c r="S370" s="15"/>
      <c r="T370" s="103"/>
      <c r="U370" s="15"/>
      <c r="V370" s="15"/>
      <c r="W370" s="100"/>
      <c r="X370" s="99"/>
      <c r="Y370" s="109">
        <f ca="1">Table25[[#This Row],[End Date]]+2-TODAY()</f>
        <v>-45530</v>
      </c>
      <c r="Z370" s="15">
        <f>IF(ISBLANK(Table25[[#This Row],[Roster Received By]]),1,0)</f>
        <v>1</v>
      </c>
      <c r="AA370" s="100">
        <f ca="1">IF(Table25[[#This Row],[Start Date]]&gt;TODAY(),1,)</f>
        <v>0</v>
      </c>
    </row>
    <row r="371" spans="1:27" s="62" customFormat="1" hidden="1" x14ac:dyDescent="0.25">
      <c r="B371" s="116"/>
      <c r="C371" s="100" t="e">
        <v>#N/A</v>
      </c>
      <c r="D371" s="100" t="e">
        <v>#N/A</v>
      </c>
      <c r="E371" s="116"/>
      <c r="F371" s="102"/>
      <c r="G371" s="102"/>
      <c r="H371" s="105"/>
      <c r="I371" s="105"/>
      <c r="J371" s="102"/>
      <c r="K371" s="102"/>
      <c r="L371" s="102"/>
      <c r="M371" s="102"/>
      <c r="N371" s="102"/>
      <c r="O371" s="99"/>
      <c r="P371" s="99"/>
      <c r="Q371" s="15" t="e">
        <v>#N/A</v>
      </c>
      <c r="R371" s="15" t="e">
        <v>#N/A</v>
      </c>
      <c r="S371" s="15"/>
      <c r="T371" s="103"/>
      <c r="U371" s="15"/>
      <c r="V371" s="15"/>
      <c r="W371" s="100"/>
      <c r="X371" s="99"/>
      <c r="Y371" s="109">
        <f ca="1">Table25[[#This Row],[End Date]]+2-TODAY()</f>
        <v>-45530</v>
      </c>
      <c r="Z371" s="15">
        <f>IF(ISBLANK(Table25[[#This Row],[Roster Received By]]),1,0)</f>
        <v>1</v>
      </c>
      <c r="AA371" s="100">
        <f ca="1">IF(Table25[[#This Row],[Start Date]]&gt;TODAY(),1,)</f>
        <v>0</v>
      </c>
    </row>
    <row r="372" spans="1:27" s="62" customFormat="1" hidden="1" x14ac:dyDescent="0.25">
      <c r="B372" s="116"/>
      <c r="C372" s="100" t="e">
        <v>#N/A</v>
      </c>
      <c r="D372" s="100" t="e">
        <v>#N/A</v>
      </c>
      <c r="E372" s="66"/>
      <c r="F372" s="98"/>
      <c r="G372" s="98"/>
      <c r="H372" s="67"/>
      <c r="I372" s="101"/>
      <c r="J372" s="101"/>
      <c r="K372" s="101"/>
      <c r="L372" s="101"/>
      <c r="M372" s="101"/>
      <c r="N372" s="101"/>
      <c r="O372" s="99"/>
      <c r="P372" s="99"/>
      <c r="Q372" s="15" t="e">
        <v>#N/A</v>
      </c>
      <c r="R372" s="15" t="e">
        <v>#N/A</v>
      </c>
      <c r="S372" s="15"/>
      <c r="T372" s="103"/>
      <c r="U372" s="15"/>
      <c r="V372" s="15"/>
      <c r="W372" s="100"/>
      <c r="X372" s="99"/>
      <c r="Y372" s="109">
        <f ca="1">Table25[[#This Row],[End Date]]+2-TODAY()</f>
        <v>-45530</v>
      </c>
      <c r="Z372" s="15">
        <f>IF(ISBLANK(Table25[[#This Row],[Roster Received By]]),1,0)</f>
        <v>1</v>
      </c>
      <c r="AA372" s="100">
        <f ca="1">IF(Table25[[#This Row],[Start Date]]&gt;TODAY(),1,)</f>
        <v>0</v>
      </c>
    </row>
    <row r="373" spans="1:27" s="62" customFormat="1" hidden="1" x14ac:dyDescent="0.25">
      <c r="B373" s="116"/>
      <c r="C373" s="100" t="e">
        <v>#N/A</v>
      </c>
      <c r="D373" s="100" t="e">
        <v>#N/A</v>
      </c>
      <c r="E373" s="116"/>
      <c r="F373" s="110"/>
      <c r="G373" s="110"/>
      <c r="H373" s="105"/>
      <c r="I373" s="105"/>
      <c r="J373" s="102"/>
      <c r="K373" s="102"/>
      <c r="L373" s="102"/>
      <c r="M373" s="102"/>
      <c r="N373" s="102"/>
      <c r="O373" s="99"/>
      <c r="P373" s="99"/>
      <c r="Q373" s="15" t="e">
        <v>#N/A</v>
      </c>
      <c r="R373" s="15" t="e">
        <v>#N/A</v>
      </c>
      <c r="S373" s="15"/>
      <c r="T373" s="103"/>
      <c r="U373" s="15"/>
      <c r="V373" s="15"/>
      <c r="W373" s="100"/>
      <c r="X373" s="99"/>
      <c r="Y373" s="109">
        <f ca="1">Table25[[#This Row],[End Date]]+2-TODAY()</f>
        <v>-45530</v>
      </c>
      <c r="Z373" s="15">
        <f>IF(ISBLANK(Table25[[#This Row],[Roster Received By]]),1,0)</f>
        <v>1</v>
      </c>
      <c r="AA373" s="100">
        <f ca="1">IF(Table25[[#This Row],[Start Date]]&gt;TODAY(),1,)</f>
        <v>0</v>
      </c>
    </row>
    <row r="374" spans="1:27" s="62" customFormat="1" hidden="1" x14ac:dyDescent="0.25">
      <c r="A374" s="99"/>
      <c r="B374" s="116"/>
      <c r="C374" s="100" t="e">
        <v>#N/A</v>
      </c>
      <c r="D374" s="100" t="e">
        <v>#N/A</v>
      </c>
      <c r="E374" s="116"/>
      <c r="F374" s="110"/>
      <c r="G374" s="110"/>
      <c r="H374" s="105"/>
      <c r="I374" s="105"/>
      <c r="J374" s="102"/>
      <c r="K374" s="102"/>
      <c r="L374" s="102"/>
      <c r="M374" s="102"/>
      <c r="N374" s="102"/>
      <c r="O374" s="99"/>
      <c r="P374" s="99"/>
      <c r="Q374" s="15" t="e">
        <v>#N/A</v>
      </c>
      <c r="R374" s="15" t="e">
        <v>#N/A</v>
      </c>
      <c r="S374" s="15"/>
      <c r="T374" s="103"/>
      <c r="U374" s="15"/>
      <c r="V374" s="15"/>
      <c r="W374" s="100"/>
      <c r="X374" s="99"/>
      <c r="Y374" s="109">
        <f ca="1">Table25[[#This Row],[End Date]]+2-TODAY()</f>
        <v>-45530</v>
      </c>
      <c r="Z374" s="15">
        <f>IF(ISBLANK(Table25[[#This Row],[Roster Received By]]),1,0)</f>
        <v>1</v>
      </c>
      <c r="AA374" s="100">
        <f ca="1">IF(Table25[[#This Row],[Start Date]]&gt;TODAY(),1,)</f>
        <v>0</v>
      </c>
    </row>
    <row r="375" spans="1:27" s="62" customFormat="1" hidden="1" x14ac:dyDescent="0.25">
      <c r="B375" s="116"/>
      <c r="C375" s="100" t="e">
        <v>#N/A</v>
      </c>
      <c r="D375" s="100" t="e">
        <v>#N/A</v>
      </c>
      <c r="E375" s="66"/>
      <c r="F375" s="110"/>
      <c r="G375" s="110"/>
      <c r="H375" s="105"/>
      <c r="I375" s="105"/>
      <c r="J375" s="102"/>
      <c r="K375" s="102"/>
      <c r="L375" s="102"/>
      <c r="M375" s="102"/>
      <c r="N375" s="102"/>
      <c r="O375" s="99"/>
      <c r="P375" s="99"/>
      <c r="Q375" s="15" t="e">
        <v>#N/A</v>
      </c>
      <c r="R375" s="15" t="e">
        <v>#N/A</v>
      </c>
      <c r="S375" s="15"/>
      <c r="T375" s="103"/>
      <c r="U375" s="15"/>
      <c r="V375" s="15"/>
      <c r="W375" s="100"/>
      <c r="X375" s="99"/>
      <c r="Y375" s="109">
        <f ca="1">Table25[[#This Row],[End Date]]+2-TODAY()</f>
        <v>-45530</v>
      </c>
      <c r="Z375" s="15">
        <f>IF(ISBLANK(Table25[[#This Row],[Roster Received By]]),1,0)</f>
        <v>1</v>
      </c>
      <c r="AA375" s="100">
        <f ca="1">IF(Table25[[#This Row],[Start Date]]&gt;TODAY(),1,)</f>
        <v>0</v>
      </c>
    </row>
    <row r="376" spans="1:27" s="62" customFormat="1" hidden="1" x14ac:dyDescent="0.25">
      <c r="B376" s="116"/>
      <c r="C376" s="100" t="e">
        <v>#N/A</v>
      </c>
      <c r="D376" s="100" t="e">
        <v>#N/A</v>
      </c>
      <c r="E376" s="116"/>
      <c r="F376" s="110"/>
      <c r="G376" s="110"/>
      <c r="H376" s="105"/>
      <c r="I376" s="105"/>
      <c r="J376" s="102"/>
      <c r="K376" s="102"/>
      <c r="L376" s="102"/>
      <c r="M376" s="102"/>
      <c r="N376" s="102"/>
      <c r="O376" s="99"/>
      <c r="P376" s="99"/>
      <c r="Q376" s="15" t="e">
        <v>#N/A</v>
      </c>
      <c r="R376" s="15" t="e">
        <v>#N/A</v>
      </c>
      <c r="S376" s="15"/>
      <c r="T376" s="103"/>
      <c r="U376" s="15"/>
      <c r="V376" s="15"/>
      <c r="W376" s="100"/>
      <c r="X376" s="99"/>
      <c r="Y376" s="109">
        <f ca="1">Table25[[#This Row],[End Date]]+2-TODAY()</f>
        <v>-45530</v>
      </c>
      <c r="Z376" s="15">
        <f>IF(ISBLANK(Table25[[#This Row],[Roster Received By]]),1,0)</f>
        <v>1</v>
      </c>
      <c r="AA376" s="100">
        <f ca="1">IF(Table25[[#This Row],[Start Date]]&gt;TODAY(),1,)</f>
        <v>0</v>
      </c>
    </row>
    <row r="377" spans="1:27" s="62" customFormat="1" hidden="1" x14ac:dyDescent="0.25">
      <c r="B377" s="116"/>
      <c r="C377" s="100" t="e">
        <v>#N/A</v>
      </c>
      <c r="D377" s="100" t="e">
        <v>#N/A</v>
      </c>
      <c r="E377" s="116"/>
      <c r="F377" s="110"/>
      <c r="G377" s="110"/>
      <c r="H377" s="102"/>
      <c r="I377" s="101"/>
      <c r="J377" s="101"/>
      <c r="K377" s="101"/>
      <c r="L377" s="101"/>
      <c r="M377" s="101"/>
      <c r="N377" s="101"/>
      <c r="O377" s="99"/>
      <c r="P377" s="99"/>
      <c r="Q377" s="15" t="e">
        <v>#N/A</v>
      </c>
      <c r="R377" s="15" t="e">
        <v>#N/A</v>
      </c>
      <c r="S377" s="15"/>
      <c r="T377" s="103"/>
      <c r="U377" s="15"/>
      <c r="V377" s="15"/>
      <c r="W377" s="100"/>
      <c r="X377" s="99"/>
      <c r="Y377" s="109">
        <f ca="1">Table25[[#This Row],[End Date]]+2-TODAY()</f>
        <v>-45530</v>
      </c>
      <c r="Z377" s="15">
        <f>IF(ISBLANK(Table25[[#This Row],[Roster Received By]]),1,0)</f>
        <v>1</v>
      </c>
      <c r="AA377" s="100">
        <f ca="1">IF(Table25[[#This Row],[Start Date]]&gt;TODAY(),1,)</f>
        <v>0</v>
      </c>
    </row>
    <row r="378" spans="1:27" s="62" customFormat="1" hidden="1" x14ac:dyDescent="0.25">
      <c r="B378" s="116"/>
      <c r="C378" s="100" t="e">
        <v>#N/A</v>
      </c>
      <c r="D378" s="100" t="e">
        <v>#N/A</v>
      </c>
      <c r="E378" s="116"/>
      <c r="F378" s="110"/>
      <c r="G378" s="110"/>
      <c r="H378" s="102"/>
      <c r="I378" s="101"/>
      <c r="J378" s="101"/>
      <c r="K378" s="101"/>
      <c r="L378" s="101"/>
      <c r="M378" s="101"/>
      <c r="N378" s="101"/>
      <c r="O378" s="99"/>
      <c r="P378" s="99"/>
      <c r="Q378" s="15" t="e">
        <v>#N/A</v>
      </c>
      <c r="R378" s="15" t="e">
        <v>#N/A</v>
      </c>
      <c r="S378" s="15"/>
      <c r="T378" s="103"/>
      <c r="U378" s="15"/>
      <c r="V378" s="15"/>
      <c r="W378" s="100"/>
      <c r="X378" s="99"/>
      <c r="Y378" s="109">
        <f ca="1">Table25[[#This Row],[End Date]]+2-TODAY()</f>
        <v>-45530</v>
      </c>
      <c r="Z378" s="15">
        <f>IF(ISBLANK(Table25[[#This Row],[Roster Received By]]),1,0)</f>
        <v>1</v>
      </c>
      <c r="AA378" s="100">
        <f ca="1">IF(Table25[[#This Row],[Start Date]]&gt;TODAY(),1,)</f>
        <v>0</v>
      </c>
    </row>
    <row r="379" spans="1:27" s="62" customFormat="1" hidden="1" x14ac:dyDescent="0.25">
      <c r="B379" s="126"/>
      <c r="C379" s="100" t="e">
        <v>#N/A</v>
      </c>
      <c r="D379" s="100" t="e">
        <v>#N/A</v>
      </c>
      <c r="E379" s="116"/>
      <c r="F379" s="110"/>
      <c r="G379" s="110"/>
      <c r="H379" s="102"/>
      <c r="I379" s="101"/>
      <c r="J379" s="101"/>
      <c r="K379" s="101"/>
      <c r="L379" s="101"/>
      <c r="M379" s="101"/>
      <c r="N379" s="101"/>
      <c r="O379" s="99"/>
      <c r="P379" s="99"/>
      <c r="Q379" s="15" t="e">
        <v>#N/A</v>
      </c>
      <c r="R379" s="15" t="e">
        <v>#N/A</v>
      </c>
      <c r="S379" s="15"/>
      <c r="T379" s="103"/>
      <c r="U379" s="15"/>
      <c r="V379" s="15"/>
      <c r="W379" s="100"/>
      <c r="X379" s="99"/>
      <c r="Y379" s="109">
        <f ca="1">Table25[[#This Row],[End Date]]+2-TODAY()</f>
        <v>-45530</v>
      </c>
      <c r="Z379" s="15">
        <f>IF(ISBLANK(Table25[[#This Row],[Roster Received By]]),1,0)</f>
        <v>1</v>
      </c>
      <c r="AA379" s="100">
        <f ca="1">IF(Table25[[#This Row],[Start Date]]&gt;TODAY(),1,)</f>
        <v>0</v>
      </c>
    </row>
    <row r="380" spans="1:27" s="62" customFormat="1" hidden="1" x14ac:dyDescent="0.25">
      <c r="B380" s="116"/>
      <c r="C380" s="100" t="e">
        <v>#N/A</v>
      </c>
      <c r="D380" s="100" t="e">
        <v>#N/A</v>
      </c>
      <c r="E380" s="99"/>
      <c r="F380" s="102"/>
      <c r="G380" s="102"/>
      <c r="H380" s="105"/>
      <c r="I380" s="105"/>
      <c r="J380" s="102"/>
      <c r="K380" s="102"/>
      <c r="L380" s="102"/>
      <c r="M380" s="102"/>
      <c r="N380" s="102"/>
      <c r="O380" s="99"/>
      <c r="P380" s="99"/>
      <c r="Q380" s="15" t="e">
        <v>#N/A</v>
      </c>
      <c r="R380" s="15" t="e">
        <v>#N/A</v>
      </c>
      <c r="S380" s="103"/>
      <c r="T380" s="103"/>
      <c r="U380" s="15"/>
      <c r="V380" s="15"/>
      <c r="W380" s="100"/>
      <c r="X380" s="99"/>
      <c r="Y380" s="109">
        <f ca="1">Table25[[#This Row],[End Date]]+2-TODAY()</f>
        <v>-45530</v>
      </c>
      <c r="Z380" s="15">
        <f>IF(ISBLANK(Table25[[#This Row],[Roster Received By]]),1,0)</f>
        <v>1</v>
      </c>
      <c r="AA380" s="100">
        <f ca="1">IF(Table25[[#This Row],[Start Date]]&gt;TODAY(),1,)</f>
        <v>0</v>
      </c>
    </row>
    <row r="381" spans="1:27" s="62" customFormat="1" hidden="1" x14ac:dyDescent="0.25">
      <c r="B381" s="66"/>
      <c r="C381" s="100" t="e">
        <v>#N/A</v>
      </c>
      <c r="D381" s="100" t="e">
        <v>#N/A</v>
      </c>
      <c r="E381" s="68"/>
      <c r="F381" s="67"/>
      <c r="G381" s="67"/>
      <c r="H381" s="101"/>
      <c r="I381" s="101"/>
      <c r="J381" s="102"/>
      <c r="K381" s="102"/>
      <c r="L381" s="102"/>
      <c r="M381" s="102"/>
      <c r="N381" s="102"/>
      <c r="O381" s="99"/>
      <c r="P381" s="99"/>
      <c r="Q381" s="15" t="e">
        <v>#N/A</v>
      </c>
      <c r="R381" s="15" t="e">
        <v>#N/A</v>
      </c>
      <c r="S381" s="15"/>
      <c r="T381" s="103"/>
      <c r="U381" s="15"/>
      <c r="V381" s="15"/>
      <c r="W381" s="100"/>
      <c r="X381" s="99"/>
      <c r="Y381" s="109">
        <f ca="1">Table25[[#This Row],[End Date]]+2-TODAY()</f>
        <v>-45530</v>
      </c>
      <c r="Z381" s="15">
        <f>IF(ISBLANK(Table25[[#This Row],[Roster Received By]]),1,0)</f>
        <v>1</v>
      </c>
      <c r="AA381" s="100">
        <f ca="1">IF(Table25[[#This Row],[Start Date]]&gt;TODAY(),1,)</f>
        <v>0</v>
      </c>
    </row>
    <row r="382" spans="1:27" s="62" customFormat="1" hidden="1" x14ac:dyDescent="0.25">
      <c r="A382" s="99"/>
      <c r="B382" s="116"/>
      <c r="C382" s="100" t="e">
        <v>#N/A</v>
      </c>
      <c r="D382" s="100" t="e">
        <v>#N/A</v>
      </c>
      <c r="E382" s="122"/>
      <c r="F382" s="102"/>
      <c r="G382" s="102"/>
      <c r="H382" s="102"/>
      <c r="I382" s="101"/>
      <c r="J382" s="101"/>
      <c r="K382" s="101"/>
      <c r="L382" s="101"/>
      <c r="M382" s="101"/>
      <c r="N382" s="101"/>
      <c r="O382" s="99"/>
      <c r="P382" s="99"/>
      <c r="Q382" s="15" t="e">
        <v>#N/A</v>
      </c>
      <c r="R382" s="15" t="e">
        <v>#N/A</v>
      </c>
      <c r="S382" s="15"/>
      <c r="T382" s="103"/>
      <c r="U382" s="15"/>
      <c r="V382" s="15"/>
      <c r="W382" s="100"/>
      <c r="X382" s="99"/>
      <c r="Y382" s="109">
        <f ca="1">Table25[[#This Row],[End Date]]+2-TODAY()</f>
        <v>-45530</v>
      </c>
      <c r="Z382" s="15">
        <f>IF(ISBLANK(Table25[[#This Row],[Roster Received By]]),1,0)</f>
        <v>1</v>
      </c>
      <c r="AA382" s="100">
        <f ca="1">IF(Table25[[#This Row],[Start Date]]&gt;TODAY(),1,)</f>
        <v>0</v>
      </c>
    </row>
    <row r="383" spans="1:27" s="62" customFormat="1" hidden="1" x14ac:dyDescent="0.25">
      <c r="B383" s="116"/>
      <c r="C383" s="100" t="e">
        <v>#N/A</v>
      </c>
      <c r="D383" s="100" t="e">
        <v>#N/A</v>
      </c>
      <c r="E383" s="68"/>
      <c r="F383" s="67"/>
      <c r="G383" s="67"/>
      <c r="H383" s="67"/>
      <c r="I383" s="101"/>
      <c r="J383" s="101"/>
      <c r="K383" s="101"/>
      <c r="L383" s="101"/>
      <c r="M383" s="101"/>
      <c r="N383" s="101"/>
      <c r="O383" s="99"/>
      <c r="P383" s="99"/>
      <c r="Q383" s="15" t="e">
        <v>#N/A</v>
      </c>
      <c r="R383" s="15" t="e">
        <v>#N/A</v>
      </c>
      <c r="S383" s="15"/>
      <c r="T383" s="103"/>
      <c r="U383" s="15"/>
      <c r="V383" s="15"/>
      <c r="W383" s="100"/>
      <c r="X383" s="99"/>
      <c r="Y383" s="109">
        <f ca="1">Table25[[#This Row],[End Date]]+2-TODAY()</f>
        <v>-45530</v>
      </c>
      <c r="Z383" s="15">
        <f>IF(ISBLANK(Table25[[#This Row],[Roster Received By]]),1,0)</f>
        <v>1</v>
      </c>
      <c r="AA383" s="100">
        <f ca="1">IF(Table25[[#This Row],[Start Date]]&gt;TODAY(),1,)</f>
        <v>0</v>
      </c>
    </row>
    <row r="384" spans="1:27" s="62" customFormat="1" hidden="1" x14ac:dyDescent="0.25">
      <c r="B384" s="116"/>
      <c r="C384" s="100" t="e">
        <v>#N/A</v>
      </c>
      <c r="D384" s="100" t="e">
        <v>#N/A</v>
      </c>
      <c r="E384" s="68"/>
      <c r="F384" s="67"/>
      <c r="G384" s="67"/>
      <c r="H384" s="67"/>
      <c r="I384" s="101"/>
      <c r="J384" s="101"/>
      <c r="K384" s="101"/>
      <c r="L384" s="101"/>
      <c r="M384" s="101"/>
      <c r="N384" s="101"/>
      <c r="O384" s="99"/>
      <c r="P384" s="99"/>
      <c r="Q384" s="15" t="e">
        <v>#N/A</v>
      </c>
      <c r="R384" s="15" t="e">
        <v>#N/A</v>
      </c>
      <c r="S384" s="15"/>
      <c r="T384" s="103"/>
      <c r="U384" s="15"/>
      <c r="V384" s="15"/>
      <c r="W384" s="100"/>
      <c r="X384" s="99"/>
      <c r="Y384" s="109">
        <f ca="1">Table25[[#This Row],[End Date]]+2-TODAY()</f>
        <v>-45530</v>
      </c>
      <c r="Z384" s="15">
        <f>IF(ISBLANK(Table25[[#This Row],[Roster Received By]]),1,0)</f>
        <v>1</v>
      </c>
      <c r="AA384" s="100">
        <f ca="1">IF(Table25[[#This Row],[Start Date]]&gt;TODAY(),1,)</f>
        <v>0</v>
      </c>
    </row>
    <row r="385" spans="1:27" s="62" customFormat="1" hidden="1" x14ac:dyDescent="0.25">
      <c r="B385" s="116"/>
      <c r="C385" s="100" t="e">
        <v>#N/A</v>
      </c>
      <c r="D385" s="100" t="e">
        <v>#N/A</v>
      </c>
      <c r="E385" s="68"/>
      <c r="F385" s="67"/>
      <c r="G385" s="67"/>
      <c r="H385" s="101"/>
      <c r="I385" s="101"/>
      <c r="J385" s="102"/>
      <c r="K385" s="102"/>
      <c r="L385" s="102"/>
      <c r="M385" s="102"/>
      <c r="N385" s="102"/>
      <c r="O385" s="99"/>
      <c r="P385" s="99"/>
      <c r="Q385" s="15" t="e">
        <v>#N/A</v>
      </c>
      <c r="R385" s="15" t="e">
        <v>#N/A</v>
      </c>
      <c r="S385" s="15"/>
      <c r="T385" s="103"/>
      <c r="U385" s="15"/>
      <c r="V385" s="15"/>
      <c r="W385" s="100"/>
      <c r="X385" s="99"/>
      <c r="Y385" s="109">
        <f ca="1">Table25[[#This Row],[End Date]]+2-TODAY()</f>
        <v>-45530</v>
      </c>
      <c r="Z385" s="15">
        <f>IF(ISBLANK(Table25[[#This Row],[Roster Received By]]),1,0)</f>
        <v>1</v>
      </c>
      <c r="AA385" s="100">
        <f ca="1">IF(Table25[[#This Row],[Start Date]]&gt;TODAY(),1,)</f>
        <v>0</v>
      </c>
    </row>
    <row r="386" spans="1:27" s="62" customFormat="1" hidden="1" x14ac:dyDescent="0.25">
      <c r="B386" s="116"/>
      <c r="C386" s="100" t="e">
        <v>#N/A</v>
      </c>
      <c r="D386" s="100" t="e">
        <v>#N/A</v>
      </c>
      <c r="E386" s="99"/>
      <c r="F386" s="67"/>
      <c r="G386" s="102"/>
      <c r="H386" s="102"/>
      <c r="I386" s="101"/>
      <c r="J386" s="101"/>
      <c r="K386" s="101"/>
      <c r="L386" s="101"/>
      <c r="M386" s="101"/>
      <c r="N386" s="101"/>
      <c r="O386" s="99"/>
      <c r="P386" s="99"/>
      <c r="Q386" s="15" t="e">
        <v>#N/A</v>
      </c>
      <c r="R386" s="15" t="e">
        <v>#N/A</v>
      </c>
      <c r="S386" s="15"/>
      <c r="T386" s="103"/>
      <c r="U386" s="15"/>
      <c r="V386" s="15"/>
      <c r="W386" s="100"/>
      <c r="X386" s="99"/>
      <c r="Y386" s="109">
        <f ca="1">Table25[[#This Row],[End Date]]+2-TODAY()</f>
        <v>-45530</v>
      </c>
      <c r="Z386" s="15">
        <f>IF(ISBLANK(Table25[[#This Row],[Roster Received By]]),1,0)</f>
        <v>1</v>
      </c>
      <c r="AA386" s="100">
        <f ca="1">IF(Table25[[#This Row],[Start Date]]&gt;TODAY(),1,)</f>
        <v>0</v>
      </c>
    </row>
    <row r="387" spans="1:27" s="62" customFormat="1" hidden="1" x14ac:dyDescent="0.25">
      <c r="B387" s="116"/>
      <c r="C387" s="100" t="e">
        <v>#N/A</v>
      </c>
      <c r="D387" s="100" t="e">
        <v>#N/A</v>
      </c>
      <c r="E387" s="116"/>
      <c r="F387" s="102"/>
      <c r="G387" s="102"/>
      <c r="H387" s="102"/>
      <c r="I387" s="101"/>
      <c r="J387" s="101"/>
      <c r="K387" s="101"/>
      <c r="L387" s="101"/>
      <c r="M387" s="101"/>
      <c r="N387" s="101"/>
      <c r="O387" s="99"/>
      <c r="P387" s="99"/>
      <c r="Q387" s="15" t="e">
        <v>#N/A</v>
      </c>
      <c r="R387" s="15" t="e">
        <v>#N/A</v>
      </c>
      <c r="S387" s="15"/>
      <c r="T387" s="103"/>
      <c r="U387" s="15"/>
      <c r="V387" s="15"/>
      <c r="W387" s="100"/>
      <c r="X387" s="99"/>
      <c r="Y387" s="109">
        <f ca="1">Table25[[#This Row],[End Date]]+2-TODAY()</f>
        <v>-45530</v>
      </c>
      <c r="Z387" s="15">
        <f>IF(ISBLANK(Table25[[#This Row],[Roster Received By]]),1,0)</f>
        <v>1</v>
      </c>
      <c r="AA387" s="100">
        <f ca="1">IF(Table25[[#This Row],[Start Date]]&gt;TODAY(),1,)</f>
        <v>0</v>
      </c>
    </row>
    <row r="388" spans="1:27" s="62" customFormat="1" hidden="1" x14ac:dyDescent="0.25">
      <c r="B388" s="66"/>
      <c r="C388" s="100" t="e">
        <v>#N/A</v>
      </c>
      <c r="D388" s="100" t="e">
        <v>#N/A</v>
      </c>
      <c r="E388" s="68"/>
      <c r="F388" s="67"/>
      <c r="G388" s="67"/>
      <c r="H388" s="101"/>
      <c r="I388" s="101"/>
      <c r="J388" s="102"/>
      <c r="K388" s="102"/>
      <c r="L388" s="102"/>
      <c r="M388" s="102"/>
      <c r="N388" s="102"/>
      <c r="O388" s="99"/>
      <c r="P388" s="99"/>
      <c r="Q388" s="15" t="e">
        <v>#N/A</v>
      </c>
      <c r="R388" s="15" t="e">
        <v>#N/A</v>
      </c>
      <c r="S388" s="15"/>
      <c r="T388" s="103"/>
      <c r="U388" s="15"/>
      <c r="V388" s="15"/>
      <c r="W388" s="100"/>
      <c r="X388" s="99"/>
      <c r="Y388" s="109">
        <f ca="1">Table25[[#This Row],[End Date]]+2-TODAY()</f>
        <v>-45530</v>
      </c>
      <c r="Z388" s="15">
        <f>IF(ISBLANK(Table25[[#This Row],[Roster Received By]]),1,0)</f>
        <v>1</v>
      </c>
      <c r="AA388" s="100">
        <f ca="1">IF(Table25[[#This Row],[Start Date]]&gt;TODAY(),1,)</f>
        <v>0</v>
      </c>
    </row>
    <row r="389" spans="1:27" s="62" customFormat="1" hidden="1" x14ac:dyDescent="0.25">
      <c r="B389" s="116"/>
      <c r="C389" s="100" t="e">
        <v>#N/A</v>
      </c>
      <c r="D389" s="100" t="e">
        <v>#N/A</v>
      </c>
      <c r="E389" s="68"/>
      <c r="F389" s="102"/>
      <c r="G389" s="102"/>
      <c r="H389" s="105"/>
      <c r="I389" s="105"/>
      <c r="J389" s="102"/>
      <c r="K389" s="102"/>
      <c r="L389" s="102"/>
      <c r="M389" s="102"/>
      <c r="N389" s="102"/>
      <c r="O389" s="99"/>
      <c r="P389" s="99"/>
      <c r="Q389" s="15" t="e">
        <v>#N/A</v>
      </c>
      <c r="R389" s="15" t="e">
        <v>#N/A</v>
      </c>
      <c r="S389" s="15"/>
      <c r="T389" s="103"/>
      <c r="U389" s="15"/>
      <c r="V389" s="15"/>
      <c r="W389" s="100"/>
      <c r="X389" s="99"/>
      <c r="Y389" s="109">
        <f ca="1">Table25[[#This Row],[End Date]]+2-TODAY()</f>
        <v>-45530</v>
      </c>
      <c r="Z389" s="15">
        <f>IF(ISBLANK(Table25[[#This Row],[Roster Received By]]),1,0)</f>
        <v>1</v>
      </c>
      <c r="AA389" s="100">
        <f ca="1">IF(Table25[[#This Row],[Start Date]]&gt;TODAY(),1,)</f>
        <v>0</v>
      </c>
    </row>
    <row r="390" spans="1:27" s="62" customFormat="1" hidden="1" x14ac:dyDescent="0.25">
      <c r="A390" s="99"/>
      <c r="B390" s="99"/>
      <c r="C390" s="100" t="e">
        <v>#N/A</v>
      </c>
      <c r="D390" s="100" t="e">
        <v>#N/A</v>
      </c>
      <c r="E390" s="122"/>
      <c r="F390" s="102"/>
      <c r="G390" s="102"/>
      <c r="H390" s="102"/>
      <c r="I390" s="101"/>
      <c r="J390" s="101"/>
      <c r="K390" s="101"/>
      <c r="L390" s="101"/>
      <c r="M390" s="101"/>
      <c r="N390" s="101"/>
      <c r="O390" s="99"/>
      <c r="P390" s="99"/>
      <c r="Q390" s="15" t="e">
        <v>#N/A</v>
      </c>
      <c r="R390" s="15" t="e">
        <v>#N/A</v>
      </c>
      <c r="S390" s="15"/>
      <c r="T390" s="103"/>
      <c r="U390" s="15"/>
      <c r="V390" s="15"/>
      <c r="W390" s="100"/>
      <c r="X390" s="99"/>
      <c r="Y390" s="109">
        <f ca="1">Table25[[#This Row],[End Date]]+2-TODAY()</f>
        <v>-45530</v>
      </c>
      <c r="Z390" s="15">
        <f>IF(ISBLANK(Table25[[#This Row],[Roster Received By]]),1,0)</f>
        <v>1</v>
      </c>
      <c r="AA390" s="100">
        <f ca="1">IF(Table25[[#This Row],[Start Date]]&gt;TODAY(),1,)</f>
        <v>0</v>
      </c>
    </row>
    <row r="391" spans="1:27" s="62" customFormat="1" hidden="1" x14ac:dyDescent="0.25">
      <c r="B391" s="99"/>
      <c r="C391" s="100" t="e">
        <v>#N/A</v>
      </c>
      <c r="D391" s="100" t="e">
        <v>#N/A</v>
      </c>
      <c r="E391" s="122"/>
      <c r="F391" s="102"/>
      <c r="G391" s="102"/>
      <c r="H391" s="102"/>
      <c r="I391" s="101"/>
      <c r="J391" s="101"/>
      <c r="K391" s="101"/>
      <c r="L391" s="101"/>
      <c r="M391" s="101"/>
      <c r="N391" s="101"/>
      <c r="O391" s="99"/>
      <c r="P391" s="99"/>
      <c r="Q391" s="15" t="e">
        <v>#N/A</v>
      </c>
      <c r="R391" s="15" t="e">
        <v>#N/A</v>
      </c>
      <c r="S391" s="15"/>
      <c r="T391" s="103"/>
      <c r="U391" s="15"/>
      <c r="V391" s="15"/>
      <c r="W391" s="100"/>
      <c r="X391" s="99"/>
      <c r="Y391" s="109">
        <f ca="1">Table25[[#This Row],[End Date]]+2-TODAY()</f>
        <v>-45530</v>
      </c>
      <c r="Z391" s="15">
        <f>IF(ISBLANK(Table25[[#This Row],[Roster Received By]]),1,0)</f>
        <v>1</v>
      </c>
      <c r="AA391" s="100">
        <f ca="1">IF(Table25[[#This Row],[Start Date]]&gt;TODAY(),1,)</f>
        <v>0</v>
      </c>
    </row>
    <row r="392" spans="1:27" s="62" customFormat="1" hidden="1" x14ac:dyDescent="0.25">
      <c r="B392" s="116"/>
      <c r="C392" s="100" t="e">
        <v>#N/A</v>
      </c>
      <c r="D392" s="100" t="e">
        <v>#N/A</v>
      </c>
      <c r="E392" s="122"/>
      <c r="F392" s="102"/>
      <c r="G392" s="102"/>
      <c r="H392" s="102"/>
      <c r="I392" s="101"/>
      <c r="J392" s="101"/>
      <c r="K392" s="101"/>
      <c r="L392" s="101"/>
      <c r="M392" s="101"/>
      <c r="N392" s="101"/>
      <c r="O392" s="99"/>
      <c r="P392" s="99"/>
      <c r="Q392" s="15" t="e">
        <v>#N/A</v>
      </c>
      <c r="R392" s="15" t="e">
        <v>#N/A</v>
      </c>
      <c r="S392" s="15"/>
      <c r="T392" s="103"/>
      <c r="U392" s="15"/>
      <c r="V392" s="15"/>
      <c r="W392" s="100"/>
      <c r="X392" s="99"/>
      <c r="Y392" s="109">
        <f ca="1">Table25[[#This Row],[End Date]]+2-TODAY()</f>
        <v>-45530</v>
      </c>
      <c r="Z392" s="15">
        <f>IF(ISBLANK(Table25[[#This Row],[Roster Received By]]),1,0)</f>
        <v>1</v>
      </c>
      <c r="AA392" s="100">
        <f ca="1">IF(Table25[[#This Row],[Start Date]]&gt;TODAY(),1,)</f>
        <v>0</v>
      </c>
    </row>
    <row r="393" spans="1:27" s="62" customFormat="1" hidden="1" x14ac:dyDescent="0.25">
      <c r="B393" s="116"/>
      <c r="C393" s="100" t="e">
        <v>#N/A</v>
      </c>
      <c r="D393" s="100" t="e">
        <v>#N/A</v>
      </c>
      <c r="E393" s="68"/>
      <c r="F393" s="102"/>
      <c r="G393" s="102"/>
      <c r="H393" s="108"/>
      <c r="I393" s="108"/>
      <c r="J393" s="102"/>
      <c r="K393" s="102"/>
      <c r="L393" s="102"/>
      <c r="M393" s="102"/>
      <c r="N393" s="102"/>
      <c r="O393" s="99"/>
      <c r="P393" s="99"/>
      <c r="Q393" s="15" t="e">
        <v>#N/A</v>
      </c>
      <c r="R393" s="15" t="e">
        <v>#N/A</v>
      </c>
      <c r="S393" s="15"/>
      <c r="T393" s="103"/>
      <c r="U393" s="15"/>
      <c r="V393" s="15"/>
      <c r="W393" s="100"/>
      <c r="X393" s="99"/>
      <c r="Y393" s="109">
        <f ca="1">Table25[[#This Row],[End Date]]+2-TODAY()</f>
        <v>-45530</v>
      </c>
      <c r="Z393" s="15">
        <f>IF(ISBLANK(Table25[[#This Row],[Roster Received By]]),1,0)</f>
        <v>1</v>
      </c>
      <c r="AA393" s="100">
        <f ca="1">IF(Table25[[#This Row],[Start Date]]&gt;TODAY(),1,)</f>
        <v>0</v>
      </c>
    </row>
    <row r="394" spans="1:27" s="62" customFormat="1" hidden="1" x14ac:dyDescent="0.25">
      <c r="B394" s="99"/>
      <c r="C394" s="100" t="e">
        <v>#N/A</v>
      </c>
      <c r="D394" s="100" t="e">
        <v>#N/A</v>
      </c>
      <c r="E394" s="99"/>
      <c r="F394" s="102"/>
      <c r="G394" s="102"/>
      <c r="H394" s="102"/>
      <c r="I394" s="101"/>
      <c r="J394" s="101"/>
      <c r="K394" s="101"/>
      <c r="L394" s="101"/>
      <c r="M394" s="101"/>
      <c r="N394" s="101"/>
      <c r="O394" s="99"/>
      <c r="P394" s="99"/>
      <c r="Q394" s="15" t="e">
        <v>#N/A</v>
      </c>
      <c r="R394" s="15" t="e">
        <v>#N/A</v>
      </c>
      <c r="S394" s="15"/>
      <c r="T394" s="103"/>
      <c r="U394" s="15"/>
      <c r="V394" s="15"/>
      <c r="W394" s="100"/>
      <c r="X394" s="99"/>
      <c r="Y394" s="109">
        <f ca="1">Table25[[#This Row],[End Date]]+2-TODAY()</f>
        <v>-45530</v>
      </c>
      <c r="Z394" s="15">
        <f>IF(ISBLANK(Table25[[#This Row],[Roster Received By]]),1,0)</f>
        <v>1</v>
      </c>
      <c r="AA394" s="100">
        <f ca="1">IF(Table25[[#This Row],[Start Date]]&gt;TODAY(),1,)</f>
        <v>0</v>
      </c>
    </row>
    <row r="395" spans="1:27" s="62" customFormat="1" hidden="1" x14ac:dyDescent="0.25">
      <c r="A395" s="99"/>
      <c r="B395" s="99"/>
      <c r="C395" s="100" t="e">
        <v>#N/A</v>
      </c>
      <c r="D395" s="100" t="e">
        <v>#N/A</v>
      </c>
      <c r="E395" s="122"/>
      <c r="F395" s="102"/>
      <c r="G395" s="102"/>
      <c r="H395" s="102"/>
      <c r="I395" s="101"/>
      <c r="J395" s="101"/>
      <c r="K395" s="101"/>
      <c r="L395" s="101"/>
      <c r="M395" s="101"/>
      <c r="N395" s="101"/>
      <c r="O395" s="99"/>
      <c r="P395" s="99"/>
      <c r="Q395" s="15" t="e">
        <v>#N/A</v>
      </c>
      <c r="R395" s="15" t="e">
        <v>#N/A</v>
      </c>
      <c r="S395" s="15"/>
      <c r="T395" s="103"/>
      <c r="U395" s="15"/>
      <c r="V395" s="15"/>
      <c r="W395" s="100"/>
      <c r="X395" s="99"/>
      <c r="Y395" s="109">
        <f ca="1">Table25[[#This Row],[End Date]]+2-TODAY()</f>
        <v>-45530</v>
      </c>
      <c r="Z395" s="15">
        <f>IF(ISBLANK(Table25[[#This Row],[Roster Received By]]),1,0)</f>
        <v>1</v>
      </c>
      <c r="AA395" s="100">
        <f ca="1">IF(Table25[[#This Row],[Start Date]]&gt;TODAY(),1,)</f>
        <v>0</v>
      </c>
    </row>
    <row r="396" spans="1:27" s="62" customFormat="1" hidden="1" x14ac:dyDescent="0.25">
      <c r="B396" s="99"/>
      <c r="C396" s="100" t="e">
        <v>#N/A</v>
      </c>
      <c r="D396" s="100" t="e">
        <v>#N/A</v>
      </c>
      <c r="E396" s="122"/>
      <c r="F396" s="102"/>
      <c r="G396" s="102"/>
      <c r="H396" s="105"/>
      <c r="I396" s="105"/>
      <c r="J396" s="102"/>
      <c r="K396" s="102"/>
      <c r="L396" s="125"/>
      <c r="M396" s="102"/>
      <c r="N396" s="102"/>
      <c r="O396" s="99"/>
      <c r="P396" s="99"/>
      <c r="Q396" s="15" t="e">
        <v>#N/A</v>
      </c>
      <c r="R396" s="15" t="e">
        <v>#N/A</v>
      </c>
      <c r="S396" s="103"/>
      <c r="T396" s="103"/>
      <c r="U396" s="15"/>
      <c r="V396" s="15"/>
      <c r="W396" s="100"/>
      <c r="X396" s="99"/>
      <c r="Y396" s="109">
        <f ca="1">Table25[[#This Row],[End Date]]+2-TODAY()</f>
        <v>-45530</v>
      </c>
      <c r="Z396" s="15">
        <f>IF(ISBLANK(Table25[[#This Row],[Roster Received By]]),1,0)</f>
        <v>1</v>
      </c>
      <c r="AA396" s="100">
        <f ca="1">IF(Table25[[#This Row],[Start Date]]&gt;TODAY(),1,)</f>
        <v>0</v>
      </c>
    </row>
    <row r="397" spans="1:27" s="62" customFormat="1" hidden="1" x14ac:dyDescent="0.25">
      <c r="B397" s="99"/>
      <c r="C397" s="100" t="e">
        <v>#N/A</v>
      </c>
      <c r="D397" s="100" t="e">
        <v>#N/A</v>
      </c>
      <c r="E397" s="122"/>
      <c r="F397" s="102"/>
      <c r="G397" s="102"/>
      <c r="H397" s="105"/>
      <c r="I397" s="105"/>
      <c r="J397" s="102"/>
      <c r="K397" s="102"/>
      <c r="L397" s="102"/>
      <c r="M397" s="102"/>
      <c r="N397" s="102"/>
      <c r="O397" s="99"/>
      <c r="P397" s="99"/>
      <c r="Q397" s="15" t="e">
        <v>#N/A</v>
      </c>
      <c r="R397" s="15" t="e">
        <v>#N/A</v>
      </c>
      <c r="S397" s="15"/>
      <c r="T397" s="103"/>
      <c r="U397" s="15"/>
      <c r="V397" s="15"/>
      <c r="W397" s="15"/>
      <c r="X397" s="99"/>
      <c r="Y397" s="71">
        <f ca="1">Table25[[#This Row],[End Date]]+2-TODAY()</f>
        <v>-45530</v>
      </c>
      <c r="Z397" s="15">
        <f>IF(ISBLANK(Table25[[#This Row],[Roster Received By]]),1,0)</f>
        <v>1</v>
      </c>
      <c r="AA397" s="15">
        <f ca="1">IF(Table25[[#This Row],[Start Date]]&gt;TODAY(),1,)</f>
        <v>0</v>
      </c>
    </row>
    <row r="398" spans="1:27" s="62" customFormat="1" hidden="1" x14ac:dyDescent="0.25">
      <c r="B398" s="99"/>
      <c r="C398" s="100" t="e">
        <v>#N/A</v>
      </c>
      <c r="D398" s="100" t="e">
        <v>#N/A</v>
      </c>
      <c r="E398" s="66"/>
      <c r="F398" s="67"/>
      <c r="G398" s="67"/>
      <c r="H398" s="101"/>
      <c r="I398" s="101"/>
      <c r="J398" s="102"/>
      <c r="K398" s="102"/>
      <c r="L398" s="102"/>
      <c r="M398" s="102"/>
      <c r="N398" s="102"/>
      <c r="O398" s="99"/>
      <c r="P398" s="99"/>
      <c r="Q398" s="15" t="e">
        <v>#N/A</v>
      </c>
      <c r="R398" s="15" t="e">
        <v>#N/A</v>
      </c>
      <c r="S398" s="15"/>
      <c r="T398" s="103"/>
      <c r="U398" s="15"/>
      <c r="V398" s="15"/>
      <c r="W398" s="15"/>
      <c r="X398" s="99"/>
      <c r="Y398" s="71">
        <f ca="1">Table25[[#This Row],[End Date]]+2-TODAY()</f>
        <v>-45530</v>
      </c>
      <c r="Z398" s="15">
        <f>IF(ISBLANK(Table25[[#This Row],[Roster Received By]]),1,0)</f>
        <v>1</v>
      </c>
      <c r="AA398" s="15">
        <f ca="1">IF(Table25[[#This Row],[Start Date]]&gt;TODAY(),1,)</f>
        <v>0</v>
      </c>
    </row>
    <row r="399" spans="1:27" s="62" customFormat="1" hidden="1" x14ac:dyDescent="0.25">
      <c r="B399" s="99"/>
      <c r="C399" s="100" t="e">
        <v>#N/A</v>
      </c>
      <c r="D399" s="100" t="e">
        <v>#N/A</v>
      </c>
      <c r="E399" s="68"/>
      <c r="F399" s="102"/>
      <c r="G399" s="102"/>
      <c r="H399" s="105"/>
      <c r="I399" s="105"/>
      <c r="J399" s="102"/>
      <c r="K399" s="102"/>
      <c r="L399" s="102"/>
      <c r="M399" s="102"/>
      <c r="N399" s="102"/>
      <c r="O399" s="99"/>
      <c r="P399" s="99"/>
      <c r="Q399" s="15" t="e">
        <v>#N/A</v>
      </c>
      <c r="R399" s="15" t="e">
        <v>#N/A</v>
      </c>
      <c r="S399" s="15"/>
      <c r="T399" s="103"/>
      <c r="U399" s="15"/>
      <c r="V399" s="15"/>
      <c r="W399" s="100"/>
      <c r="X399" s="99"/>
      <c r="Y399" s="109">
        <f ca="1">Table25[[#This Row],[End Date]]+2-TODAY()</f>
        <v>-45530</v>
      </c>
      <c r="Z399" s="15">
        <f>IF(ISBLANK(Table25[[#This Row],[Roster Received By]]),1,0)</f>
        <v>1</v>
      </c>
      <c r="AA399" s="100">
        <f ca="1">IF(Table25[[#This Row],[Start Date]]&gt;TODAY(),1,)</f>
        <v>0</v>
      </c>
    </row>
    <row r="400" spans="1:27" s="62" customFormat="1" hidden="1" x14ac:dyDescent="0.25">
      <c r="B400" s="116"/>
      <c r="C400" s="100" t="e">
        <v>#N/A</v>
      </c>
      <c r="D400" s="100" t="e">
        <v>#N/A</v>
      </c>
      <c r="E400" s="68"/>
      <c r="F400" s="102"/>
      <c r="G400" s="102"/>
      <c r="H400" s="105"/>
      <c r="I400" s="105"/>
      <c r="J400" s="102"/>
      <c r="K400" s="102"/>
      <c r="L400" s="102"/>
      <c r="M400" s="102"/>
      <c r="N400" s="102"/>
      <c r="O400" s="99"/>
      <c r="P400" s="99"/>
      <c r="Q400" s="15" t="e">
        <v>#N/A</v>
      </c>
      <c r="R400" s="15" t="e">
        <v>#N/A</v>
      </c>
      <c r="S400" s="15"/>
      <c r="T400" s="103"/>
      <c r="U400" s="15"/>
      <c r="V400" s="15"/>
      <c r="W400" s="100"/>
      <c r="X400" s="99"/>
      <c r="Y400" s="109">
        <f ca="1">Table25[[#This Row],[End Date]]+2-TODAY()</f>
        <v>-45530</v>
      </c>
      <c r="Z400" s="15">
        <f>IF(ISBLANK(Table25[[#This Row],[Roster Received By]]),1,0)</f>
        <v>1</v>
      </c>
      <c r="AA400" s="100">
        <f ca="1">IF(Table25[[#This Row],[Start Date]]&gt;TODAY(),1,)</f>
        <v>0</v>
      </c>
    </row>
    <row r="401" spans="1:27" s="62" customFormat="1" hidden="1" x14ac:dyDescent="0.25">
      <c r="B401" s="99"/>
      <c r="C401" s="100" t="e">
        <v>#N/A</v>
      </c>
      <c r="D401" s="100" t="e">
        <v>#N/A</v>
      </c>
      <c r="E401" s="122"/>
      <c r="F401" s="102"/>
      <c r="G401" s="102"/>
      <c r="H401" s="105"/>
      <c r="I401" s="105"/>
      <c r="J401" s="102"/>
      <c r="K401" s="102"/>
      <c r="L401" s="102"/>
      <c r="M401" s="102"/>
      <c r="N401" s="102"/>
      <c r="O401" s="99"/>
      <c r="P401" s="99"/>
      <c r="Q401" s="15" t="e">
        <v>#N/A</v>
      </c>
      <c r="R401" s="15" t="e">
        <v>#N/A</v>
      </c>
      <c r="S401" s="103"/>
      <c r="T401" s="103"/>
      <c r="U401" s="15"/>
      <c r="V401" s="15"/>
      <c r="W401" s="100"/>
      <c r="X401" s="99"/>
      <c r="Y401" s="109">
        <f ca="1">Table25[[#This Row],[End Date]]+2-TODAY()</f>
        <v>-45530</v>
      </c>
      <c r="Z401" s="15">
        <f>IF(ISBLANK(Table25[[#This Row],[Roster Received By]]),1,0)</f>
        <v>1</v>
      </c>
      <c r="AA401" s="100">
        <f ca="1">IF(Table25[[#This Row],[Start Date]]&gt;TODAY(),1,)</f>
        <v>0</v>
      </c>
    </row>
    <row r="402" spans="1:27" s="62" customFormat="1" hidden="1" x14ac:dyDescent="0.25">
      <c r="B402" s="99"/>
      <c r="C402" s="100" t="e">
        <v>#N/A</v>
      </c>
      <c r="D402" s="100" t="e">
        <v>#N/A</v>
      </c>
      <c r="E402" s="122"/>
      <c r="F402" s="102"/>
      <c r="G402" s="102"/>
      <c r="H402" s="105"/>
      <c r="I402" s="105"/>
      <c r="J402" s="105"/>
      <c r="K402" s="105"/>
      <c r="L402" s="105"/>
      <c r="M402" s="105"/>
      <c r="N402" s="105"/>
      <c r="O402" s="99"/>
      <c r="P402" s="99"/>
      <c r="Q402" s="15" t="e">
        <v>#N/A</v>
      </c>
      <c r="R402" s="15" t="e">
        <v>#N/A</v>
      </c>
      <c r="S402" s="15"/>
      <c r="T402" s="103"/>
      <c r="U402" s="15"/>
      <c r="V402" s="15"/>
      <c r="W402" s="15"/>
      <c r="X402" s="99"/>
      <c r="Y402" s="109">
        <f ca="1">Table25[[#This Row],[End Date]]+2-TODAY()</f>
        <v>-45530</v>
      </c>
      <c r="Z402" s="15">
        <f>IF(ISBLANK(Table25[[#This Row],[Roster Received By]]),1,0)</f>
        <v>1</v>
      </c>
      <c r="AA402" s="100">
        <f ca="1">IF(Table25[[#This Row],[Start Date]]&gt;TODAY(),1,)</f>
        <v>0</v>
      </c>
    </row>
    <row r="403" spans="1:27" s="62" customFormat="1" hidden="1" x14ac:dyDescent="0.25">
      <c r="B403" s="99"/>
      <c r="C403" s="100" t="e">
        <v>#N/A</v>
      </c>
      <c r="D403" s="100" t="e">
        <v>#N/A</v>
      </c>
      <c r="E403" s="99"/>
      <c r="F403" s="102"/>
      <c r="G403" s="102"/>
      <c r="H403" s="102"/>
      <c r="I403" s="101"/>
      <c r="J403" s="101"/>
      <c r="K403" s="101"/>
      <c r="L403" s="101"/>
      <c r="M403" s="101"/>
      <c r="N403" s="101"/>
      <c r="O403" s="99"/>
      <c r="P403" s="99"/>
      <c r="Q403" s="15" t="e">
        <v>#N/A</v>
      </c>
      <c r="R403" s="15" t="e">
        <v>#N/A</v>
      </c>
      <c r="S403" s="15"/>
      <c r="T403" s="103"/>
      <c r="U403" s="15"/>
      <c r="V403" s="15"/>
      <c r="W403" s="100"/>
      <c r="X403" s="99"/>
      <c r="Y403" s="109">
        <f ca="1">Table25[[#This Row],[End Date]]+2-TODAY()</f>
        <v>-45530</v>
      </c>
      <c r="Z403" s="15">
        <f>IF(ISBLANK(Table25[[#This Row],[Roster Received By]]),1,0)</f>
        <v>1</v>
      </c>
      <c r="AA403" s="100">
        <f ca="1">IF(Table25[[#This Row],[Start Date]]&gt;TODAY(),1,)</f>
        <v>0</v>
      </c>
    </row>
    <row r="404" spans="1:27" s="62" customFormat="1" hidden="1" x14ac:dyDescent="0.25">
      <c r="B404" s="99"/>
      <c r="C404" s="100" t="e">
        <v>#N/A</v>
      </c>
      <c r="D404" s="100" t="e">
        <v>#N/A</v>
      </c>
      <c r="E404" s="99"/>
      <c r="F404" s="102"/>
      <c r="G404" s="102"/>
      <c r="H404" s="105"/>
      <c r="I404" s="105"/>
      <c r="J404" s="105"/>
      <c r="K404" s="105"/>
      <c r="L404" s="105"/>
      <c r="M404" s="105"/>
      <c r="N404" s="102"/>
      <c r="O404" s="99"/>
      <c r="P404" s="99"/>
      <c r="Q404" s="15" t="e">
        <v>#N/A</v>
      </c>
      <c r="R404" s="15" t="e">
        <v>#N/A</v>
      </c>
      <c r="S404" s="15"/>
      <c r="T404" s="103"/>
      <c r="U404" s="15"/>
      <c r="V404" s="15"/>
      <c r="W404" s="100"/>
      <c r="X404" s="99"/>
      <c r="Y404" s="109">
        <f ca="1">Table25[[#This Row],[End Date]]+2-TODAY()</f>
        <v>-45530</v>
      </c>
      <c r="Z404" s="15">
        <f>IF(ISBLANK(Table25[[#This Row],[Roster Received By]]),1,0)</f>
        <v>1</v>
      </c>
      <c r="AA404" s="100">
        <f ca="1">IF(Table25[[#This Row],[Start Date]]&gt;TODAY(),1,)</f>
        <v>0</v>
      </c>
    </row>
    <row r="405" spans="1:27" s="62" customFormat="1" hidden="1" x14ac:dyDescent="0.25">
      <c r="B405" s="116"/>
      <c r="C405" s="100" t="e">
        <v>#N/A</v>
      </c>
      <c r="D405" s="100" t="e">
        <v>#N/A</v>
      </c>
      <c r="E405" s="99"/>
      <c r="F405" s="102"/>
      <c r="G405" s="102"/>
      <c r="H405" s="105"/>
      <c r="I405" s="105"/>
      <c r="J405" s="102"/>
      <c r="K405" s="102"/>
      <c r="L405" s="102"/>
      <c r="M405" s="102"/>
      <c r="N405" s="102"/>
      <c r="O405" s="99"/>
      <c r="P405" s="99"/>
      <c r="Q405" s="15" t="e">
        <v>#N/A</v>
      </c>
      <c r="R405" s="15" t="e">
        <v>#N/A</v>
      </c>
      <c r="S405" s="15"/>
      <c r="T405" s="103"/>
      <c r="U405" s="15"/>
      <c r="V405" s="15"/>
      <c r="W405" s="100"/>
      <c r="X405" s="99"/>
      <c r="Y405" s="109">
        <f ca="1">Table25[[#This Row],[End Date]]+2-TODAY()</f>
        <v>-45530</v>
      </c>
      <c r="Z405" s="15">
        <f>IF(ISBLANK(Table25[[#This Row],[Roster Received By]]),1,0)</f>
        <v>1</v>
      </c>
      <c r="AA405" s="100">
        <f ca="1">IF(Table25[[#This Row],[Start Date]]&gt;TODAY(),1,)</f>
        <v>0</v>
      </c>
    </row>
    <row r="406" spans="1:27" s="62" customFormat="1" hidden="1" x14ac:dyDescent="0.25">
      <c r="A406" s="142"/>
      <c r="B406" s="99"/>
      <c r="C406" s="100" t="e">
        <v>#N/A</v>
      </c>
      <c r="D406" s="100" t="e">
        <v>#N/A</v>
      </c>
      <c r="E406" s="99"/>
      <c r="F406" s="102"/>
      <c r="G406" s="102"/>
      <c r="H406" s="105"/>
      <c r="I406" s="105"/>
      <c r="J406" s="102"/>
      <c r="K406" s="102"/>
      <c r="L406" s="102"/>
      <c r="M406" s="102"/>
      <c r="N406" s="102"/>
      <c r="O406" s="99"/>
      <c r="P406" s="99"/>
      <c r="Q406" s="15" t="e">
        <v>#N/A</v>
      </c>
      <c r="R406" s="15" t="e">
        <v>#N/A</v>
      </c>
      <c r="S406" s="103"/>
      <c r="T406" s="103"/>
      <c r="U406" s="15"/>
      <c r="V406" s="15"/>
      <c r="W406" s="100"/>
      <c r="X406" s="99"/>
      <c r="Y406" s="109">
        <f ca="1">Table25[[#This Row],[End Date]]+2-TODAY()</f>
        <v>-45530</v>
      </c>
      <c r="Z406" s="15">
        <f>IF(ISBLANK(Table25[[#This Row],[Roster Received By]]),1,0)</f>
        <v>1</v>
      </c>
      <c r="AA406" s="100">
        <f ca="1">IF(Table25[[#This Row],[Start Date]]&gt;TODAY(),1,)</f>
        <v>0</v>
      </c>
    </row>
    <row r="407" spans="1:27" s="62" customFormat="1" hidden="1" x14ac:dyDescent="0.25">
      <c r="B407" s="99"/>
      <c r="C407" s="100" t="e">
        <v>#N/A</v>
      </c>
      <c r="D407" s="100" t="e">
        <v>#N/A</v>
      </c>
      <c r="E407" s="114"/>
      <c r="F407" s="115"/>
      <c r="G407" s="115"/>
      <c r="H407" s="115"/>
      <c r="I407" s="101"/>
      <c r="J407" s="101"/>
      <c r="K407" s="101"/>
      <c r="L407" s="101"/>
      <c r="M407" s="101"/>
      <c r="N407" s="101"/>
      <c r="O407" s="99"/>
      <c r="P407" s="99"/>
      <c r="Q407" s="15" t="e">
        <v>#N/A</v>
      </c>
      <c r="R407" s="15" t="e">
        <v>#N/A</v>
      </c>
      <c r="S407" s="15"/>
      <c r="T407" s="103"/>
      <c r="U407" s="15"/>
      <c r="V407" s="15"/>
      <c r="W407" s="100"/>
      <c r="X407" s="99"/>
      <c r="Y407" s="109">
        <f ca="1">Table25[[#This Row],[End Date]]+2-TODAY()</f>
        <v>-45530</v>
      </c>
      <c r="Z407" s="15">
        <f>IF(ISBLANK(Table25[[#This Row],[Roster Received By]]),1,0)</f>
        <v>1</v>
      </c>
      <c r="AA407" s="100">
        <f ca="1">IF(Table25[[#This Row],[Start Date]]&gt;TODAY(),1,)</f>
        <v>0</v>
      </c>
    </row>
    <row r="408" spans="1:27" s="62" customFormat="1" hidden="1" x14ac:dyDescent="0.25">
      <c r="B408" s="99"/>
      <c r="C408" s="100" t="e">
        <v>#N/A</v>
      </c>
      <c r="D408" s="100" t="e">
        <v>#N/A</v>
      </c>
      <c r="E408" s="65"/>
      <c r="F408" s="102"/>
      <c r="G408" s="102"/>
      <c r="H408" s="105"/>
      <c r="I408" s="105"/>
      <c r="J408" s="102"/>
      <c r="K408" s="102"/>
      <c r="L408" s="102"/>
      <c r="M408" s="102"/>
      <c r="N408" s="102"/>
      <c r="O408" s="99"/>
      <c r="P408" s="99"/>
      <c r="Q408" s="15" t="e">
        <v>#N/A</v>
      </c>
      <c r="R408" s="15" t="e">
        <v>#N/A</v>
      </c>
      <c r="S408" s="15"/>
      <c r="T408" s="103"/>
      <c r="U408" s="15"/>
      <c r="V408" s="15"/>
      <c r="W408" s="100"/>
      <c r="X408" s="99"/>
      <c r="Y408" s="109">
        <f ca="1">Table25[[#This Row],[End Date]]+2-TODAY()</f>
        <v>-45530</v>
      </c>
      <c r="Z408" s="15">
        <f>IF(ISBLANK(Table25[[#This Row],[Roster Received By]]),1,0)</f>
        <v>1</v>
      </c>
      <c r="AA408" s="100">
        <f ca="1">IF(Table25[[#This Row],[Start Date]]&gt;TODAY(),1,)</f>
        <v>0</v>
      </c>
    </row>
    <row r="409" spans="1:27" s="62" customFormat="1" hidden="1" x14ac:dyDescent="0.25">
      <c r="B409" s="99"/>
      <c r="C409" s="100" t="e">
        <v>#N/A</v>
      </c>
      <c r="D409" s="100" t="e">
        <v>#N/A</v>
      </c>
      <c r="E409" s="116"/>
      <c r="F409" s="110"/>
      <c r="G409" s="110"/>
      <c r="H409" s="105"/>
      <c r="I409" s="105"/>
      <c r="J409" s="102"/>
      <c r="K409" s="102"/>
      <c r="L409" s="102"/>
      <c r="M409" s="102"/>
      <c r="N409" s="102"/>
      <c r="O409" s="99"/>
      <c r="P409" s="99"/>
      <c r="Q409" s="15" t="e">
        <v>#N/A</v>
      </c>
      <c r="R409" s="15" t="e">
        <v>#N/A</v>
      </c>
      <c r="S409" s="15"/>
      <c r="T409" s="103"/>
      <c r="U409" s="15"/>
      <c r="V409" s="15"/>
      <c r="W409" s="100"/>
      <c r="X409" s="99"/>
      <c r="Y409" s="109">
        <f ca="1">Table25[[#This Row],[End Date]]+2-TODAY()</f>
        <v>-45530</v>
      </c>
      <c r="Z409" s="15">
        <f>IF(ISBLANK(Table25[[#This Row],[Roster Received By]]),1,0)</f>
        <v>1</v>
      </c>
      <c r="AA409" s="100">
        <f ca="1">IF(Table25[[#This Row],[Start Date]]&gt;TODAY(),1,)</f>
        <v>0</v>
      </c>
    </row>
    <row r="410" spans="1:27" s="62" customFormat="1" hidden="1" x14ac:dyDescent="0.25">
      <c r="B410" s="99"/>
      <c r="C410" s="100" t="e">
        <v>#N/A</v>
      </c>
      <c r="D410" s="100" t="e">
        <v>#N/A</v>
      </c>
      <c r="E410" s="116"/>
      <c r="F410" s="110"/>
      <c r="G410" s="110"/>
      <c r="H410" s="105"/>
      <c r="I410" s="105"/>
      <c r="J410" s="105"/>
      <c r="K410" s="105"/>
      <c r="L410" s="105"/>
      <c r="M410" s="105"/>
      <c r="N410" s="102"/>
      <c r="O410" s="99"/>
      <c r="P410" s="99"/>
      <c r="Q410" s="15" t="e">
        <v>#N/A</v>
      </c>
      <c r="R410" s="15" t="e">
        <v>#N/A</v>
      </c>
      <c r="S410" s="15"/>
      <c r="T410" s="103"/>
      <c r="U410" s="15"/>
      <c r="V410" s="15"/>
      <c r="W410" s="100"/>
      <c r="X410" s="99"/>
      <c r="Y410" s="109">
        <f ca="1">Table25[[#This Row],[End Date]]+2-TODAY()</f>
        <v>-45530</v>
      </c>
      <c r="Z410" s="15">
        <f>IF(ISBLANK(Table25[[#This Row],[Roster Received By]]),1,0)</f>
        <v>1</v>
      </c>
      <c r="AA410" s="100">
        <f ca="1">IF(Table25[[#This Row],[Start Date]]&gt;TODAY(),1,)</f>
        <v>0</v>
      </c>
    </row>
    <row r="411" spans="1:27" s="62" customFormat="1" hidden="1" x14ac:dyDescent="0.25">
      <c r="B411" s="99"/>
      <c r="C411" s="100" t="e">
        <v>#N/A</v>
      </c>
      <c r="D411" s="100" t="e">
        <v>#N/A</v>
      </c>
      <c r="E411" s="66"/>
      <c r="F411" s="98"/>
      <c r="G411" s="110"/>
      <c r="H411" s="105"/>
      <c r="I411" s="105"/>
      <c r="J411" s="102"/>
      <c r="K411" s="102"/>
      <c r="L411" s="102"/>
      <c r="M411" s="102"/>
      <c r="N411" s="102"/>
      <c r="O411" s="99"/>
      <c r="P411" s="99"/>
      <c r="Q411" s="15" t="e">
        <v>#N/A</v>
      </c>
      <c r="R411" s="15" t="e">
        <v>#N/A</v>
      </c>
      <c r="S411" s="15"/>
      <c r="T411" s="103"/>
      <c r="U411" s="15"/>
      <c r="V411" s="15"/>
      <c r="W411" s="100"/>
      <c r="X411" s="99"/>
      <c r="Y411" s="109">
        <f ca="1">Table25[[#This Row],[End Date]]+2-TODAY()</f>
        <v>-45530</v>
      </c>
      <c r="Z411" s="15">
        <f>IF(ISBLANK(Table25[[#This Row],[Roster Received By]]),1,0)</f>
        <v>1</v>
      </c>
      <c r="AA411" s="100">
        <f ca="1">IF(Table25[[#This Row],[Start Date]]&gt;TODAY(),1,)</f>
        <v>0</v>
      </c>
    </row>
    <row r="412" spans="1:27" s="62" customFormat="1" hidden="1" x14ac:dyDescent="0.25">
      <c r="B412" s="99"/>
      <c r="C412" s="100" t="e">
        <v>#N/A</v>
      </c>
      <c r="D412" s="100" t="e">
        <v>#N/A</v>
      </c>
      <c r="E412" s="122"/>
      <c r="F412" s="110"/>
      <c r="G412" s="110"/>
      <c r="H412" s="102"/>
      <c r="I412" s="101"/>
      <c r="J412" s="101"/>
      <c r="K412" s="101"/>
      <c r="L412" s="101"/>
      <c r="M412" s="101"/>
      <c r="N412" s="101"/>
      <c r="O412" s="99"/>
      <c r="P412" s="99"/>
      <c r="Q412" s="15" t="e">
        <v>#N/A</v>
      </c>
      <c r="R412" s="15" t="e">
        <v>#N/A</v>
      </c>
      <c r="S412" s="15"/>
      <c r="T412" s="103"/>
      <c r="U412" s="15"/>
      <c r="V412" s="15"/>
      <c r="W412" s="100"/>
      <c r="X412" s="99"/>
      <c r="Y412" s="109">
        <f ca="1">Table25[[#This Row],[End Date]]+2-TODAY()</f>
        <v>-45530</v>
      </c>
      <c r="Z412" s="15">
        <f>IF(ISBLANK(Table25[[#This Row],[Roster Received By]]),1,0)</f>
        <v>1</v>
      </c>
      <c r="AA412" s="100">
        <f ca="1">IF(Table25[[#This Row],[Start Date]]&gt;TODAY(),1,)</f>
        <v>0</v>
      </c>
    </row>
    <row r="413" spans="1:27" s="62" customFormat="1" hidden="1" x14ac:dyDescent="0.25">
      <c r="B413" s="99"/>
      <c r="C413" s="100" t="e">
        <v>#N/A</v>
      </c>
      <c r="D413" s="100" t="e">
        <v>#N/A</v>
      </c>
      <c r="E413" s="122"/>
      <c r="F413" s="110"/>
      <c r="G413" s="110"/>
      <c r="H413" s="102"/>
      <c r="I413" s="101"/>
      <c r="J413" s="101"/>
      <c r="K413" s="101"/>
      <c r="L413" s="101"/>
      <c r="M413" s="101"/>
      <c r="N413" s="101"/>
      <c r="O413" s="99"/>
      <c r="P413" s="99"/>
      <c r="Q413" s="15" t="e">
        <v>#N/A</v>
      </c>
      <c r="R413" s="15" t="e">
        <v>#N/A</v>
      </c>
      <c r="S413" s="15"/>
      <c r="T413" s="103"/>
      <c r="U413" s="15"/>
      <c r="V413" s="15"/>
      <c r="W413" s="100"/>
      <c r="X413" s="99"/>
      <c r="Y413" s="109">
        <f ca="1">Table25[[#This Row],[End Date]]+2-TODAY()</f>
        <v>-45530</v>
      </c>
      <c r="Z413" s="15">
        <f>IF(ISBLANK(Table25[[#This Row],[Roster Received By]]),1,0)</f>
        <v>1</v>
      </c>
      <c r="AA413" s="100">
        <f ca="1">IF(Table25[[#This Row],[Start Date]]&gt;TODAY(),1,)</f>
        <v>0</v>
      </c>
    </row>
    <row r="414" spans="1:27" s="62" customFormat="1" hidden="1" x14ac:dyDescent="0.25">
      <c r="B414" s="99"/>
      <c r="C414" s="100" t="e">
        <v>#N/A</v>
      </c>
      <c r="D414" s="100" t="e">
        <v>#N/A</v>
      </c>
      <c r="E414" s="122"/>
      <c r="F414" s="110"/>
      <c r="G414" s="110"/>
      <c r="H414" s="102"/>
      <c r="I414" s="101"/>
      <c r="J414" s="101"/>
      <c r="K414" s="101"/>
      <c r="L414" s="101"/>
      <c r="M414" s="101"/>
      <c r="N414" s="101"/>
      <c r="O414" s="99"/>
      <c r="P414" s="99"/>
      <c r="Q414" s="15" t="e">
        <v>#N/A</v>
      </c>
      <c r="R414" s="15" t="e">
        <v>#N/A</v>
      </c>
      <c r="S414" s="15"/>
      <c r="T414" s="103"/>
      <c r="U414" s="15"/>
      <c r="V414" s="15"/>
      <c r="W414" s="100"/>
      <c r="X414" s="99"/>
      <c r="Y414" s="109">
        <f ca="1">Table25[[#This Row],[End Date]]+2-TODAY()</f>
        <v>-45530</v>
      </c>
      <c r="Z414" s="15">
        <f>IF(ISBLANK(Table25[[#This Row],[Roster Received By]]),1,0)</f>
        <v>1</v>
      </c>
      <c r="AA414" s="100">
        <f ca="1">IF(Table25[[#This Row],[Start Date]]&gt;TODAY(),1,)</f>
        <v>0</v>
      </c>
    </row>
    <row r="415" spans="1:27" s="62" customFormat="1" hidden="1" x14ac:dyDescent="0.25">
      <c r="B415" s="99"/>
      <c r="C415" s="100" t="e">
        <v>#N/A</v>
      </c>
      <c r="D415" s="100" t="e">
        <v>#N/A</v>
      </c>
      <c r="E415" s="122"/>
      <c r="F415" s="102"/>
      <c r="G415" s="102"/>
      <c r="H415" s="102"/>
      <c r="I415" s="101"/>
      <c r="J415" s="101"/>
      <c r="K415" s="101"/>
      <c r="L415" s="101"/>
      <c r="M415" s="101"/>
      <c r="N415" s="101"/>
      <c r="O415" s="99"/>
      <c r="P415" s="99"/>
      <c r="Q415" s="15" t="e">
        <v>#N/A</v>
      </c>
      <c r="R415" s="15" t="e">
        <v>#N/A</v>
      </c>
      <c r="S415" s="15"/>
      <c r="T415" s="103"/>
      <c r="U415" s="15"/>
      <c r="V415" s="15"/>
      <c r="W415" s="100"/>
      <c r="X415" s="99"/>
      <c r="Y415" s="109">
        <f ca="1">Table25[[#This Row],[End Date]]+2-TODAY()</f>
        <v>-45530</v>
      </c>
      <c r="Z415" s="15">
        <f>IF(ISBLANK(Table25[[#This Row],[Roster Received By]]),1,0)</f>
        <v>1</v>
      </c>
      <c r="AA415" s="100">
        <f ca="1">IF(Table25[[#This Row],[Start Date]]&gt;TODAY(),1,)</f>
        <v>0</v>
      </c>
    </row>
    <row r="416" spans="1:27" s="62" customFormat="1" hidden="1" x14ac:dyDescent="0.25">
      <c r="B416" s="99"/>
      <c r="C416" s="100" t="e">
        <v>#N/A</v>
      </c>
      <c r="D416" s="100" t="e">
        <v>#N/A</v>
      </c>
      <c r="E416" s="122"/>
      <c r="F416" s="102"/>
      <c r="G416" s="102"/>
      <c r="H416" s="108"/>
      <c r="I416" s="108"/>
      <c r="J416" s="102"/>
      <c r="K416" s="102"/>
      <c r="L416" s="102"/>
      <c r="M416" s="102"/>
      <c r="N416" s="102"/>
      <c r="O416" s="99"/>
      <c r="P416" s="99"/>
      <c r="Q416" s="15" t="e">
        <v>#N/A</v>
      </c>
      <c r="R416" s="15" t="e">
        <v>#N/A</v>
      </c>
      <c r="S416" s="15"/>
      <c r="T416" s="103"/>
      <c r="U416" s="15"/>
      <c r="V416" s="15"/>
      <c r="W416" s="100"/>
      <c r="X416" s="99"/>
      <c r="Y416" s="109">
        <f ca="1">Table25[[#This Row],[End Date]]+2-TODAY()</f>
        <v>-45530</v>
      </c>
      <c r="Z416" s="15">
        <f>IF(ISBLANK(Table25[[#This Row],[Roster Received By]]),1,0)</f>
        <v>1</v>
      </c>
      <c r="AA416" s="100">
        <f ca="1">IF(Table25[[#This Row],[Start Date]]&gt;TODAY(),1,)</f>
        <v>0</v>
      </c>
    </row>
    <row r="417" spans="1:27" s="62" customFormat="1" hidden="1" x14ac:dyDescent="0.25">
      <c r="A417" s="99"/>
      <c r="B417" s="99"/>
      <c r="C417" s="100" t="e">
        <v>#N/A</v>
      </c>
      <c r="D417" s="100" t="e">
        <v>#N/A</v>
      </c>
      <c r="E417" s="122"/>
      <c r="F417" s="102"/>
      <c r="G417" s="102"/>
      <c r="H417" s="108"/>
      <c r="I417" s="108"/>
      <c r="J417" s="102"/>
      <c r="K417" s="102"/>
      <c r="L417" s="102"/>
      <c r="M417" s="102"/>
      <c r="N417" s="102"/>
      <c r="O417" s="99"/>
      <c r="P417" s="99"/>
      <c r="Q417" s="15" t="e">
        <v>#N/A</v>
      </c>
      <c r="R417" s="15" t="e">
        <v>#N/A</v>
      </c>
      <c r="S417" s="15"/>
      <c r="T417" s="103"/>
      <c r="U417" s="15"/>
      <c r="V417" s="15"/>
      <c r="W417" s="100"/>
      <c r="X417" s="99"/>
      <c r="Y417" s="109">
        <f ca="1">Table25[[#This Row],[End Date]]+2-TODAY()</f>
        <v>-45530</v>
      </c>
      <c r="Z417" s="15">
        <f>IF(ISBLANK(Table25[[#This Row],[Roster Received By]]),1,0)</f>
        <v>1</v>
      </c>
      <c r="AA417" s="100">
        <f ca="1">IF(Table25[[#This Row],[Start Date]]&gt;TODAY(),1,)</f>
        <v>0</v>
      </c>
    </row>
    <row r="418" spans="1:27" s="62" customFormat="1" hidden="1" x14ac:dyDescent="0.25">
      <c r="B418" s="99"/>
      <c r="C418" s="100" t="e">
        <v>#N/A</v>
      </c>
      <c r="D418" s="100" t="e">
        <v>#N/A</v>
      </c>
      <c r="E418" s="122"/>
      <c r="F418" s="102"/>
      <c r="G418" s="102"/>
      <c r="H418" s="102"/>
      <c r="I418" s="101"/>
      <c r="J418" s="101"/>
      <c r="K418" s="101"/>
      <c r="L418" s="101"/>
      <c r="M418" s="101"/>
      <c r="N418" s="101"/>
      <c r="O418" s="99"/>
      <c r="P418" s="99"/>
      <c r="Q418" s="15" t="e">
        <v>#N/A</v>
      </c>
      <c r="R418" s="15" t="e">
        <v>#N/A</v>
      </c>
      <c r="S418" s="15"/>
      <c r="T418" s="103"/>
      <c r="U418" s="15"/>
      <c r="V418" s="15"/>
      <c r="W418" s="100"/>
      <c r="X418" s="99"/>
      <c r="Y418" s="109">
        <f ca="1">Table25[[#This Row],[End Date]]+2-TODAY()</f>
        <v>-45530</v>
      </c>
      <c r="Z418" s="15">
        <f>IF(ISBLANK(Table25[[#This Row],[Roster Received By]]),1,0)</f>
        <v>1</v>
      </c>
      <c r="AA418" s="100">
        <f ca="1">IF(Table25[[#This Row],[Start Date]]&gt;TODAY(),1,)</f>
        <v>0</v>
      </c>
    </row>
    <row r="419" spans="1:27" s="62" customFormat="1" hidden="1" x14ac:dyDescent="0.25">
      <c r="B419" s="99"/>
      <c r="C419" s="100" t="e">
        <v>#N/A</v>
      </c>
      <c r="D419" s="100" t="e">
        <v>#N/A</v>
      </c>
      <c r="E419" s="99"/>
      <c r="F419" s="102"/>
      <c r="G419" s="102"/>
      <c r="H419" s="102"/>
      <c r="I419" s="101"/>
      <c r="J419" s="101"/>
      <c r="K419" s="101"/>
      <c r="L419" s="101"/>
      <c r="M419" s="101"/>
      <c r="N419" s="101"/>
      <c r="O419" s="99"/>
      <c r="P419" s="99"/>
      <c r="Q419" s="15" t="e">
        <v>#N/A</v>
      </c>
      <c r="R419" s="15" t="e">
        <v>#N/A</v>
      </c>
      <c r="S419" s="15"/>
      <c r="T419" s="103"/>
      <c r="U419" s="15"/>
      <c r="V419" s="15"/>
      <c r="W419" s="100"/>
      <c r="X419" s="99"/>
      <c r="Y419" s="109">
        <f ca="1">Table25[[#This Row],[End Date]]+2-TODAY()</f>
        <v>-45530</v>
      </c>
      <c r="Z419" s="15">
        <f>IF(ISBLANK(Table25[[#This Row],[Roster Received By]]),1,0)</f>
        <v>1</v>
      </c>
      <c r="AA419" s="100">
        <f ca="1">IF(Table25[[#This Row],[Start Date]]&gt;TODAY(),1,)</f>
        <v>0</v>
      </c>
    </row>
    <row r="420" spans="1:27" s="62" customFormat="1" hidden="1" x14ac:dyDescent="0.25">
      <c r="B420" s="99"/>
      <c r="C420" s="100" t="e">
        <v>#N/A</v>
      </c>
      <c r="D420" s="100" t="e">
        <v>#N/A</v>
      </c>
      <c r="E420" s="99"/>
      <c r="F420" s="102"/>
      <c r="G420" s="102"/>
      <c r="H420" s="105"/>
      <c r="I420" s="112"/>
      <c r="J420" s="112"/>
      <c r="K420" s="112"/>
      <c r="L420" s="112"/>
      <c r="M420" s="112"/>
      <c r="N420" s="112"/>
      <c r="O420" s="99"/>
      <c r="P420" s="99"/>
      <c r="Q420" s="15" t="e">
        <v>#N/A</v>
      </c>
      <c r="R420" s="15" t="e">
        <v>#N/A</v>
      </c>
      <c r="S420" s="103"/>
      <c r="T420" s="113"/>
      <c r="U420" s="113"/>
      <c r="V420" s="113"/>
      <c r="W420" s="113"/>
      <c r="X420" s="99"/>
      <c r="Y420" s="113"/>
    </row>
    <row r="421" spans="1:27" s="62" customFormat="1" hidden="1" x14ac:dyDescent="0.25">
      <c r="B421" s="99"/>
      <c r="C421" s="100" t="e">
        <v>#N/A</v>
      </c>
      <c r="D421" s="100" t="e">
        <v>#N/A</v>
      </c>
      <c r="E421" s="99"/>
      <c r="F421" s="102"/>
      <c r="G421" s="102"/>
      <c r="H421" s="105"/>
      <c r="I421" s="105"/>
      <c r="J421" s="102"/>
      <c r="K421" s="102"/>
      <c r="L421" s="102"/>
      <c r="M421" s="102"/>
      <c r="N421" s="102"/>
      <c r="O421" s="99"/>
      <c r="P421" s="99"/>
      <c r="Q421" s="15" t="e">
        <v>#N/A</v>
      </c>
      <c r="R421" s="15" t="e">
        <v>#N/A</v>
      </c>
      <c r="S421" s="103"/>
      <c r="T421" s="103"/>
      <c r="U421" s="15"/>
      <c r="V421" s="15"/>
      <c r="W421" s="100"/>
      <c r="X421" s="99"/>
      <c r="Y421" s="109">
        <f ca="1">Table25[[#This Row],[End Date]]+2-TODAY()</f>
        <v>-45530</v>
      </c>
      <c r="Z421" s="15">
        <f>IF(ISBLANK(Table25[[#This Row],[Roster Received By]]),1,0)</f>
        <v>1</v>
      </c>
      <c r="AA421" s="100">
        <f ca="1">IF(Table25[[#This Row],[Start Date]]&gt;TODAY(),1,)</f>
        <v>0</v>
      </c>
    </row>
    <row r="422" spans="1:27" s="62" customFormat="1" hidden="1" x14ac:dyDescent="0.25">
      <c r="B422" s="99"/>
      <c r="C422" s="100" t="e">
        <v>#N/A</v>
      </c>
      <c r="D422" s="100" t="e">
        <v>#N/A</v>
      </c>
      <c r="E422" s="65"/>
      <c r="F422" s="102"/>
      <c r="G422" s="102"/>
      <c r="H422" s="105"/>
      <c r="I422" s="105"/>
      <c r="J422" s="102"/>
      <c r="K422" s="102"/>
      <c r="L422" s="102"/>
      <c r="M422" s="102"/>
      <c r="N422" s="102"/>
      <c r="O422" s="99"/>
      <c r="P422" s="99"/>
      <c r="Q422" s="15" t="e">
        <v>#N/A</v>
      </c>
      <c r="R422" s="15" t="e">
        <v>#N/A</v>
      </c>
      <c r="S422" s="15"/>
      <c r="T422" s="103"/>
      <c r="U422" s="15"/>
      <c r="V422" s="15"/>
      <c r="W422" s="15"/>
      <c r="X422" s="99"/>
      <c r="Y422" s="71">
        <f ca="1">Table25[[#This Row],[End Date]]+2-TODAY()</f>
        <v>-45530</v>
      </c>
      <c r="Z422" s="15">
        <f>IF(ISBLANK(Table25[[#This Row],[Roster Received By]]),1,0)</f>
        <v>1</v>
      </c>
      <c r="AA422" s="15">
        <f ca="1">IF(Table25[[#This Row],[Start Date]]&gt;TODAY(),1,)</f>
        <v>0</v>
      </c>
    </row>
    <row r="423" spans="1:27" s="62" customFormat="1" hidden="1" x14ac:dyDescent="0.25">
      <c r="B423" s="99"/>
      <c r="C423" s="100" t="e">
        <v>#N/A</v>
      </c>
      <c r="D423" s="100" t="e">
        <v>#N/A</v>
      </c>
      <c r="E423" s="99"/>
      <c r="F423" s="102"/>
      <c r="G423" s="102"/>
      <c r="H423" s="105"/>
      <c r="I423" s="105"/>
      <c r="J423" s="102"/>
      <c r="K423" s="102"/>
      <c r="L423" s="102"/>
      <c r="M423" s="102"/>
      <c r="N423" s="102"/>
      <c r="O423" s="99"/>
      <c r="P423" s="99"/>
      <c r="Q423" s="15" t="e">
        <v>#N/A</v>
      </c>
      <c r="R423" s="15" t="e">
        <v>#N/A</v>
      </c>
      <c r="S423" s="15"/>
      <c r="T423" s="103"/>
      <c r="U423" s="15"/>
      <c r="V423" s="15"/>
      <c r="W423" s="100"/>
      <c r="X423" s="99"/>
      <c r="Y423" s="109">
        <f ca="1">Table25[[#This Row],[End Date]]+2-TODAY()</f>
        <v>-45530</v>
      </c>
      <c r="Z423" s="15">
        <f>IF(ISBLANK(Table25[[#This Row],[Roster Received By]]),1,0)</f>
        <v>1</v>
      </c>
      <c r="AA423" s="100">
        <f ca="1">IF(Table25[[#This Row],[Start Date]]&gt;TODAY(),1,)</f>
        <v>0</v>
      </c>
    </row>
    <row r="424" spans="1:27" s="62" customFormat="1" hidden="1" x14ac:dyDescent="0.25">
      <c r="B424" s="99"/>
      <c r="C424" s="100" t="e">
        <v>#N/A</v>
      </c>
      <c r="D424" s="100" t="e">
        <v>#N/A</v>
      </c>
      <c r="E424" s="65"/>
      <c r="F424" s="102"/>
      <c r="G424" s="102"/>
      <c r="H424" s="105"/>
      <c r="I424" s="105"/>
      <c r="J424" s="102"/>
      <c r="K424" s="102"/>
      <c r="L424" s="102"/>
      <c r="M424" s="102"/>
      <c r="N424" s="102"/>
      <c r="O424" s="99"/>
      <c r="P424" s="99"/>
      <c r="Q424" s="15" t="e">
        <v>#N/A</v>
      </c>
      <c r="R424" s="15" t="e">
        <v>#N/A</v>
      </c>
      <c r="S424" s="15"/>
      <c r="T424" s="103"/>
      <c r="U424" s="15"/>
      <c r="V424" s="15"/>
      <c r="W424" s="100"/>
      <c r="X424" s="99"/>
      <c r="Y424" s="109">
        <f ca="1">Table25[[#This Row],[End Date]]+2-TODAY()</f>
        <v>-45530</v>
      </c>
      <c r="Z424" s="15">
        <f>IF(ISBLANK(Table25[[#This Row],[Roster Received By]]),1,0)</f>
        <v>1</v>
      </c>
      <c r="AA424" s="100">
        <f ca="1">IF(Table25[[#This Row],[Start Date]]&gt;TODAY(),1,)</f>
        <v>0</v>
      </c>
    </row>
    <row r="425" spans="1:27" s="62" customFormat="1" hidden="1" x14ac:dyDescent="0.25">
      <c r="B425" s="99"/>
      <c r="C425" s="100" t="e">
        <v>#N/A</v>
      </c>
      <c r="D425" s="100" t="e">
        <v>#N/A</v>
      </c>
      <c r="E425" s="99"/>
      <c r="F425" s="102"/>
      <c r="G425" s="102"/>
      <c r="H425" s="105"/>
      <c r="I425" s="105"/>
      <c r="J425" s="102"/>
      <c r="K425" s="102"/>
      <c r="L425" s="102"/>
      <c r="M425" s="102"/>
      <c r="N425" s="102"/>
      <c r="O425" s="99"/>
      <c r="P425" s="99"/>
      <c r="Q425" s="15" t="e">
        <v>#N/A</v>
      </c>
      <c r="R425" s="15" t="e">
        <v>#N/A</v>
      </c>
      <c r="S425" s="15"/>
      <c r="T425" s="103"/>
      <c r="U425" s="15"/>
      <c r="V425" s="15"/>
      <c r="W425" s="15"/>
      <c r="X425" s="99"/>
      <c r="Y425" s="109">
        <f ca="1">Table25[[#This Row],[End Date]]+2-TODAY()</f>
        <v>-45530</v>
      </c>
      <c r="Z425" s="15">
        <f>IF(ISBLANK(Table25[[#This Row],[Roster Received By]]),1,0)</f>
        <v>1</v>
      </c>
      <c r="AA425" s="100">
        <f ca="1">IF(Table25[[#This Row],[Start Date]]&gt;TODAY(),1,)</f>
        <v>0</v>
      </c>
    </row>
    <row r="426" spans="1:27" s="62" customFormat="1" hidden="1" x14ac:dyDescent="0.25">
      <c r="A426" s="99"/>
      <c r="B426" s="99"/>
      <c r="C426" s="100" t="e">
        <v>#N/A</v>
      </c>
      <c r="D426" s="100" t="e">
        <v>#N/A</v>
      </c>
      <c r="E426" s="99"/>
      <c r="F426" s="102"/>
      <c r="G426" s="102"/>
      <c r="H426" s="105"/>
      <c r="I426" s="105"/>
      <c r="J426" s="102"/>
      <c r="K426" s="102"/>
      <c r="L426" s="102"/>
      <c r="M426" s="102"/>
      <c r="N426" s="102"/>
      <c r="O426" s="99"/>
      <c r="P426" s="99"/>
      <c r="Q426" s="15" t="e">
        <v>#N/A</v>
      </c>
      <c r="R426" s="15" t="e">
        <v>#N/A</v>
      </c>
      <c r="S426" s="15"/>
      <c r="T426" s="103"/>
      <c r="U426" s="15"/>
      <c r="V426" s="15"/>
      <c r="W426" s="100"/>
      <c r="X426" s="99"/>
      <c r="Y426" s="109">
        <f ca="1">Table25[[#This Row],[End Date]]+2-TODAY()</f>
        <v>-45530</v>
      </c>
      <c r="Z426" s="15">
        <f>IF(ISBLANK(Table25[[#This Row],[Roster Received By]]),1,0)</f>
        <v>1</v>
      </c>
      <c r="AA426" s="100">
        <f ca="1">IF(Table25[[#This Row],[Start Date]]&gt;TODAY(),1,)</f>
        <v>0</v>
      </c>
    </row>
    <row r="427" spans="1:27" s="62" customFormat="1" hidden="1" x14ac:dyDescent="0.25">
      <c r="B427" s="99"/>
      <c r="C427" s="100" t="e">
        <v>#N/A</v>
      </c>
      <c r="D427" s="100" t="e">
        <v>#N/A</v>
      </c>
      <c r="E427" s="99"/>
      <c r="F427" s="102"/>
      <c r="G427" s="102"/>
      <c r="H427" s="105"/>
      <c r="I427" s="105"/>
      <c r="J427" s="102"/>
      <c r="K427" s="102"/>
      <c r="L427" s="102"/>
      <c r="M427" s="102"/>
      <c r="N427" s="102"/>
      <c r="O427" s="99"/>
      <c r="P427" s="99"/>
      <c r="Q427" s="15" t="e">
        <v>#N/A</v>
      </c>
      <c r="R427" s="15" t="e">
        <v>#N/A</v>
      </c>
      <c r="S427" s="15"/>
      <c r="T427" s="103"/>
      <c r="U427" s="15"/>
      <c r="V427" s="15"/>
      <c r="W427" s="100"/>
      <c r="X427" s="99"/>
      <c r="Y427" s="109">
        <f ca="1">Table25[[#This Row],[End Date]]+2-TODAY()</f>
        <v>-45530</v>
      </c>
      <c r="Z427" s="15">
        <f>IF(ISBLANK(Table25[[#This Row],[Roster Received By]]),1,0)</f>
        <v>1</v>
      </c>
      <c r="AA427" s="100">
        <f ca="1">IF(Table25[[#This Row],[Start Date]]&gt;TODAY(),1,)</f>
        <v>0</v>
      </c>
    </row>
    <row r="428" spans="1:27" s="62" customFormat="1" hidden="1" x14ac:dyDescent="0.25">
      <c r="B428" s="99"/>
      <c r="C428" s="100" t="e">
        <v>#N/A</v>
      </c>
      <c r="D428" s="100" t="e">
        <v>#N/A</v>
      </c>
      <c r="E428" s="99"/>
      <c r="F428" s="102"/>
      <c r="G428" s="102"/>
      <c r="H428" s="105"/>
      <c r="I428" s="105"/>
      <c r="J428" s="102"/>
      <c r="K428" s="102"/>
      <c r="L428" s="102"/>
      <c r="M428" s="102"/>
      <c r="N428" s="102"/>
      <c r="O428" s="99"/>
      <c r="P428" s="99"/>
      <c r="Q428" s="15" t="e">
        <v>#N/A</v>
      </c>
      <c r="R428" s="15" t="e">
        <v>#N/A</v>
      </c>
      <c r="S428" s="103"/>
      <c r="T428" s="103"/>
      <c r="U428" s="15"/>
      <c r="V428" s="15"/>
      <c r="W428" s="15"/>
      <c r="X428" s="99"/>
      <c r="Y428" s="71">
        <f ca="1">Table25[[#This Row],[End Date]]+2-TODAY()</f>
        <v>-45530</v>
      </c>
      <c r="Z428" s="15">
        <f>IF(ISBLANK(Table25[[#This Row],[Roster Received By]]),1,0)</f>
        <v>1</v>
      </c>
      <c r="AA428" s="15">
        <f ca="1">IF(Table25[[#This Row],[Start Date]]&gt;TODAY(),1,)</f>
        <v>0</v>
      </c>
    </row>
    <row r="429" spans="1:27" s="62" customFormat="1" hidden="1" x14ac:dyDescent="0.25">
      <c r="B429" s="99"/>
      <c r="C429" s="100" t="e">
        <v>#N/A</v>
      </c>
      <c r="D429" s="100" t="e">
        <v>#N/A</v>
      </c>
      <c r="E429" s="65"/>
      <c r="F429" s="102"/>
      <c r="G429" s="102"/>
      <c r="H429" s="105"/>
      <c r="I429" s="105"/>
      <c r="J429" s="102"/>
      <c r="K429" s="102"/>
      <c r="L429" s="102"/>
      <c r="M429" s="102"/>
      <c r="N429" s="102"/>
      <c r="O429" s="99"/>
      <c r="P429" s="99"/>
      <c r="Q429" s="15" t="e">
        <v>#N/A</v>
      </c>
      <c r="R429" s="15" t="e">
        <v>#N/A</v>
      </c>
      <c r="S429" s="15"/>
      <c r="T429" s="103"/>
      <c r="U429" s="15"/>
      <c r="V429" s="15"/>
      <c r="W429" s="100"/>
      <c r="X429" s="99"/>
      <c r="Y429" s="109">
        <f ca="1">Table25[[#This Row],[End Date]]+2-TODAY()</f>
        <v>-45530</v>
      </c>
      <c r="Z429" s="15">
        <f>IF(ISBLANK(Table25[[#This Row],[Roster Received By]]),1,0)</f>
        <v>1</v>
      </c>
      <c r="AA429" s="100">
        <f ca="1">IF(Table25[[#This Row],[Start Date]]&gt;TODAY(),1,)</f>
        <v>0</v>
      </c>
    </row>
    <row r="430" spans="1:27" s="62" customFormat="1" hidden="1" x14ac:dyDescent="0.25">
      <c r="B430" s="99"/>
      <c r="C430" s="100" t="e">
        <v>#N/A</v>
      </c>
      <c r="D430" s="100" t="e">
        <v>#N/A</v>
      </c>
      <c r="E430" s="99"/>
      <c r="F430" s="102"/>
      <c r="G430" s="102"/>
      <c r="H430" s="102"/>
      <c r="I430" s="101"/>
      <c r="J430" s="101"/>
      <c r="K430" s="101"/>
      <c r="L430" s="101"/>
      <c r="M430" s="101"/>
      <c r="N430" s="101"/>
      <c r="O430" s="99"/>
      <c r="P430" s="99"/>
      <c r="Q430" s="15" t="e">
        <v>#N/A</v>
      </c>
      <c r="R430" s="15" t="e">
        <v>#N/A</v>
      </c>
      <c r="S430" s="15"/>
      <c r="T430" s="103"/>
      <c r="U430" s="15"/>
      <c r="V430" s="15"/>
      <c r="W430" s="100"/>
      <c r="X430" s="99"/>
      <c r="Y430" s="109">
        <f ca="1">Table25[[#This Row],[End Date]]+2-TODAY()</f>
        <v>-45530</v>
      </c>
      <c r="Z430" s="15">
        <f>IF(ISBLANK(Table25[[#This Row],[Roster Received By]]),1,0)</f>
        <v>1</v>
      </c>
      <c r="AA430" s="100">
        <f ca="1">IF(Table25[[#This Row],[Start Date]]&gt;TODAY(),1,)</f>
        <v>0</v>
      </c>
    </row>
    <row r="431" spans="1:27" s="62" customFormat="1" hidden="1" x14ac:dyDescent="0.25">
      <c r="A431" s="99"/>
      <c r="B431" s="99"/>
      <c r="C431" s="100" t="e">
        <v>#N/A</v>
      </c>
      <c r="D431" s="100" t="e">
        <v>#N/A</v>
      </c>
      <c r="E431" s="99"/>
      <c r="F431" s="102"/>
      <c r="G431" s="102"/>
      <c r="H431" s="105"/>
      <c r="I431" s="105"/>
      <c r="J431" s="102"/>
      <c r="K431" s="102"/>
      <c r="L431" s="102"/>
      <c r="M431" s="102"/>
      <c r="N431" s="102"/>
      <c r="O431" s="99"/>
      <c r="P431" s="99"/>
      <c r="Q431" s="15" t="e">
        <v>#N/A</v>
      </c>
      <c r="R431" s="15" t="e">
        <v>#N/A</v>
      </c>
      <c r="S431" s="15"/>
      <c r="T431" s="103"/>
      <c r="U431" s="15"/>
      <c r="V431" s="15"/>
      <c r="W431" s="100"/>
      <c r="X431" s="99"/>
      <c r="Y431" s="109">
        <f ca="1">Table25[[#This Row],[End Date]]+2-TODAY()</f>
        <v>-45530</v>
      </c>
      <c r="Z431" s="15">
        <f>IF(ISBLANK(Table25[[#This Row],[Roster Received By]]),1,0)</f>
        <v>1</v>
      </c>
      <c r="AA431" s="100">
        <f ca="1">IF(Table25[[#This Row],[Start Date]]&gt;TODAY(),1,)</f>
        <v>0</v>
      </c>
    </row>
    <row r="432" spans="1:27" s="62" customFormat="1" hidden="1" x14ac:dyDescent="0.25">
      <c r="A432" s="99"/>
      <c r="B432" s="99"/>
      <c r="C432" s="100" t="e">
        <v>#N/A</v>
      </c>
      <c r="D432" s="100" t="e">
        <v>#N/A</v>
      </c>
      <c r="E432" s="65"/>
      <c r="F432" s="102"/>
      <c r="G432" s="102"/>
      <c r="H432" s="105"/>
      <c r="I432" s="105"/>
      <c r="J432" s="102"/>
      <c r="K432" s="102"/>
      <c r="L432" s="102"/>
      <c r="M432" s="102"/>
      <c r="N432" s="102"/>
      <c r="O432" s="99"/>
      <c r="P432" s="99"/>
      <c r="Q432" s="15" t="e">
        <v>#N/A</v>
      </c>
      <c r="R432" s="15" t="e">
        <v>#N/A</v>
      </c>
      <c r="S432" s="15"/>
      <c r="T432" s="103"/>
      <c r="U432" s="15"/>
      <c r="V432" s="15"/>
      <c r="W432" s="100"/>
      <c r="X432" s="99"/>
      <c r="Y432" s="109">
        <f ca="1">Table25[[#This Row],[End Date]]+2-TODAY()</f>
        <v>-45530</v>
      </c>
      <c r="Z432" s="15">
        <f>IF(ISBLANK(Table25[[#This Row],[Roster Received By]]),1,0)</f>
        <v>1</v>
      </c>
      <c r="AA432" s="100">
        <f ca="1">IF(Table25[[#This Row],[Start Date]]&gt;TODAY(),1,)</f>
        <v>0</v>
      </c>
    </row>
    <row r="433" spans="1:27" s="62" customFormat="1" hidden="1" x14ac:dyDescent="0.25">
      <c r="B433" s="99"/>
      <c r="C433" s="100" t="e">
        <v>#N/A</v>
      </c>
      <c r="D433" s="100" t="e">
        <v>#N/A</v>
      </c>
      <c r="E433" s="99"/>
      <c r="F433" s="102"/>
      <c r="G433" s="102"/>
      <c r="H433" s="102"/>
      <c r="I433" s="101"/>
      <c r="J433" s="101"/>
      <c r="K433" s="101"/>
      <c r="L433" s="101"/>
      <c r="M433" s="101"/>
      <c r="N433" s="101"/>
      <c r="O433" s="99"/>
      <c r="P433" s="99"/>
      <c r="Q433" s="15" t="e">
        <v>#N/A</v>
      </c>
      <c r="R433" s="15" t="e">
        <v>#N/A</v>
      </c>
      <c r="S433" s="15"/>
      <c r="T433" s="103"/>
      <c r="U433" s="15"/>
      <c r="V433" s="15"/>
      <c r="W433" s="100"/>
      <c r="X433" s="99"/>
      <c r="Y433" s="109">
        <f ca="1">Table25[[#This Row],[End Date]]+2-TODAY()</f>
        <v>-45530</v>
      </c>
      <c r="Z433" s="15">
        <f>IF(ISBLANK(Table25[[#This Row],[Roster Received By]]),1,0)</f>
        <v>1</v>
      </c>
      <c r="AA433" s="100">
        <f ca="1">IF(Table25[[#This Row],[Start Date]]&gt;TODAY(),1,)</f>
        <v>0</v>
      </c>
    </row>
    <row r="434" spans="1:27" s="62" customFormat="1" hidden="1" x14ac:dyDescent="0.25">
      <c r="B434" s="99"/>
      <c r="C434" s="100" t="e">
        <v>#N/A</v>
      </c>
      <c r="D434" s="100" t="e">
        <v>#N/A</v>
      </c>
      <c r="E434" s="65"/>
      <c r="F434" s="102"/>
      <c r="G434" s="102"/>
      <c r="H434" s="105"/>
      <c r="I434" s="105"/>
      <c r="J434" s="102"/>
      <c r="K434" s="102"/>
      <c r="L434" s="102"/>
      <c r="M434" s="102"/>
      <c r="N434" s="102"/>
      <c r="O434" s="99"/>
      <c r="P434" s="99"/>
      <c r="Q434" s="15" t="e">
        <v>#N/A</v>
      </c>
      <c r="R434" s="15" t="e">
        <v>#N/A</v>
      </c>
      <c r="S434" s="15"/>
      <c r="T434" s="103"/>
      <c r="U434" s="15"/>
      <c r="V434" s="15"/>
      <c r="W434" s="100"/>
      <c r="X434" s="99"/>
      <c r="Y434" s="109">
        <f ca="1">Table25[[#This Row],[End Date]]+2-TODAY()</f>
        <v>-45530</v>
      </c>
      <c r="Z434" s="15">
        <f>IF(ISBLANK(Table25[[#This Row],[Roster Received By]]),1,0)</f>
        <v>1</v>
      </c>
      <c r="AA434" s="100">
        <f ca="1">IF(Table25[[#This Row],[Start Date]]&gt;TODAY(),1,)</f>
        <v>0</v>
      </c>
    </row>
    <row r="435" spans="1:27" s="62" customFormat="1" hidden="1" x14ac:dyDescent="0.25">
      <c r="B435" s="99"/>
      <c r="C435" s="100" t="e">
        <v>#N/A</v>
      </c>
      <c r="D435" s="100" t="e">
        <v>#N/A</v>
      </c>
      <c r="E435" s="65"/>
      <c r="F435" s="102"/>
      <c r="G435" s="102"/>
      <c r="H435" s="105"/>
      <c r="I435" s="105"/>
      <c r="J435" s="102"/>
      <c r="K435" s="102"/>
      <c r="L435" s="102"/>
      <c r="M435" s="102"/>
      <c r="N435" s="102"/>
      <c r="O435" s="99"/>
      <c r="P435" s="99"/>
      <c r="Q435" s="15" t="e">
        <v>#N/A</v>
      </c>
      <c r="R435" s="15" t="e">
        <v>#N/A</v>
      </c>
      <c r="S435" s="15"/>
      <c r="T435" s="103"/>
      <c r="U435" s="15"/>
      <c r="V435" s="15"/>
      <c r="W435" s="15"/>
      <c r="X435" s="99"/>
      <c r="Y435" s="71">
        <f ca="1">Table25[[#This Row],[End Date]]+2-TODAY()</f>
        <v>-45530</v>
      </c>
      <c r="Z435" s="15">
        <f>IF(ISBLANK(Table25[[#This Row],[Roster Received By]]),1,0)</f>
        <v>1</v>
      </c>
      <c r="AA435" s="15">
        <f ca="1">IF(Table25[[#This Row],[Start Date]]&gt;TODAY(),1,)</f>
        <v>0</v>
      </c>
    </row>
    <row r="436" spans="1:27" s="62" customFormat="1" hidden="1" x14ac:dyDescent="0.25">
      <c r="B436" s="99"/>
      <c r="C436" s="100" t="e">
        <v>#N/A</v>
      </c>
      <c r="D436" s="100" t="e">
        <v>#N/A</v>
      </c>
      <c r="E436" s="99"/>
      <c r="F436" s="102"/>
      <c r="G436" s="102"/>
      <c r="H436" s="105"/>
      <c r="I436" s="105"/>
      <c r="J436" s="102"/>
      <c r="K436" s="102"/>
      <c r="L436" s="102"/>
      <c r="M436" s="102"/>
      <c r="N436" s="102"/>
      <c r="O436" s="99"/>
      <c r="P436" s="99"/>
      <c r="Q436" s="15" t="e">
        <v>#N/A</v>
      </c>
      <c r="R436" s="15" t="e">
        <v>#N/A</v>
      </c>
      <c r="S436" s="15"/>
      <c r="T436" s="103"/>
      <c r="U436" s="15"/>
      <c r="V436" s="15"/>
      <c r="W436" s="15"/>
      <c r="X436" s="99"/>
      <c r="Y436" s="71">
        <f ca="1">Table25[[#This Row],[End Date]]+2-TODAY()</f>
        <v>-45530</v>
      </c>
      <c r="Z436" s="15">
        <f>IF(ISBLANK(Table25[[#This Row],[Roster Received By]]),1,0)</f>
        <v>1</v>
      </c>
      <c r="AA436" s="15">
        <f ca="1">IF(Table25[[#This Row],[Start Date]]&gt;TODAY(),1,)</f>
        <v>0</v>
      </c>
    </row>
    <row r="437" spans="1:27" s="62" customFormat="1" hidden="1" x14ac:dyDescent="0.25">
      <c r="B437" s="99"/>
      <c r="C437" s="100" t="e">
        <v>#N/A</v>
      </c>
      <c r="D437" s="100" t="e">
        <v>#N/A</v>
      </c>
      <c r="E437" s="99"/>
      <c r="F437" s="102"/>
      <c r="G437" s="102"/>
      <c r="H437" s="105"/>
      <c r="I437" s="105"/>
      <c r="J437" s="102"/>
      <c r="K437" s="102"/>
      <c r="L437" s="102"/>
      <c r="M437" s="102"/>
      <c r="N437" s="102"/>
      <c r="O437" s="99"/>
      <c r="P437" s="99"/>
      <c r="Q437" s="15" t="e">
        <v>#N/A</v>
      </c>
      <c r="R437" s="15" t="e">
        <v>#N/A</v>
      </c>
      <c r="S437" s="103"/>
      <c r="T437" s="103"/>
      <c r="U437" s="15"/>
      <c r="V437" s="15"/>
      <c r="W437" s="100"/>
      <c r="X437" s="99"/>
      <c r="Y437" s="109">
        <f ca="1">Table25[[#This Row],[End Date]]+2-TODAY()</f>
        <v>-45530</v>
      </c>
      <c r="Z437" s="15">
        <f>IF(ISBLANK(Table25[[#This Row],[Roster Received By]]),1,0)</f>
        <v>1</v>
      </c>
      <c r="AA437" s="100">
        <f ca="1">IF(Table25[[#This Row],[Start Date]]&gt;TODAY(),1,)</f>
        <v>0</v>
      </c>
    </row>
    <row r="438" spans="1:27" s="62" customFormat="1" hidden="1" x14ac:dyDescent="0.25">
      <c r="B438" s="116"/>
      <c r="C438" s="100" t="e">
        <v>#N/A</v>
      </c>
      <c r="D438" s="100" t="e">
        <v>#N/A</v>
      </c>
      <c r="E438" s="99"/>
      <c r="F438" s="67"/>
      <c r="G438" s="102"/>
      <c r="H438" s="102"/>
      <c r="I438" s="101"/>
      <c r="J438" s="101"/>
      <c r="K438" s="101"/>
      <c r="L438" s="101"/>
      <c r="M438" s="101"/>
      <c r="N438" s="101"/>
      <c r="O438" s="99"/>
      <c r="P438" s="99"/>
      <c r="Q438" s="15" t="e">
        <v>#N/A</v>
      </c>
      <c r="R438" s="15" t="e">
        <v>#N/A</v>
      </c>
      <c r="S438" s="15"/>
      <c r="T438" s="103"/>
      <c r="U438" s="15"/>
      <c r="V438" s="15"/>
      <c r="W438" s="100"/>
      <c r="X438" s="99"/>
      <c r="Y438" s="109">
        <f ca="1">Table25[[#This Row],[End Date]]+2-TODAY()</f>
        <v>-45530</v>
      </c>
      <c r="Z438" s="15">
        <f>IF(ISBLANK(Table25[[#This Row],[Roster Received By]]),1,0)</f>
        <v>1</v>
      </c>
      <c r="AA438" s="100">
        <f ca="1">IF(Table25[[#This Row],[Start Date]]&gt;TODAY(),1,)</f>
        <v>0</v>
      </c>
    </row>
    <row r="439" spans="1:27" s="62" customFormat="1" hidden="1" x14ac:dyDescent="0.25">
      <c r="A439" s="99"/>
      <c r="B439" s="116"/>
      <c r="C439" s="100" t="e">
        <v>#N/A</v>
      </c>
      <c r="D439" s="100" t="e">
        <v>#N/A</v>
      </c>
      <c r="E439" s="99"/>
      <c r="F439" s="102"/>
      <c r="G439" s="102"/>
      <c r="H439" s="105"/>
      <c r="I439" s="105"/>
      <c r="J439" s="102"/>
      <c r="K439" s="102"/>
      <c r="L439" s="102"/>
      <c r="M439" s="102"/>
      <c r="N439" s="102"/>
      <c r="O439" s="99"/>
      <c r="P439" s="99"/>
      <c r="Q439" s="15" t="e">
        <v>#N/A</v>
      </c>
      <c r="R439" s="15" t="e">
        <v>#N/A</v>
      </c>
      <c r="S439" s="15"/>
      <c r="T439" s="103"/>
      <c r="U439" s="15"/>
      <c r="V439" s="15"/>
      <c r="W439" s="100"/>
      <c r="X439" s="99"/>
      <c r="Y439" s="109">
        <f ca="1">Table25[[#This Row],[End Date]]+2-TODAY()</f>
        <v>-45530</v>
      </c>
      <c r="Z439" s="15">
        <f>IF(ISBLANK(Table25[[#This Row],[Roster Received By]]),1,0)</f>
        <v>1</v>
      </c>
      <c r="AA439" s="100">
        <f ca="1">IF(Table25[[#This Row],[Start Date]]&gt;TODAY(),1,)</f>
        <v>0</v>
      </c>
    </row>
    <row r="440" spans="1:27" s="62" customFormat="1" hidden="1" x14ac:dyDescent="0.25">
      <c r="B440" s="116"/>
      <c r="C440" s="100" t="e">
        <v>#N/A</v>
      </c>
      <c r="D440" s="100" t="e">
        <v>#N/A</v>
      </c>
      <c r="E440" s="99"/>
      <c r="F440" s="102"/>
      <c r="G440" s="102"/>
      <c r="H440" s="105"/>
      <c r="I440" s="105"/>
      <c r="J440" s="102"/>
      <c r="K440" s="102"/>
      <c r="L440" s="102"/>
      <c r="M440" s="102"/>
      <c r="N440" s="102"/>
      <c r="O440" s="99"/>
      <c r="P440" s="99"/>
      <c r="Q440" s="15" t="e">
        <v>#N/A</v>
      </c>
      <c r="R440" s="15" t="e">
        <v>#N/A</v>
      </c>
      <c r="S440" s="103"/>
      <c r="T440" s="103"/>
      <c r="U440" s="15"/>
      <c r="V440" s="15"/>
      <c r="W440" s="100"/>
      <c r="X440" s="99"/>
      <c r="Y440" s="109">
        <f ca="1">Table25[[#This Row],[End Date]]+2-TODAY()</f>
        <v>-45530</v>
      </c>
      <c r="Z440" s="15">
        <f>IF(ISBLANK(Table25[[#This Row],[Roster Received By]]),1,0)</f>
        <v>1</v>
      </c>
      <c r="AA440" s="100">
        <f ca="1">IF(Table25[[#This Row],[Start Date]]&gt;TODAY(),1,)</f>
        <v>0</v>
      </c>
    </row>
    <row r="441" spans="1:27" s="62" customFormat="1" hidden="1" x14ac:dyDescent="0.25">
      <c r="B441" s="99"/>
      <c r="C441" s="100" t="e">
        <v>#N/A</v>
      </c>
      <c r="D441" s="100" t="e">
        <v>#N/A</v>
      </c>
      <c r="E441" s="99"/>
      <c r="F441" s="102"/>
      <c r="G441" s="102"/>
      <c r="H441" s="102"/>
      <c r="I441" s="101"/>
      <c r="J441" s="101"/>
      <c r="K441" s="101"/>
      <c r="L441" s="101"/>
      <c r="M441" s="101"/>
      <c r="N441" s="101"/>
      <c r="O441" s="99"/>
      <c r="P441" s="99"/>
      <c r="Q441" s="15" t="e">
        <v>#N/A</v>
      </c>
      <c r="R441" s="15" t="e">
        <v>#N/A</v>
      </c>
      <c r="S441" s="15"/>
      <c r="T441" s="103"/>
      <c r="U441" s="15"/>
      <c r="V441" s="15"/>
      <c r="W441" s="100"/>
      <c r="X441" s="99"/>
      <c r="Y441" s="109">
        <f ca="1">Table25[[#This Row],[End Date]]+2-TODAY()</f>
        <v>-45530</v>
      </c>
      <c r="Z441" s="15">
        <f>IF(ISBLANK(Table25[[#This Row],[Roster Received By]]),1,0)</f>
        <v>1</v>
      </c>
      <c r="AA441" s="100">
        <f ca="1">IF(Table25[[#This Row],[Start Date]]&gt;TODAY(),1,)</f>
        <v>0</v>
      </c>
    </row>
    <row r="442" spans="1:27" s="62" customFormat="1" hidden="1" x14ac:dyDescent="0.25">
      <c r="B442" s="116"/>
      <c r="C442" s="100" t="e">
        <v>#N/A</v>
      </c>
      <c r="D442" s="100" t="e">
        <v>#N/A</v>
      </c>
      <c r="E442" s="99"/>
      <c r="F442" s="102"/>
      <c r="G442" s="102"/>
      <c r="H442" s="102"/>
      <c r="I442" s="101"/>
      <c r="J442" s="101"/>
      <c r="K442" s="101"/>
      <c r="L442" s="101"/>
      <c r="M442" s="101"/>
      <c r="N442" s="101"/>
      <c r="O442" s="99"/>
      <c r="P442" s="99"/>
      <c r="Q442" s="15" t="e">
        <v>#N/A</v>
      </c>
      <c r="R442" s="15" t="e">
        <v>#N/A</v>
      </c>
      <c r="S442" s="15"/>
      <c r="T442" s="103"/>
      <c r="U442" s="15"/>
      <c r="V442" s="15"/>
      <c r="W442" s="100"/>
      <c r="X442" s="99"/>
      <c r="Y442" s="109">
        <f ca="1">Table25[[#This Row],[End Date]]+2-TODAY()</f>
        <v>-45530</v>
      </c>
      <c r="Z442" s="15">
        <f>IF(ISBLANK(Table25[[#This Row],[Roster Received By]]),1,0)</f>
        <v>1</v>
      </c>
      <c r="AA442" s="100">
        <f ca="1">IF(Table25[[#This Row],[Start Date]]&gt;TODAY(),1,)</f>
        <v>0</v>
      </c>
    </row>
    <row r="443" spans="1:27" s="62" customFormat="1" hidden="1" x14ac:dyDescent="0.25">
      <c r="B443" s="99"/>
      <c r="C443" s="100" t="e">
        <v>#N/A</v>
      </c>
      <c r="D443" s="100" t="e">
        <v>#N/A</v>
      </c>
      <c r="E443" s="99"/>
      <c r="F443" s="102"/>
      <c r="G443" s="102"/>
      <c r="H443" s="105"/>
      <c r="I443" s="105"/>
      <c r="J443" s="102"/>
      <c r="K443" s="102"/>
      <c r="L443" s="102"/>
      <c r="M443" s="102"/>
      <c r="N443" s="102"/>
      <c r="O443" s="99"/>
      <c r="P443" s="99"/>
      <c r="Q443" s="15" t="e">
        <v>#N/A</v>
      </c>
      <c r="R443" s="15" t="e">
        <v>#N/A</v>
      </c>
      <c r="S443" s="15"/>
      <c r="T443" s="103"/>
      <c r="U443" s="15"/>
      <c r="V443" s="15"/>
      <c r="W443" s="15"/>
      <c r="X443" s="99"/>
      <c r="Y443" s="71">
        <f ca="1">Table25[[#This Row],[End Date]]+2-TODAY()</f>
        <v>-45530</v>
      </c>
      <c r="Z443" s="15">
        <f>IF(ISBLANK(Table25[[#This Row],[Roster Received By]]),1,0)</f>
        <v>1</v>
      </c>
      <c r="AA443" s="15">
        <f ca="1">IF(Table25[[#This Row],[Start Date]]&gt;TODAY(),1,)</f>
        <v>0</v>
      </c>
    </row>
    <row r="444" spans="1:27" s="62" customFormat="1" hidden="1" x14ac:dyDescent="0.25">
      <c r="A444" s="99"/>
      <c r="B444" s="116"/>
      <c r="C444" s="100" t="e">
        <v>#N/A</v>
      </c>
      <c r="D444" s="100" t="e">
        <v>#N/A</v>
      </c>
      <c r="E444" s="99"/>
      <c r="F444" s="67"/>
      <c r="G444" s="67"/>
      <c r="H444" s="67"/>
      <c r="I444" s="101"/>
      <c r="J444" s="101"/>
      <c r="K444" s="101"/>
      <c r="L444" s="101"/>
      <c r="M444" s="101"/>
      <c r="N444" s="101"/>
      <c r="O444" s="99"/>
      <c r="P444" s="99"/>
      <c r="Q444" s="15" t="e">
        <v>#N/A</v>
      </c>
      <c r="R444" s="15" t="e">
        <v>#N/A</v>
      </c>
      <c r="S444" s="15"/>
      <c r="T444" s="103"/>
      <c r="U444" s="15"/>
      <c r="V444" s="15"/>
      <c r="W444" s="100"/>
      <c r="X444" s="99"/>
      <c r="Y444" s="109">
        <f ca="1">Table25[[#This Row],[End Date]]+2-TODAY()</f>
        <v>-45530</v>
      </c>
      <c r="Z444" s="15">
        <f>IF(ISBLANK(Table25[[#This Row],[Roster Received By]]),1,0)</f>
        <v>1</v>
      </c>
      <c r="AA444" s="100">
        <f ca="1">IF(Table25[[#This Row],[Start Date]]&gt;TODAY(),1,)</f>
        <v>0</v>
      </c>
    </row>
    <row r="445" spans="1:27" s="62" customFormat="1" hidden="1" x14ac:dyDescent="0.25">
      <c r="B445" s="99"/>
      <c r="C445" s="100" t="e">
        <v>#N/A</v>
      </c>
      <c r="D445" s="100" t="e">
        <v>#N/A</v>
      </c>
      <c r="E445" s="99"/>
      <c r="F445" s="102"/>
      <c r="G445" s="102"/>
      <c r="H445" s="102"/>
      <c r="I445" s="101"/>
      <c r="J445" s="101"/>
      <c r="K445" s="101"/>
      <c r="L445" s="101"/>
      <c r="M445" s="101"/>
      <c r="N445" s="101"/>
      <c r="O445" s="99"/>
      <c r="P445" s="99"/>
      <c r="Q445" s="15" t="e">
        <v>#N/A</v>
      </c>
      <c r="R445" s="15" t="e">
        <v>#N/A</v>
      </c>
      <c r="S445" s="15"/>
      <c r="T445" s="103"/>
      <c r="U445" s="15"/>
      <c r="V445" s="15"/>
      <c r="W445" s="100"/>
      <c r="X445" s="99"/>
      <c r="Y445" s="109">
        <f ca="1">Table25[[#This Row],[End Date]]+2-TODAY()</f>
        <v>-45530</v>
      </c>
      <c r="Z445" s="15">
        <f>IF(ISBLANK(Table25[[#This Row],[Roster Received By]]),1,0)</f>
        <v>1</v>
      </c>
      <c r="AA445" s="100">
        <f ca="1">IF(Table25[[#This Row],[Start Date]]&gt;TODAY(),1,)</f>
        <v>0</v>
      </c>
    </row>
    <row r="446" spans="1:27" s="62" customFormat="1" hidden="1" x14ac:dyDescent="0.25">
      <c r="B446" s="99"/>
      <c r="C446" s="100" t="e">
        <v>#N/A</v>
      </c>
      <c r="D446" s="100" t="e">
        <v>#N/A</v>
      </c>
      <c r="E446" s="99"/>
      <c r="F446" s="102"/>
      <c r="G446" s="102"/>
      <c r="H446" s="102"/>
      <c r="I446" s="101"/>
      <c r="J446" s="101"/>
      <c r="K446" s="101"/>
      <c r="L446" s="101"/>
      <c r="M446" s="101"/>
      <c r="N446" s="101"/>
      <c r="O446" s="99"/>
      <c r="P446" s="99"/>
      <c r="Q446" s="15" t="e">
        <v>#N/A</v>
      </c>
      <c r="R446" s="15" t="e">
        <v>#N/A</v>
      </c>
      <c r="S446" s="15"/>
      <c r="T446" s="103"/>
      <c r="U446" s="15"/>
      <c r="V446" s="15"/>
      <c r="W446" s="100"/>
      <c r="X446" s="99"/>
      <c r="Y446" s="109">
        <f ca="1">Table25[[#This Row],[End Date]]+2-TODAY()</f>
        <v>-45530</v>
      </c>
      <c r="Z446" s="15">
        <f>IF(ISBLANK(Table25[[#This Row],[Roster Received By]]),1,0)</f>
        <v>1</v>
      </c>
      <c r="AA446" s="100">
        <f ca="1">IF(Table25[[#This Row],[Start Date]]&gt;TODAY(),1,)</f>
        <v>0</v>
      </c>
    </row>
    <row r="447" spans="1:27" s="62" customFormat="1" hidden="1" x14ac:dyDescent="0.25">
      <c r="B447" s="99"/>
      <c r="C447" s="100" t="e">
        <v>#N/A</v>
      </c>
      <c r="D447" s="100" t="e">
        <v>#N/A</v>
      </c>
      <c r="E447" s="99"/>
      <c r="F447" s="102"/>
      <c r="G447" s="102"/>
      <c r="H447" s="102"/>
      <c r="I447" s="101"/>
      <c r="J447" s="101"/>
      <c r="K447" s="101"/>
      <c r="L447" s="101"/>
      <c r="M447" s="101"/>
      <c r="N447" s="101"/>
      <c r="O447" s="99"/>
      <c r="P447" s="99"/>
      <c r="Q447" s="15" t="e">
        <v>#N/A</v>
      </c>
      <c r="R447" s="15" t="e">
        <v>#N/A</v>
      </c>
      <c r="S447" s="15"/>
      <c r="T447" s="103"/>
      <c r="U447" s="15"/>
      <c r="V447" s="15"/>
      <c r="W447" s="100"/>
      <c r="X447" s="99"/>
      <c r="Y447" s="109">
        <f ca="1">Table25[[#This Row],[End Date]]+2-TODAY()</f>
        <v>-45530</v>
      </c>
      <c r="Z447" s="15">
        <f>IF(ISBLANK(Table25[[#This Row],[Roster Received By]]),1,0)</f>
        <v>1</v>
      </c>
      <c r="AA447" s="100">
        <f ca="1">IF(Table25[[#This Row],[Start Date]]&gt;TODAY(),1,)</f>
        <v>0</v>
      </c>
    </row>
    <row r="448" spans="1:27" s="62" customFormat="1" hidden="1" x14ac:dyDescent="0.25">
      <c r="A448" s="142"/>
      <c r="B448" s="99"/>
      <c r="C448" s="100" t="e">
        <v>#N/A</v>
      </c>
      <c r="D448" s="100" t="e">
        <v>#N/A</v>
      </c>
      <c r="E448" s="99"/>
      <c r="F448" s="102"/>
      <c r="G448" s="102"/>
      <c r="H448" s="105"/>
      <c r="I448" s="105"/>
      <c r="J448" s="102"/>
      <c r="K448" s="102"/>
      <c r="L448" s="102"/>
      <c r="M448" s="102"/>
      <c r="N448" s="102"/>
      <c r="O448" s="99"/>
      <c r="P448" s="99"/>
      <c r="Q448" s="15" t="e">
        <v>#N/A</v>
      </c>
      <c r="R448" s="15" t="e">
        <v>#N/A</v>
      </c>
      <c r="S448" s="103"/>
      <c r="T448" s="103"/>
      <c r="U448" s="15"/>
      <c r="V448" s="15"/>
      <c r="W448" s="100"/>
      <c r="X448" s="99"/>
      <c r="Y448" s="109">
        <f ca="1">Table25[[#This Row],[End Date]]+2-TODAY()</f>
        <v>-45530</v>
      </c>
      <c r="Z448" s="15">
        <f>IF(ISBLANK(Table25[[#This Row],[Roster Received By]]),1,0)</f>
        <v>1</v>
      </c>
      <c r="AA448" s="100">
        <f ca="1">IF(Table25[[#This Row],[Start Date]]&gt;TODAY(),1,)</f>
        <v>0</v>
      </c>
    </row>
    <row r="449" spans="1:27" s="62" customFormat="1" hidden="1" x14ac:dyDescent="0.25">
      <c r="B449" s="99"/>
      <c r="C449" s="100" t="e">
        <v>#N/A</v>
      </c>
      <c r="D449" s="100" t="e">
        <v>#N/A</v>
      </c>
      <c r="E449" s="99"/>
      <c r="F449" s="102"/>
      <c r="G449" s="102"/>
      <c r="H449" s="102"/>
      <c r="I449" s="101"/>
      <c r="J449" s="101"/>
      <c r="K449" s="101"/>
      <c r="L449" s="101"/>
      <c r="M449" s="101"/>
      <c r="N449" s="101"/>
      <c r="O449" s="99"/>
      <c r="P449" s="99"/>
      <c r="Q449" s="15" t="e">
        <v>#N/A</v>
      </c>
      <c r="R449" s="15" t="e">
        <v>#N/A</v>
      </c>
      <c r="S449" s="15"/>
      <c r="T449" s="103"/>
      <c r="U449" s="15"/>
      <c r="V449" s="15"/>
      <c r="W449" s="100"/>
      <c r="X449" s="99"/>
      <c r="Y449" s="109">
        <f ca="1">Table25[[#This Row],[End Date]]+2-TODAY()</f>
        <v>-45530</v>
      </c>
      <c r="Z449" s="15">
        <f>IF(ISBLANK(Table25[[#This Row],[Roster Received By]]),1,0)</f>
        <v>1</v>
      </c>
      <c r="AA449" s="100">
        <f ca="1">IF(Table25[[#This Row],[Start Date]]&gt;TODAY(),1,)</f>
        <v>0</v>
      </c>
    </row>
    <row r="450" spans="1:27" s="62" customFormat="1" hidden="1" x14ac:dyDescent="0.25">
      <c r="A450" s="99"/>
      <c r="B450" s="99"/>
      <c r="C450" s="100" t="e">
        <v>#N/A</v>
      </c>
      <c r="D450" s="100" t="e">
        <v>#N/A</v>
      </c>
      <c r="E450" s="99"/>
      <c r="F450" s="102"/>
      <c r="G450" s="102"/>
      <c r="H450" s="102"/>
      <c r="I450" s="101"/>
      <c r="J450" s="101"/>
      <c r="K450" s="101"/>
      <c r="L450" s="101"/>
      <c r="M450" s="101"/>
      <c r="N450" s="101"/>
      <c r="O450" s="99"/>
      <c r="P450" s="99"/>
      <c r="Q450" s="15" t="e">
        <v>#N/A</v>
      </c>
      <c r="R450" s="15" t="e">
        <v>#N/A</v>
      </c>
      <c r="S450" s="15"/>
      <c r="T450" s="103"/>
      <c r="U450" s="15"/>
      <c r="V450" s="15"/>
      <c r="W450" s="100"/>
      <c r="X450" s="99"/>
      <c r="Y450" s="109">
        <f ca="1">Table25[[#This Row],[End Date]]+2-TODAY()</f>
        <v>-45530</v>
      </c>
      <c r="Z450" s="15">
        <f>IF(ISBLANK(Table25[[#This Row],[Roster Received By]]),1,0)</f>
        <v>1</v>
      </c>
      <c r="AA450" s="100">
        <f ca="1">IF(Table25[[#This Row],[Start Date]]&gt;TODAY(),1,)</f>
        <v>0</v>
      </c>
    </row>
    <row r="451" spans="1:27" s="62" customFormat="1" hidden="1" x14ac:dyDescent="0.25">
      <c r="B451" s="99"/>
      <c r="C451" s="100" t="e">
        <v>#N/A</v>
      </c>
      <c r="D451" s="100" t="e">
        <v>#N/A</v>
      </c>
      <c r="E451" s="99"/>
      <c r="F451" s="102"/>
      <c r="G451" s="102"/>
      <c r="H451" s="105"/>
      <c r="I451" s="105"/>
      <c r="J451" s="102"/>
      <c r="K451" s="102"/>
      <c r="L451" s="102"/>
      <c r="M451" s="102"/>
      <c r="N451" s="102"/>
      <c r="O451" s="99"/>
      <c r="P451" s="99"/>
      <c r="Q451" s="15" t="e">
        <v>#N/A</v>
      </c>
      <c r="R451" s="15" t="e">
        <v>#N/A</v>
      </c>
      <c r="S451" s="103"/>
      <c r="T451" s="103"/>
      <c r="U451" s="15"/>
      <c r="V451" s="15"/>
      <c r="W451" s="100"/>
      <c r="X451" s="99"/>
      <c r="Y451" s="109">
        <f ca="1">Table25[[#This Row],[End Date]]+2-TODAY()</f>
        <v>-45530</v>
      </c>
      <c r="Z451" s="15">
        <f>IF(ISBLANK(Table25[[#This Row],[Roster Received By]]),1,0)</f>
        <v>1</v>
      </c>
      <c r="AA451" s="100">
        <f ca="1">IF(Table25[[#This Row],[Start Date]]&gt;TODAY(),1,)</f>
        <v>0</v>
      </c>
    </row>
    <row r="452" spans="1:27" s="62" customFormat="1" hidden="1" x14ac:dyDescent="0.25">
      <c r="B452" s="99"/>
      <c r="C452" s="100" t="e">
        <v>#N/A</v>
      </c>
      <c r="D452" s="100" t="e">
        <v>#N/A</v>
      </c>
      <c r="E452" s="99"/>
      <c r="F452" s="102"/>
      <c r="G452" s="102"/>
      <c r="H452" s="105"/>
      <c r="I452" s="105"/>
      <c r="J452" s="102"/>
      <c r="K452" s="102"/>
      <c r="L452" s="102"/>
      <c r="M452" s="102"/>
      <c r="N452" s="102"/>
      <c r="O452" s="99"/>
      <c r="P452" s="99"/>
      <c r="Q452" s="15" t="e">
        <v>#N/A</v>
      </c>
      <c r="R452" s="15" t="e">
        <v>#N/A</v>
      </c>
      <c r="S452" s="15"/>
      <c r="T452" s="103"/>
      <c r="U452" s="15"/>
      <c r="V452" s="15"/>
      <c r="W452" s="100"/>
      <c r="X452" s="99"/>
      <c r="Y452" s="109">
        <f ca="1">Table25[[#This Row],[End Date]]+2-TODAY()</f>
        <v>-45530</v>
      </c>
      <c r="Z452" s="15">
        <f>IF(ISBLANK(Table25[[#This Row],[Roster Received By]]),1,0)</f>
        <v>1</v>
      </c>
      <c r="AA452" s="100">
        <f ca="1">IF(Table25[[#This Row],[Start Date]]&gt;TODAY(),1,)</f>
        <v>0</v>
      </c>
    </row>
    <row r="453" spans="1:27" s="62" customFormat="1" hidden="1" x14ac:dyDescent="0.25">
      <c r="B453" s="99"/>
      <c r="C453" s="100" t="e">
        <v>#N/A</v>
      </c>
      <c r="D453" s="100" t="e">
        <v>#N/A</v>
      </c>
      <c r="E453" s="99"/>
      <c r="F453" s="102"/>
      <c r="G453" s="102"/>
      <c r="H453" s="105"/>
      <c r="I453" s="105"/>
      <c r="J453" s="102"/>
      <c r="K453" s="102"/>
      <c r="L453" s="102"/>
      <c r="M453" s="102"/>
      <c r="N453" s="102"/>
      <c r="O453" s="99"/>
      <c r="P453" s="99"/>
      <c r="Q453" s="15" t="e">
        <v>#N/A</v>
      </c>
      <c r="R453" s="15" t="e">
        <v>#N/A</v>
      </c>
      <c r="S453" s="103"/>
      <c r="T453" s="103"/>
      <c r="U453" s="15"/>
      <c r="V453" s="15"/>
      <c r="W453" s="100"/>
      <c r="X453" s="99"/>
      <c r="Y453" s="109">
        <f ca="1">Table25[[#This Row],[End Date]]+2-TODAY()</f>
        <v>-45530</v>
      </c>
      <c r="Z453" s="15">
        <f>IF(ISBLANK(Table25[[#This Row],[Roster Received By]]),1,0)</f>
        <v>1</v>
      </c>
      <c r="AA453" s="100">
        <f ca="1">IF(Table25[[#This Row],[Start Date]]&gt;TODAY(),1,)</f>
        <v>0</v>
      </c>
    </row>
    <row r="454" spans="1:27" s="62" customFormat="1" hidden="1" x14ac:dyDescent="0.25">
      <c r="B454" s="99"/>
      <c r="C454" s="100" t="e">
        <v>#N/A</v>
      </c>
      <c r="D454" s="100" t="e">
        <v>#N/A</v>
      </c>
      <c r="E454" s="99"/>
      <c r="F454" s="102"/>
      <c r="G454" s="102"/>
      <c r="H454" s="105"/>
      <c r="I454" s="105"/>
      <c r="J454" s="102"/>
      <c r="K454" s="102"/>
      <c r="L454" s="102"/>
      <c r="M454" s="102"/>
      <c r="N454" s="102"/>
      <c r="O454" s="99"/>
      <c r="P454" s="99"/>
      <c r="Q454" s="15" t="e">
        <v>#N/A</v>
      </c>
      <c r="R454" s="15" t="e">
        <v>#N/A</v>
      </c>
      <c r="S454" s="15"/>
      <c r="T454" s="103"/>
      <c r="U454" s="15"/>
      <c r="V454" s="15"/>
      <c r="W454" s="15"/>
      <c r="X454" s="99"/>
      <c r="Y454" s="71">
        <f ca="1">Table25[[#This Row],[End Date]]+2-TODAY()</f>
        <v>-45530</v>
      </c>
      <c r="Z454" s="15">
        <f>IF(ISBLANK(Table25[[#This Row],[Roster Received By]]),1,0)</f>
        <v>1</v>
      </c>
      <c r="AA454" s="15">
        <f ca="1">IF(Table25[[#This Row],[Start Date]]&gt;TODAY(),1,)</f>
        <v>0</v>
      </c>
    </row>
    <row r="455" spans="1:27" s="62" customFormat="1" hidden="1" x14ac:dyDescent="0.25">
      <c r="B455" s="99"/>
      <c r="C455" s="100" t="e">
        <v>#N/A</v>
      </c>
      <c r="D455" s="100" t="e">
        <v>#N/A</v>
      </c>
      <c r="E455" s="99"/>
      <c r="F455" s="102"/>
      <c r="G455" s="102"/>
      <c r="H455" s="105"/>
      <c r="I455" s="105"/>
      <c r="J455" s="102"/>
      <c r="K455" s="102"/>
      <c r="L455" s="102"/>
      <c r="M455" s="102"/>
      <c r="N455" s="102"/>
      <c r="O455" s="99"/>
      <c r="P455" s="99"/>
      <c r="Q455" s="15" t="e">
        <v>#N/A</v>
      </c>
      <c r="R455" s="15" t="e">
        <v>#N/A</v>
      </c>
      <c r="S455" s="15"/>
      <c r="T455" s="103"/>
      <c r="U455" s="15"/>
      <c r="V455" s="15"/>
      <c r="W455" s="100"/>
      <c r="X455" s="99"/>
      <c r="Y455" s="109">
        <f ca="1">Table25[[#This Row],[End Date]]+2-TODAY()</f>
        <v>-45530</v>
      </c>
      <c r="Z455" s="15">
        <f>IF(ISBLANK(Table25[[#This Row],[Roster Received By]]),1,0)</f>
        <v>1</v>
      </c>
      <c r="AA455" s="100">
        <f ca="1">IF(Table25[[#This Row],[Start Date]]&gt;TODAY(),1,)</f>
        <v>0</v>
      </c>
    </row>
    <row r="456" spans="1:27" s="62" customFormat="1" hidden="1" x14ac:dyDescent="0.25">
      <c r="B456" s="99"/>
      <c r="C456" s="100" t="e">
        <v>#N/A</v>
      </c>
      <c r="D456" s="100" t="e">
        <v>#N/A</v>
      </c>
      <c r="E456" s="65"/>
      <c r="F456" s="102"/>
      <c r="G456" s="102"/>
      <c r="H456" s="105"/>
      <c r="I456" s="105"/>
      <c r="J456" s="102"/>
      <c r="K456" s="102"/>
      <c r="L456" s="102"/>
      <c r="M456" s="102"/>
      <c r="N456" s="102"/>
      <c r="O456" s="99"/>
      <c r="P456" s="99"/>
      <c r="Q456" s="15" t="e">
        <v>#N/A</v>
      </c>
      <c r="R456" s="15" t="e">
        <v>#N/A</v>
      </c>
      <c r="S456" s="15"/>
      <c r="T456" s="103"/>
      <c r="U456" s="15"/>
      <c r="V456" s="15"/>
      <c r="W456" s="100"/>
      <c r="X456" s="99"/>
      <c r="Y456" s="109">
        <f ca="1">Table25[[#This Row],[End Date]]+2-TODAY()</f>
        <v>-45530</v>
      </c>
      <c r="Z456" s="15">
        <f>IF(ISBLANK(Table25[[#This Row],[Roster Received By]]),1,0)</f>
        <v>1</v>
      </c>
      <c r="AA456" s="100">
        <f ca="1">IF(Table25[[#This Row],[Start Date]]&gt;TODAY(),1,)</f>
        <v>0</v>
      </c>
    </row>
    <row r="457" spans="1:27" s="62" customFormat="1" hidden="1" x14ac:dyDescent="0.25">
      <c r="B457" s="99"/>
      <c r="C457" s="100" t="e">
        <v>#N/A</v>
      </c>
      <c r="D457" s="100" t="e">
        <v>#N/A</v>
      </c>
      <c r="E457" s="99"/>
      <c r="F457" s="102"/>
      <c r="G457" s="102"/>
      <c r="H457" s="105"/>
      <c r="I457" s="105"/>
      <c r="J457" s="102"/>
      <c r="K457" s="102"/>
      <c r="L457" s="102"/>
      <c r="M457" s="102"/>
      <c r="N457" s="102"/>
      <c r="O457" s="99"/>
      <c r="P457" s="99"/>
      <c r="Q457" s="15" t="e">
        <v>#N/A</v>
      </c>
      <c r="R457" s="15" t="e">
        <v>#N/A</v>
      </c>
      <c r="S457" s="103"/>
      <c r="T457" s="103"/>
      <c r="U457" s="15"/>
      <c r="V457" s="15"/>
      <c r="W457" s="100"/>
      <c r="X457" s="99"/>
      <c r="Y457" s="109">
        <f ca="1">Table25[[#This Row],[End Date]]+2-TODAY()</f>
        <v>-45530</v>
      </c>
      <c r="Z457" s="15">
        <f>IF(ISBLANK(Table25[[#This Row],[Roster Received By]]),1,0)</f>
        <v>1</v>
      </c>
      <c r="AA457" s="100">
        <f ca="1">IF(Table25[[#This Row],[Start Date]]&gt;TODAY(),1,)</f>
        <v>0</v>
      </c>
    </row>
    <row r="458" spans="1:27" s="62" customFormat="1" ht="15.75" hidden="1" thickBot="1" x14ac:dyDescent="0.3">
      <c r="A458" s="143"/>
      <c r="B458" s="143"/>
      <c r="C458" s="144" t="e">
        <v>#N/A</v>
      </c>
      <c r="D458" s="144" t="e">
        <v>#N/A</v>
      </c>
      <c r="E458" s="99"/>
      <c r="F458" s="102"/>
      <c r="G458" s="102"/>
      <c r="H458" s="105"/>
      <c r="I458" s="105"/>
      <c r="J458" s="145"/>
      <c r="K458" s="145"/>
      <c r="L458" s="145"/>
      <c r="M458" s="145"/>
      <c r="N458" s="145"/>
      <c r="O458" s="99"/>
      <c r="P458" s="99"/>
      <c r="Q458" s="15" t="e">
        <v>#N/A</v>
      </c>
      <c r="R458" s="15" t="e">
        <v>#N/A</v>
      </c>
      <c r="S458" s="146"/>
      <c r="T458" s="103"/>
      <c r="U458" s="15"/>
      <c r="V458" s="15"/>
      <c r="W458" s="15"/>
      <c r="X458" s="99"/>
      <c r="Y458" s="71">
        <f ca="1">Table25[[#This Row],[End Date]]+2-TODAY()</f>
        <v>-45530</v>
      </c>
      <c r="Z458" s="15">
        <f>IF(ISBLANK(Table25[[#This Row],[Roster Received By]]),1,0)</f>
        <v>1</v>
      </c>
      <c r="AA458" s="15">
        <f ca="1">IF(Table25[[#This Row],[Start Date]]&gt;TODAY(),1,)</f>
        <v>0</v>
      </c>
    </row>
    <row r="459" spans="1:27" x14ac:dyDescent="0.25">
      <c r="A459" s="169" t="s">
        <v>62</v>
      </c>
      <c r="B459" s="169">
        <f>SUBTOTAL(103,Table25[Course Title])</f>
        <v>27</v>
      </c>
      <c r="C459" s="169"/>
      <c r="D459" s="169"/>
      <c r="E459" s="169"/>
      <c r="F459" s="170"/>
      <c r="G459" s="170"/>
      <c r="H459" s="169"/>
      <c r="I459" s="169"/>
      <c r="J459" s="169"/>
      <c r="K459" s="169"/>
      <c r="L459" s="169"/>
      <c r="M459" s="169"/>
      <c r="N459" s="169"/>
      <c r="O459" s="169"/>
      <c r="P459" s="169"/>
      <c r="Q459" s="171">
        <f>SUBTOTAL(109,Q4:Q458)</f>
        <v>810</v>
      </c>
      <c r="R459" s="171">
        <f>SUBTOTAL(109,Table25[Course Length (Days)])</f>
        <v>135</v>
      </c>
      <c r="S459" s="171">
        <f>SUBTOTAL(109,S4:S458)</f>
        <v>0</v>
      </c>
      <c r="T459" s="171">
        <f t="shared" ref="T459:W459" si="0">SUBTOTAL(109,T4:T458)</f>
        <v>0</v>
      </c>
      <c r="U459" s="171">
        <f t="shared" si="0"/>
        <v>0</v>
      </c>
      <c r="V459" s="171">
        <f t="shared" si="0"/>
        <v>0</v>
      </c>
      <c r="W459" s="171">
        <f t="shared" si="0"/>
        <v>0</v>
      </c>
      <c r="X459" s="169">
        <f>SUBTOTAL(103,Table25[Roster Received By])</f>
        <v>0</v>
      </c>
      <c r="Y459" s="172"/>
      <c r="Z459" s="169"/>
      <c r="AA459" s="169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13:D181 C4:D112" name="CIN CDP_1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4">
    <cfRule type="expression" dxfId="632" priority="27">
      <formula>$T14="McQueen, Jennifer"</formula>
    </cfRule>
    <cfRule type="expression" dxfId="631" priority="25">
      <formula>$T14="Benzick, Sue"</formula>
    </cfRule>
    <cfRule type="expression" dxfId="630" priority="26">
      <formula>$T14="Jenne, Richard"</formula>
    </cfRule>
  </conditionalFormatting>
  <conditionalFormatting sqref="A5:B8 A9:A10 A34:A35 A36:B36 A37 A38:B39 J39:N44 A41:A43 F41:G44 A44:B54 E45:G45 F46:G46 E47:G48 F49:G50 J51:N51 F51:F52 E53:F53 J53:N53 E54:H54 A55:A57 E58 E59:F63 A59:A67 F64 E65:F66 A69:A71 B70 J75:N75 A76:A77 B86 A86:A87 A110:B110 A114 A124:A128 A130:A136 A138:A140 J142:N142 A142:A150 J144:N145 E147:E151 J149:N149 B150:B151 A152:A171 B153:B155 B157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629" priority="212">
      <formula>$T5="Jenne, Richard"</formula>
    </cfRule>
    <cfRule type="expression" dxfId="628" priority="213">
      <formula>$T5="McQueen, Jennifer"</formula>
    </cfRule>
    <cfRule type="expression" dxfId="627" priority="211">
      <formula>$T5="Benzick, Sue"</formula>
    </cfRule>
  </conditionalFormatting>
  <conditionalFormatting sqref="A182:B182">
    <cfRule type="expression" dxfId="626" priority="43">
      <formula>$T182="Benzick, Sue"</formula>
    </cfRule>
    <cfRule type="expression" dxfId="625" priority="44">
      <formula>$T182="Jenne, Richard"</formula>
    </cfRule>
    <cfRule type="expression" dxfId="624" priority="45">
      <formula>$T182="McQueen, Jennifer"</formula>
    </cfRule>
  </conditionalFormatting>
  <conditionalFormatting sqref="B95">
    <cfRule type="expression" dxfId="623" priority="22">
      <formula>$T95="Benzick, Sue"</formula>
    </cfRule>
    <cfRule type="expression" dxfId="622" priority="23">
      <formula>$T95="Jenne, Richard"</formula>
    </cfRule>
    <cfRule type="expression" dxfId="621" priority="24">
      <formula>$T95="McQueen, Jennifer"</formula>
    </cfRule>
  </conditionalFormatting>
  <conditionalFormatting sqref="E154">
    <cfRule type="expression" dxfId="620" priority="52">
      <formula>#REF!="Benzick, Sue"</formula>
    </cfRule>
    <cfRule type="expression" dxfId="619" priority="53">
      <formula>#REF!="Jenne, Richard"</formula>
    </cfRule>
    <cfRule type="expression" dxfId="618" priority="54">
      <formula>#REF!="McQueen, Jennifer"</formula>
    </cfRule>
  </conditionalFormatting>
  <conditionalFormatting sqref="E95:F95 F96">
    <cfRule type="expression" dxfId="617" priority="19">
      <formula>$R95="Benzick, Sue"</formula>
    </cfRule>
    <cfRule type="expression" dxfId="616" priority="20">
      <formula>$R95="Jenne, Richard"</formula>
    </cfRule>
    <cfRule type="expression" dxfId="615" priority="21">
      <formula>$R95="McQueen, Jennifer"</formula>
    </cfRule>
  </conditionalFormatting>
  <conditionalFormatting sqref="E98:F98">
    <cfRule type="expression" dxfId="614" priority="17">
      <formula>$R98="Jenne, Richard"</formula>
    </cfRule>
    <cfRule type="expression" dxfId="613" priority="18">
      <formula>$R98="McQueen, Jennifer"</formula>
    </cfRule>
    <cfRule type="expression" dxfId="612" priority="16">
      <formula>$R98="Benzick, Sue"</formula>
    </cfRule>
  </conditionalFormatting>
  <conditionalFormatting sqref="E113:G115 E116:H116 F117:G117">
    <cfRule type="expression" dxfId="611" priority="200">
      <formula>#REF!="Jenne, Richard"</formula>
    </cfRule>
    <cfRule type="expression" dxfId="610" priority="199">
      <formula>#REF!="Benzick, Sue"</formula>
    </cfRule>
    <cfRule type="expression" dxfId="609" priority="201">
      <formula>#REF!="McQueen, Jennifer"</formula>
    </cfRule>
  </conditionalFormatting>
  <conditionalFormatting sqref="E121:G122">
    <cfRule type="expression" dxfId="608" priority="178">
      <formula>#REF!="Benzick, Sue"</formula>
    </cfRule>
    <cfRule type="expression" dxfId="607" priority="179">
      <formula>#REF!="Jenne, Richard"</formula>
    </cfRule>
    <cfRule type="expression" dxfId="606" priority="180">
      <formula>#REF!="McQueen, Jennifer"</formula>
    </cfRule>
  </conditionalFormatting>
  <conditionalFormatting sqref="E199:G199 H219:I219 H220 H221:I226 I234 H235:I236 H239:I245 H255:I256 H258:I258 H274:I274 H275 H276:I280 H288:I288">
    <cfRule type="expression" dxfId="605" priority="189">
      <formula>#REF!="McQueen, Jennifer"</formula>
    </cfRule>
    <cfRule type="expression" dxfId="604" priority="188">
      <formula>#REF!="Jenne, Richard"</formula>
    </cfRule>
    <cfRule type="expression" dxfId="603" priority="187">
      <formula>#REF!="Benzick, Sue"</formula>
    </cfRule>
  </conditionalFormatting>
  <conditionalFormatting sqref="E213:G217">
    <cfRule type="expression" dxfId="602" priority="166">
      <formula>#REF!="Benzick, Sue"</formula>
    </cfRule>
    <cfRule type="expression" dxfId="601" priority="167">
      <formula>#REF!="Jenne, Richard"</formula>
    </cfRule>
    <cfRule type="expression" dxfId="600" priority="168">
      <formula>#REF!="McQueen, Jennifer"</formula>
    </cfRule>
  </conditionalFormatting>
  <conditionalFormatting sqref="E445:G445 E458:G458">
    <cfRule type="expression" dxfId="599" priority="156">
      <formula>#REF!="McQueen, Jennifer"</formula>
    </cfRule>
    <cfRule type="expression" dxfId="598" priority="154">
      <formula>#REF!="Benzick, Sue"</formula>
    </cfRule>
    <cfRule type="expression" dxfId="597" priority="155">
      <formula>#REF!="Jenne, Richard"</formula>
    </cfRule>
  </conditionalFormatting>
  <conditionalFormatting sqref="E119:H120">
    <cfRule type="expression" dxfId="596" priority="197">
      <formula>#REF!="Jenne, Richard"</formula>
    </cfRule>
    <cfRule type="expression" dxfId="595" priority="196">
      <formula>#REF!="Benzick, Sue"</formula>
    </cfRule>
    <cfRule type="expression" dxfId="594" priority="198">
      <formula>#REF!="McQueen, Jennifer"</formula>
    </cfRule>
  </conditionalFormatting>
  <conditionalFormatting sqref="E123:H124 E125:G125">
    <cfRule type="expression" dxfId="593" priority="181">
      <formula>#REF!="Benzick, Sue"</formula>
    </cfRule>
    <cfRule type="expression" dxfId="592" priority="182">
      <formula>#REF!="Jenne, Richard"</formula>
    </cfRule>
    <cfRule type="expression" dxfId="591" priority="183">
      <formula>#REF!="McQueen, Jennifer"</formula>
    </cfRule>
  </conditionalFormatting>
  <conditionalFormatting sqref="E126:H126 E130:H130 F131:I131 E132:I132 H133:I135 H138:I145 H147:I147 H149:I149 H154:I154 H161 H162:I162 H165:I165 H167:I168 H170:I170 H172:I174 H177:I177 I184 H185:I186 H187 H191">
    <cfRule type="expression" dxfId="590" priority="184">
      <formula>#REF!="Benzick, Sue"</formula>
    </cfRule>
    <cfRule type="expression" dxfId="589" priority="186">
      <formula>#REF!="McQueen, Jennifer"</formula>
    </cfRule>
    <cfRule type="expression" dxfId="588" priority="185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587" priority="174">
      <formula>#REF!="McQueen, Jennifer"</formula>
    </cfRule>
    <cfRule type="expression" dxfId="586" priority="173">
      <formula>#REF!="Jenne, Richard"</formula>
    </cfRule>
    <cfRule type="expression" dxfId="585" priority="172">
      <formula>#REF!="Benzick, Sue"</formula>
    </cfRule>
  </conditionalFormatting>
  <conditionalFormatting sqref="E218:H218">
    <cfRule type="expression" dxfId="584" priority="169">
      <formula>#REF!="Benzick, Sue"</formula>
    </cfRule>
    <cfRule type="expression" dxfId="583" priority="170">
      <formula>#REF!="Jenne, Richard"</formula>
    </cfRule>
    <cfRule type="expression" dxfId="582" priority="171">
      <formula>#REF!="McQueen, Jennifer"</formula>
    </cfRule>
  </conditionalFormatting>
  <conditionalFormatting sqref="F153 F159:F160 F163">
    <cfRule type="expression" dxfId="581" priority="151">
      <formula>$S154="Benzick, Sue"</formula>
    </cfRule>
    <cfRule type="expression" dxfId="580" priority="153">
      <formula>$S154="McQueen, Jennifer"</formula>
    </cfRule>
    <cfRule type="expression" dxfId="579" priority="152">
      <formula>$S154="Jenne, Richard"</formula>
    </cfRule>
  </conditionalFormatting>
  <conditionalFormatting sqref="F154:F155 F164">
    <cfRule type="expression" dxfId="578" priority="150">
      <formula>$S156="McQueen, Jennifer"</formula>
    </cfRule>
    <cfRule type="expression" dxfId="577" priority="149">
      <formula>$S156="Jenne, Richard"</formula>
    </cfRule>
    <cfRule type="expression" dxfId="576" priority="148">
      <formula>$S156="Benzick, Sue"</formula>
    </cfRule>
  </conditionalFormatting>
  <conditionalFormatting sqref="F162">
    <cfRule type="expression" dxfId="575" priority="143">
      <formula>#REF!="Jenne, Richard"</formula>
    </cfRule>
    <cfRule type="expression" dxfId="574" priority="142">
      <formula>#REF!="Benzick, Sue"</formula>
    </cfRule>
    <cfRule type="expression" dxfId="573" priority="144">
      <formula>#REF!="McQueen, Jennifer"</formula>
    </cfRule>
  </conditionalFormatting>
  <conditionalFormatting sqref="F166">
    <cfRule type="expression" dxfId="572" priority="141">
      <formula>$S170="McQueen, Jennifer"</formula>
    </cfRule>
    <cfRule type="expression" dxfId="571" priority="139">
      <formula>$S170="Benzick, Sue"</formula>
    </cfRule>
    <cfRule type="expression" dxfId="570" priority="140">
      <formula>$S170="Jenne, Richard"</formula>
    </cfRule>
  </conditionalFormatting>
  <conditionalFormatting sqref="F193 F195">
    <cfRule type="expression" dxfId="569" priority="205">
      <formula>$T194="Benzick, Sue"</formula>
    </cfRule>
    <cfRule type="expression" dxfId="568" priority="206">
      <formula>$T194="Jenne, Richard"</formula>
    </cfRule>
    <cfRule type="expression" dxfId="567" priority="207">
      <formula>$T194="McQueen, Jennifer"</formula>
    </cfRule>
  </conditionalFormatting>
  <conditionalFormatting sqref="F194">
    <cfRule type="expression" dxfId="566" priority="227">
      <formula>#REF!="Jenne, Richard"</formula>
    </cfRule>
    <cfRule type="expression" dxfId="565" priority="226">
      <formula>#REF!="Benzick, Sue"</formula>
    </cfRule>
    <cfRule type="expression" dxfId="564" priority="228">
      <formula>#REF!="McQueen, Jennifer"</formula>
    </cfRule>
  </conditionalFormatting>
  <conditionalFormatting sqref="F302">
    <cfRule type="expression" dxfId="563" priority="224">
      <formula>#REF!="Jenne, Richard"</formula>
    </cfRule>
    <cfRule type="expression" dxfId="562" priority="225">
      <formula>#REF!="McQueen, Jennifer"</formula>
    </cfRule>
    <cfRule type="expression" dxfId="561" priority="223">
      <formula>#REF!="Benzick, Sue"</formula>
    </cfRule>
  </conditionalFormatting>
  <conditionalFormatting sqref="F67:G67 E68:H68 E86:F86 F87 E89:F89 E109:F110 F135:G135 F150:F151 J217:M217">
    <cfRule type="expression" dxfId="560" priority="210">
      <formula>$R67="McQueen, Jennifer"</formula>
    </cfRule>
    <cfRule type="expression" dxfId="559" priority="208">
      <formula>$R67="Benzick, Sue"</formula>
    </cfRule>
    <cfRule type="expression" dxfId="558" priority="209">
      <formula>$R67="Jenne, Richard"</formula>
    </cfRule>
  </conditionalFormatting>
  <conditionalFormatting sqref="F162:G162">
    <cfRule type="expression" dxfId="557" priority="145">
      <formula>#REF!="Benzick, Sue"</formula>
    </cfRule>
    <cfRule type="expression" dxfId="556" priority="147">
      <formula>#REF!="McQueen, Jennifer"</formula>
    </cfRule>
    <cfRule type="expression" dxfId="555" priority="146">
      <formula>#REF!="Jenne, Richard"</formula>
    </cfRule>
  </conditionalFormatting>
  <conditionalFormatting sqref="F296:H296 H397:I402 H403">
    <cfRule type="expression" dxfId="554" priority="165">
      <formula>#REF!="McQueen, Jennifer"</formula>
    </cfRule>
    <cfRule type="expression" dxfId="553" priority="164">
      <formula>#REF!="Jenne, Richard"</formula>
    </cfRule>
    <cfRule type="expression" dxfId="552" priority="163">
      <formula>#REF!="Benzick, Sue"</formula>
    </cfRule>
  </conditionalFormatting>
  <conditionalFormatting sqref="F297:H298 F382:H382 F384:H384 F385:G386">
    <cfRule type="expression" dxfId="551" priority="160">
      <formula>$P297="Benzick, Sue"</formula>
    </cfRule>
    <cfRule type="expression" dxfId="550" priority="162">
      <formula>$P297="McQueen, Jennifer"</formula>
    </cfRule>
    <cfRule type="expression" dxfId="549" priority="161">
      <formula>$P297="Jenne, Richard"</formula>
    </cfRule>
  </conditionalFormatting>
  <conditionalFormatting sqref="F381:H381 F383:H383 F387:H388 F389:G390 F391:H393 F394:I394 F395:H396 F397:G398 H404:I404 H406:I409">
    <cfRule type="expression" dxfId="548" priority="159">
      <formula>#REF!="McQueen, Jennifer"</formula>
    </cfRule>
    <cfRule type="expression" dxfId="547" priority="158">
      <formula>#REF!="Jenne, Richard"</formula>
    </cfRule>
    <cfRule type="expression" dxfId="546" priority="157">
      <formula>#REF!="Benzick, Sue"</formula>
    </cfRule>
  </conditionalFormatting>
  <conditionalFormatting sqref="G4:I4 H5:I11 H12:N12 J13:N13 H13:I16 H17:N17 H18:I31 G32:I35 G36:N36 G37:I37 F38:I38 F39:G40 H39:I44 H45:N50 H51:I53 I54:N54 I55 H56:I58 I59:I61 H62:I67 J65:N65 J67:N67 I68:N69 H69:H71 I70:I85 J72:N73 H74:H75 J76:N76 H77:H78 J79:N81 H82 J83:N83 H84:H85 H86:I88 H89:H103 I89:N105 H105 I116:N116 H117:I117 E118:I118 I119:N120 I123:N124 I126:N127 E127:G127 I130:N130 I136:N136 I146 I148:N148 I150:N153 I155:N157 H158:I160 I163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545" priority="202">
      <formula>#REF!="Benzick, Sue"</formula>
    </cfRule>
    <cfRule type="expression" dxfId="544" priority="204">
      <formula>#REF!="McQueen, Jennifer"</formula>
    </cfRule>
    <cfRule type="expression" dxfId="543" priority="203">
      <formula>#REF!="Jenne, Richard"</formula>
    </cfRule>
  </conditionalFormatting>
  <conditionalFormatting sqref="G182:N182">
    <cfRule type="expression" dxfId="542" priority="40">
      <formula>#REF!="Benzick, Sue"</formula>
    </cfRule>
    <cfRule type="expression" dxfId="541" priority="41">
      <formula>#REF!="Jenne, Richard"</formula>
    </cfRule>
    <cfRule type="expression" dxfId="540" priority="42">
      <formula>#REF!="McQueen, Jennifer"</formula>
    </cfRule>
  </conditionalFormatting>
  <conditionalFormatting sqref="H55 H61 H121:I122 H125:I125 H127 H128:I129 H137 H169 H173 H175:H176 H184">
    <cfRule type="expression" dxfId="539" priority="177">
      <formula>#REF!="McQueen, Jennifer"</formula>
    </cfRule>
    <cfRule type="expression" dxfId="538" priority="176">
      <formula>#REF!="Jenne, Richard"</formula>
    </cfRule>
    <cfRule type="expression" dxfId="537" priority="175">
      <formula>#REF!="Benzick, Sue"</formula>
    </cfRule>
  </conditionalFormatting>
  <conditionalFormatting sqref="H234">
    <cfRule type="expression" dxfId="536" priority="37">
      <formula>#REF!="Benzick, Sue"</formula>
    </cfRule>
    <cfRule type="expression" dxfId="535" priority="38">
      <formula>#REF!="Jenne, Richard"</formula>
    </cfRule>
    <cfRule type="expression" dxfId="534" priority="39">
      <formula>#REF!="McQueen, Jennifer"</formula>
    </cfRule>
  </conditionalFormatting>
  <conditionalFormatting sqref="H106:I115">
    <cfRule type="expression" dxfId="533" priority="191">
      <formula>#REF!="Jenne, Richard"</formula>
    </cfRule>
    <cfRule type="expression" dxfId="532" priority="190">
      <formula>#REF!="Benzick, Sue"</formula>
    </cfRule>
    <cfRule type="expression" dxfId="531" priority="192">
      <formula>#REF!="McQueen, Jennifer"</formula>
    </cfRule>
  </conditionalFormatting>
  <conditionalFormatting sqref="I161">
    <cfRule type="expression" dxfId="530" priority="34">
      <formula>#REF!="Benzick, Sue"</formula>
    </cfRule>
    <cfRule type="expression" dxfId="529" priority="35">
      <formula>#REF!="Jenne, Richard"</formula>
    </cfRule>
    <cfRule type="expression" dxfId="528" priority="36">
      <formula>#REF!="McQueen, Jennifer"</formula>
    </cfRule>
  </conditionalFormatting>
  <conditionalFormatting sqref="I175:I176">
    <cfRule type="expression" dxfId="527" priority="55">
      <formula>#REF!="Benzick, Sue"</formula>
    </cfRule>
    <cfRule type="expression" dxfId="526" priority="56">
      <formula>#REF!="Jenne, Richard"</formula>
    </cfRule>
    <cfRule type="expression" dxfId="525" priority="57">
      <formula>#REF!="McQueen, Jennifer"</formula>
    </cfRule>
  </conditionalFormatting>
  <conditionalFormatting sqref="I203">
    <cfRule type="expression" dxfId="524" priority="118">
      <formula>#REF!="Benzick, Sue"</formula>
    </cfRule>
    <cfRule type="expression" dxfId="523" priority="119">
      <formula>#REF!="Jenne, Richard"</formula>
    </cfRule>
    <cfRule type="expression" dxfId="522" priority="120">
      <formula>#REF!="McQueen, Jennifer"</formula>
    </cfRule>
  </conditionalFormatting>
  <conditionalFormatting sqref="I220">
    <cfRule type="expression" dxfId="521" priority="82">
      <formula>#REF!="Benzick, Sue"</formula>
    </cfRule>
    <cfRule type="expression" dxfId="520" priority="83">
      <formula>#REF!="Jenne, Richard"</formula>
    </cfRule>
    <cfRule type="expression" dxfId="519" priority="84">
      <formula>#REF!="McQueen, Jennifer"</formula>
    </cfRule>
  </conditionalFormatting>
  <conditionalFormatting sqref="I246">
    <cfRule type="expression" dxfId="518" priority="76">
      <formula>#REF!="Benzick, Sue"</formula>
    </cfRule>
    <cfRule type="expression" dxfId="517" priority="77">
      <formula>#REF!="Jenne, Richard"</formula>
    </cfRule>
    <cfRule type="expression" dxfId="516" priority="78">
      <formula>#REF!="McQueen, Jennifer"</formula>
    </cfRule>
  </conditionalFormatting>
  <conditionalFormatting sqref="I285">
    <cfRule type="expression" dxfId="515" priority="112">
      <formula>#REF!="Benzick, Sue"</formula>
    </cfRule>
    <cfRule type="expression" dxfId="514" priority="114">
      <formula>#REF!="McQueen, Jennifer"</formula>
    </cfRule>
    <cfRule type="expression" dxfId="513" priority="113">
      <formula>#REF!="Jenne, Richard"</formula>
    </cfRule>
  </conditionalFormatting>
  <conditionalFormatting sqref="I332">
    <cfRule type="expression" dxfId="512" priority="116">
      <formula>#REF!="Jenne, Richard"</formula>
    </cfRule>
    <cfRule type="expression" dxfId="511" priority="115">
      <formula>#REF!="Benzick, Sue"</formula>
    </cfRule>
    <cfRule type="expression" dxfId="510" priority="117">
      <formula>#REF!="McQueen, Jennifer"</formula>
    </cfRule>
  </conditionalFormatting>
  <conditionalFormatting sqref="I187:N190">
    <cfRule type="expression" dxfId="509" priority="94">
      <formula>#REF!="Benzick, Sue"</formula>
    </cfRule>
    <cfRule type="expression" dxfId="508" priority="96">
      <formula>#REF!="McQueen, Jennifer"</formula>
    </cfRule>
    <cfRule type="expression" dxfId="507" priority="95">
      <formula>#REF!="Jenne, Richard"</formula>
    </cfRule>
  </conditionalFormatting>
  <conditionalFormatting sqref="I257:N257">
    <cfRule type="expression" dxfId="506" priority="29">
      <formula>#REF!="Jenne, Richard"</formula>
    </cfRule>
    <cfRule type="expression" dxfId="505" priority="30">
      <formula>#REF!="McQueen, Jennifer"</formula>
    </cfRule>
    <cfRule type="expression" dxfId="504" priority="28">
      <formula>#REF!="Benzick, Sue"</formula>
    </cfRule>
  </conditionalFormatting>
  <conditionalFormatting sqref="I275:N275">
    <cfRule type="expression" dxfId="503" priority="31">
      <formula>#REF!="Benzick, Sue"</formula>
    </cfRule>
    <cfRule type="expression" dxfId="502" priority="33">
      <formula>#REF!="McQueen, Jennifer"</formula>
    </cfRule>
    <cfRule type="expression" dxfId="501" priority="32">
      <formula>#REF!="Jenne, Richard"</formula>
    </cfRule>
  </conditionalFormatting>
  <conditionalFormatting sqref="I403:N403">
    <cfRule type="expression" dxfId="500" priority="93">
      <formula>#REF!="McQueen, Jennifer"</formula>
    </cfRule>
    <cfRule type="expression" dxfId="499" priority="91">
      <formula>#REF!="Benzick, Sue"</formula>
    </cfRule>
    <cfRule type="expression" dxfId="498" priority="92">
      <formula>#REF!="Jenne, Richard"</formula>
    </cfRule>
  </conditionalFormatting>
  <conditionalFormatting sqref="I437:N442">
    <cfRule type="expression" dxfId="497" priority="121">
      <formula>#REF!="Benzick, Sue"</formula>
    </cfRule>
    <cfRule type="expression" dxfId="496" priority="122">
      <formula>#REF!="Jenne, Richard"</formula>
    </cfRule>
    <cfRule type="expression" dxfId="495" priority="123">
      <formula>#REF!="McQueen, Jennifer"</formula>
    </cfRule>
  </conditionalFormatting>
  <conditionalFormatting sqref="J62">
    <cfRule type="expression" dxfId="494" priority="111">
      <formula>#REF!="McQueen, Jennifer"</formula>
    </cfRule>
    <cfRule type="expression" dxfId="493" priority="110">
      <formula>#REF!="Jenne, Richard"</formula>
    </cfRule>
    <cfRule type="expression" dxfId="492" priority="109">
      <formula>#REF!="Benzick, Sue"</formula>
    </cfRule>
  </conditionalFormatting>
  <conditionalFormatting sqref="J220">
    <cfRule type="expression" dxfId="491" priority="79">
      <formula>$T220="Benzick, Sue"</formula>
    </cfRule>
    <cfRule type="expression" dxfId="490" priority="80">
      <formula>$T220="Jenne, Richard"</formula>
    </cfRule>
    <cfRule type="expression" dxfId="489" priority="81">
      <formula>$T220="McQueen, Jennifer"</formula>
    </cfRule>
  </conditionalFormatting>
  <conditionalFormatting sqref="J246">
    <cfRule type="expression" dxfId="488" priority="75">
      <formula>$T246="McQueen, Jennifer"</formula>
    </cfRule>
    <cfRule type="expression" dxfId="487" priority="74">
      <formula>$T246="Jenne, Richard"</formula>
    </cfRule>
    <cfRule type="expression" dxfId="486" priority="73">
      <formula>$T246="Benzick, Sue"</formula>
    </cfRule>
  </conditionalFormatting>
  <conditionalFormatting sqref="J254">
    <cfRule type="expression" dxfId="485" priority="71">
      <formula>$T254="Jenne, Richard"</formula>
    </cfRule>
    <cfRule type="expression" dxfId="484" priority="70">
      <formula>$T254="Benzick, Sue"</formula>
    </cfRule>
    <cfRule type="expression" dxfId="483" priority="72">
      <formula>$T254="McQueen, Jennifer"</formula>
    </cfRule>
  </conditionalFormatting>
  <conditionalFormatting sqref="J392">
    <cfRule type="expression" dxfId="482" priority="67">
      <formula>$T392="Benzick, Sue"</formula>
    </cfRule>
    <cfRule type="expression" dxfId="481" priority="69">
      <formula>$T392="McQueen, Jennifer"</formula>
    </cfRule>
    <cfRule type="expression" dxfId="480" priority="68">
      <formula>$T392="Jenne, Richard"</formula>
    </cfRule>
  </conditionalFormatting>
  <conditionalFormatting sqref="J449">
    <cfRule type="expression" dxfId="479" priority="66">
      <formula>$T449="McQueen, Jennifer"</formula>
    </cfRule>
    <cfRule type="expression" dxfId="478" priority="65">
      <formula>$T449="Jenne, Richard"</formula>
    </cfRule>
    <cfRule type="expression" dxfId="477" priority="64">
      <formula>$T449="Benzick, Sue"</formula>
    </cfRule>
  </conditionalFormatting>
  <conditionalFormatting sqref="J4:N11 T4:T81 J14:N16 J18:N35 A32:A33 S32:S37 S39:S47 S49 S51:S65 E55:F55 F69:G70 S69:S80 E71:G71 E72:H72 F73:H73 E74:G74 J74:N74 F75:G75 F76:H76 E76:E78 F77:G77 J78:N78 F78:F79 A78:A81 E80:F81 S82:T122 J88:N88 J106:N106 B107 A108 J108:N109 A109:B109 E111:F111 J113:N115 J117:N117 T123 S124:T136 A129 E133 J134:N134 E136:H136 E138:G138 S138:T138 J138:N139 E139 S139:S140 T139:T146 F140 K140 M140:N140 F142:G145 S142:S146 F146:H146 J146:N147 F147:F148 F152 E152:E153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476" priority="214">
      <formula>$S4="Benzick, Sue"</formula>
    </cfRule>
    <cfRule type="expression" dxfId="475" priority="215">
      <formula>$S4="Jenne, Richard"</formula>
    </cfRule>
    <cfRule type="expression" dxfId="474" priority="216">
      <formula>$S4="McQueen, Jennifer"</formula>
    </cfRule>
  </conditionalFormatting>
  <conditionalFormatting sqref="J37:N37">
    <cfRule type="expression" dxfId="473" priority="62">
      <formula>$S37="Jenne, Richard"</formula>
    </cfRule>
    <cfRule type="expression" dxfId="472" priority="61">
      <formula>$S37="Benzick, Sue"</formula>
    </cfRule>
    <cfRule type="expression" dxfId="471" priority="63">
      <formula>$S37="McQueen, Jennifer"</formula>
    </cfRule>
  </conditionalFormatting>
  <conditionalFormatting sqref="J64:N64">
    <cfRule type="expression" dxfId="470" priority="89">
      <formula>$T64="Jenne, Richard"</formula>
    </cfRule>
    <cfRule type="expression" dxfId="469" priority="88">
      <formula>$T64="Benzick, Sue"</formula>
    </cfRule>
    <cfRule type="expression" dxfId="468" priority="90">
      <formula>$T64="McQueen, Jennifer"</formula>
    </cfRule>
  </conditionalFormatting>
  <conditionalFormatting sqref="J71:N71">
    <cfRule type="expression" dxfId="467" priority="87">
      <formula>$T71="McQueen, Jennifer"</formula>
    </cfRule>
    <cfRule type="expression" dxfId="466" priority="86">
      <formula>$T71="Jenne, Richard"</formula>
    </cfRule>
    <cfRule type="expression" dxfId="465" priority="85">
      <formula>$T71="Benzick, Sue"</formula>
    </cfRule>
  </conditionalFormatting>
  <conditionalFormatting sqref="K62">
    <cfRule type="expression" dxfId="464" priority="107">
      <formula>#REF!="Jenne, Richard"</formula>
    </cfRule>
    <cfRule type="expression" dxfId="463" priority="106">
      <formula>#REF!="Benzick, Sue"</formula>
    </cfRule>
    <cfRule type="expression" dxfId="462" priority="108">
      <formula>#REF!="McQueen, Jennifer"</formula>
    </cfRule>
  </conditionalFormatting>
  <conditionalFormatting sqref="L62">
    <cfRule type="expression" dxfId="461" priority="105">
      <formula>#REF!="McQueen, Jennifer"</formula>
    </cfRule>
    <cfRule type="expression" dxfId="460" priority="104">
      <formula>#REF!="Jenne, Richard"</formula>
    </cfRule>
    <cfRule type="expression" dxfId="459" priority="103">
      <formula>#REF!="Benzick, Sue"</formula>
    </cfRule>
  </conditionalFormatting>
  <conditionalFormatting sqref="M62">
    <cfRule type="expression" dxfId="458" priority="102">
      <formula>#REF!="McQueen, Jennifer"</formula>
    </cfRule>
    <cfRule type="expression" dxfId="457" priority="100">
      <formula>#REF!="Benzick, Sue"</formula>
    </cfRule>
    <cfRule type="expression" dxfId="456" priority="101">
      <formula>#REF!="Jenne, Richard"</formula>
    </cfRule>
  </conditionalFormatting>
  <conditionalFormatting sqref="N62">
    <cfRule type="expression" dxfId="455" priority="99">
      <formula>#REF!="McQueen, Jennifer"</formula>
    </cfRule>
    <cfRule type="expression" dxfId="454" priority="98">
      <formula>#REF!="Jenne, Richard"</formula>
    </cfRule>
    <cfRule type="expression" dxfId="453" priority="97">
      <formula>#REF!="Benzick, Sue"</formula>
    </cfRule>
  </conditionalFormatting>
  <conditionalFormatting sqref="S147:T190">
    <cfRule type="expression" dxfId="452" priority="48">
      <formula>$S147="McQueen, Jennifer"</formula>
    </cfRule>
    <cfRule type="expression" dxfId="451" priority="47">
      <formula>$S147="Jenne, Richard"</formula>
    </cfRule>
    <cfRule type="expression" dxfId="450" priority="46">
      <formula>$S147="Benzick, Sue"</formula>
    </cfRule>
  </conditionalFormatting>
  <conditionalFormatting sqref="W182">
    <cfRule type="expression" dxfId="449" priority="49">
      <formula>$X182="Benzick, Sue"</formula>
    </cfRule>
    <cfRule type="expression" dxfId="448" priority="50">
      <formula>$X182="Jenne, Richard"</formula>
    </cfRule>
    <cfRule type="expression" dxfId="447" priority="51">
      <formula>$X182="McQueen, Jennifer"</formula>
    </cfRule>
  </conditionalFormatting>
  <conditionalFormatting sqref="W335:W337">
    <cfRule type="expression" dxfId="446" priority="217">
      <formula>$Y335="Benzick, Sue"</formula>
    </cfRule>
    <cfRule type="expression" dxfId="445" priority="218">
      <formula>$Y335="Jenne, Richard"</formula>
    </cfRule>
    <cfRule type="expression" dxfId="444" priority="219">
      <formula>$Y335="McQueen, Jennifer"</formula>
    </cfRule>
  </conditionalFormatting>
  <conditionalFormatting sqref="Y4:Y136 W15:W37 J38:N38 W39:W47 W49 W51:W65 W69:W80 W82:W122 W124:W136 W138:W157 Y138:Y190 Y192:Y245 Y247:Y458">
    <cfRule type="expression" dxfId="443" priority="220">
      <formula>$X4="Benzick, Sue"</formula>
    </cfRule>
    <cfRule type="expression" dxfId="442" priority="222">
      <formula>$X4="McQueen, Jennifer"</formula>
    </cfRule>
    <cfRule type="expression" dxfId="441" priority="221">
      <formula>$X4="Jenne, Richard"</formula>
    </cfRule>
  </conditionalFormatting>
  <dataValidations count="4">
    <dataValidation allowBlank="1" showInputMessage="1" showErrorMessage="1" sqref="S138:S190 S247:S458 S192:S245 S4:S136" xr:uid="{8780455E-7938-4059-9F47-AC5C5206BA80}"/>
    <dataValidation type="list" allowBlank="1" showInputMessage="1" showErrorMessage="1" sqref="A72:A74 A179:A181 A183" xr:uid="{A8717146-77B3-498F-BE6E-8CBEDB4CC742}">
      <formula1>Location</formula1>
    </dataValidation>
    <dataValidation type="list" allowBlank="1" showInputMessage="1" showErrorMessage="1" sqref="B460:B466 B468:B738 B4:B458" xr:uid="{7666D769-00E7-465B-BC46-F9D37AAA53EB}">
      <formula1>Class</formula1>
    </dataValidation>
    <dataValidation type="list" allowBlank="1" showInputMessage="1" showErrorMessage="1" sqref="O460:O682" xr:uid="{6971A40A-A76B-40E8-B1D8-FBAE654B1AB9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EC93-B20D-44F9-942E-18C37F1D2133}">
  <sheetPr>
    <pageSetUpPr fitToPage="1"/>
  </sheetPr>
  <dimension ref="A1:AA459"/>
  <sheetViews>
    <sheetView topLeftCell="B1" zoomScale="90" zoomScaleNormal="90" workbookViewId="0">
      <selection activeCell="AG31" sqref="AG31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349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343</v>
      </c>
      <c r="B3" s="27" t="s">
        <v>63</v>
      </c>
      <c r="C3" s="27" t="s">
        <v>64</v>
      </c>
      <c r="D3" s="123" t="s">
        <v>350</v>
      </c>
      <c r="E3" s="27" t="s">
        <v>73</v>
      </c>
      <c r="F3" s="28" t="s">
        <v>351</v>
      </c>
      <c r="G3" s="28" t="s">
        <v>352</v>
      </c>
      <c r="H3" s="74" t="s">
        <v>353</v>
      </c>
      <c r="I3" s="74" t="s">
        <v>354</v>
      </c>
      <c r="J3" s="74" t="s">
        <v>355</v>
      </c>
      <c r="K3" s="74" t="s">
        <v>356</v>
      </c>
      <c r="L3" s="74" t="s">
        <v>357</v>
      </c>
      <c r="M3" s="74" t="s">
        <v>358</v>
      </c>
      <c r="N3" s="74" t="s">
        <v>359</v>
      </c>
      <c r="O3" s="27" t="s">
        <v>360</v>
      </c>
      <c r="P3" s="27" t="s">
        <v>361</v>
      </c>
      <c r="Q3" s="30" t="s">
        <v>66</v>
      </c>
      <c r="R3" s="30" t="s">
        <v>363</v>
      </c>
      <c r="S3" s="29" t="s">
        <v>367</v>
      </c>
      <c r="T3" s="29" t="s">
        <v>368</v>
      </c>
      <c r="U3" s="29" t="s">
        <v>13</v>
      </c>
      <c r="V3" s="29" t="s">
        <v>14</v>
      </c>
      <c r="W3" s="29" t="s">
        <v>369</v>
      </c>
      <c r="X3" s="29" t="s">
        <v>75</v>
      </c>
      <c r="Y3" s="29" t="s">
        <v>370</v>
      </c>
      <c r="Z3" s="29" t="s">
        <v>371</v>
      </c>
      <c r="AA3" s="29" t="s">
        <v>372</v>
      </c>
    </row>
    <row r="4" spans="1:27" s="106" customFormat="1" ht="14.25" customHeight="1" x14ac:dyDescent="0.25">
      <c r="A4" s="62"/>
      <c r="B4" s="99" t="s">
        <v>59</v>
      </c>
      <c r="C4" s="100" t="s">
        <v>203</v>
      </c>
      <c r="D4" s="100" t="s">
        <v>204</v>
      </c>
      <c r="E4" s="99"/>
      <c r="F4" s="102">
        <v>45937</v>
      </c>
      <c r="G4" s="102">
        <v>45941</v>
      </c>
      <c r="H4" s="105"/>
      <c r="I4" s="105">
        <v>0.33333333333333331</v>
      </c>
      <c r="J4" s="102"/>
      <c r="K4" s="102"/>
      <c r="L4" s="102"/>
      <c r="M4" s="102"/>
      <c r="N4" s="102"/>
      <c r="O4" s="99" t="s">
        <v>135</v>
      </c>
      <c r="P4" s="99" t="s">
        <v>141</v>
      </c>
      <c r="Q4" s="103">
        <v>45</v>
      </c>
      <c r="R4" s="104">
        <v>4</v>
      </c>
      <c r="S4" s="103"/>
      <c r="T4" s="103"/>
      <c r="U4" s="15"/>
      <c r="V4" s="15"/>
      <c r="W4" s="15"/>
      <c r="X4" s="99"/>
      <c r="Y4" s="71">
        <f ca="1">Table24[[#This Row],[End Date]]+2-TODAY()</f>
        <v>411</v>
      </c>
      <c r="Z4" s="15">
        <f>IF(ISBLANK(Table24[[#This Row],[Roster Received By]]),1,0)</f>
        <v>1</v>
      </c>
      <c r="AA4" s="15">
        <f ca="1">IF(Table24[[#This Row],[Start Date]]&gt;TODAY(),1,)</f>
        <v>1</v>
      </c>
    </row>
    <row r="5" spans="1:27" s="136" customFormat="1" ht="14.25" customHeight="1" x14ac:dyDescent="0.25">
      <c r="A5" s="62"/>
      <c r="B5" s="99" t="s">
        <v>59</v>
      </c>
      <c r="C5" s="100" t="s">
        <v>203</v>
      </c>
      <c r="D5" s="100" t="s">
        <v>204</v>
      </c>
      <c r="E5" s="65"/>
      <c r="F5" s="102">
        <v>45586</v>
      </c>
      <c r="G5" s="102">
        <v>45590</v>
      </c>
      <c r="H5" s="108"/>
      <c r="I5" s="108">
        <v>0.41666666666666669</v>
      </c>
      <c r="J5" s="102"/>
      <c r="K5" s="102"/>
      <c r="L5" s="102"/>
      <c r="M5" s="102"/>
      <c r="N5" s="102"/>
      <c r="O5" s="99" t="s">
        <v>135</v>
      </c>
      <c r="P5" s="99" t="s">
        <v>141</v>
      </c>
      <c r="Q5" s="15">
        <v>45</v>
      </c>
      <c r="R5" s="15">
        <v>4</v>
      </c>
      <c r="S5" s="15"/>
      <c r="T5" s="103"/>
      <c r="U5" s="15"/>
      <c r="V5" s="15"/>
      <c r="W5" s="15"/>
      <c r="X5" s="99"/>
      <c r="Y5" s="71">
        <f ca="1">Table24[[#This Row],[End Date]]+2-TODAY()</f>
        <v>60</v>
      </c>
      <c r="Z5" s="15">
        <f>IF(ISBLANK(Table24[[#This Row],[Roster Received By]]),1,0)</f>
        <v>1</v>
      </c>
      <c r="AA5" s="15">
        <f ca="1">IF(Table24[[#This Row],[Start Date]]&gt;TODAY(),1,)</f>
        <v>1</v>
      </c>
    </row>
    <row r="6" spans="1:27" s="106" customFormat="1" ht="14.25" customHeight="1" x14ac:dyDescent="0.25">
      <c r="A6" s="62"/>
      <c r="B6" s="99" t="s">
        <v>59</v>
      </c>
      <c r="C6" s="100" t="s">
        <v>203</v>
      </c>
      <c r="D6" s="100" t="s">
        <v>204</v>
      </c>
      <c r="E6" s="99"/>
      <c r="F6" s="102">
        <v>45600</v>
      </c>
      <c r="G6" s="102">
        <v>45603</v>
      </c>
      <c r="H6" s="102"/>
      <c r="I6" s="101">
        <v>0.33333333333333331</v>
      </c>
      <c r="J6" s="105"/>
      <c r="K6" s="105"/>
      <c r="L6" s="105"/>
      <c r="M6" s="105"/>
      <c r="N6" s="105"/>
      <c r="O6" s="99" t="s">
        <v>135</v>
      </c>
      <c r="P6" s="99" t="s">
        <v>141</v>
      </c>
      <c r="Q6" s="15">
        <v>45</v>
      </c>
      <c r="R6" s="15">
        <v>4</v>
      </c>
      <c r="S6" s="15"/>
      <c r="T6" s="103"/>
      <c r="U6" s="15"/>
      <c r="V6" s="15"/>
      <c r="W6" s="15"/>
      <c r="X6" s="99"/>
      <c r="Y6" s="71">
        <f ca="1">Table24[[#This Row],[End Date]]+2-TODAY()</f>
        <v>73</v>
      </c>
      <c r="Z6" s="15">
        <f>IF(ISBLANK(Table24[[#This Row],[Roster Received By]]),1,0)</f>
        <v>1</v>
      </c>
      <c r="AA6" s="15">
        <f ca="1">IF(Table24[[#This Row],[Start Date]]&gt;TODAY(),1,)</f>
        <v>1</v>
      </c>
    </row>
    <row r="7" spans="1:27" s="106" customFormat="1" ht="14.25" customHeight="1" x14ac:dyDescent="0.25">
      <c r="A7" s="62"/>
      <c r="B7" s="99" t="s">
        <v>59</v>
      </c>
      <c r="C7" s="100" t="s">
        <v>203</v>
      </c>
      <c r="D7" s="100" t="s">
        <v>204</v>
      </c>
      <c r="E7" s="65"/>
      <c r="F7" s="102">
        <v>45614</v>
      </c>
      <c r="G7" s="102">
        <v>45617</v>
      </c>
      <c r="H7" s="105"/>
      <c r="I7" s="105">
        <v>0.41666666666666669</v>
      </c>
      <c r="J7" s="102"/>
      <c r="K7" s="102"/>
      <c r="L7" s="102"/>
      <c r="M7" s="102"/>
      <c r="N7" s="102"/>
      <c r="O7" s="99" t="s">
        <v>135</v>
      </c>
      <c r="P7" s="99" t="s">
        <v>141</v>
      </c>
      <c r="Q7" s="15">
        <v>45</v>
      </c>
      <c r="R7" s="15">
        <v>4</v>
      </c>
      <c r="S7" s="15"/>
      <c r="T7" s="103"/>
      <c r="U7" s="15"/>
      <c r="V7" s="15"/>
      <c r="W7" s="15"/>
      <c r="X7" s="99"/>
      <c r="Y7" s="71">
        <f ca="1">Table24[[#This Row],[End Date]]+2-TODAY()</f>
        <v>87</v>
      </c>
      <c r="Z7" s="15">
        <f>IF(ISBLANK(Table24[[#This Row],[Roster Received By]]),1,0)</f>
        <v>1</v>
      </c>
      <c r="AA7" s="15">
        <f ca="1">IF(Table24[[#This Row],[Start Date]]&gt;TODAY(),1,)</f>
        <v>1</v>
      </c>
    </row>
    <row r="8" spans="1:27" s="106" customFormat="1" ht="14.25" customHeight="1" x14ac:dyDescent="0.25">
      <c r="A8" s="62"/>
      <c r="B8" s="99" t="s">
        <v>59</v>
      </c>
      <c r="C8" s="100" t="s">
        <v>203</v>
      </c>
      <c r="D8" s="100" t="s">
        <v>204</v>
      </c>
      <c r="E8" s="99"/>
      <c r="F8" s="102">
        <v>45628</v>
      </c>
      <c r="G8" s="102">
        <v>45631</v>
      </c>
      <c r="H8" s="102"/>
      <c r="I8" s="101">
        <v>0.33333333333333331</v>
      </c>
      <c r="J8" s="105"/>
      <c r="K8" s="105"/>
      <c r="L8" s="105"/>
      <c r="M8" s="105"/>
      <c r="N8" s="105"/>
      <c r="O8" s="99" t="s">
        <v>135</v>
      </c>
      <c r="P8" s="99" t="s">
        <v>141</v>
      </c>
      <c r="Q8" s="15">
        <v>45</v>
      </c>
      <c r="R8" s="15">
        <v>4</v>
      </c>
      <c r="S8" s="15"/>
      <c r="T8" s="103"/>
      <c r="U8" s="15"/>
      <c r="V8" s="15"/>
      <c r="W8" s="100"/>
      <c r="X8" s="99"/>
      <c r="Y8" s="71">
        <f ca="1">Table24[[#This Row],[End Date]]+2-TODAY()</f>
        <v>101</v>
      </c>
      <c r="Z8" s="15">
        <f>IF(ISBLANK(Table24[[#This Row],[Roster Received By]]),1,0)</f>
        <v>1</v>
      </c>
      <c r="AA8" s="15">
        <f ca="1">IF(Table24[[#This Row],[Start Date]]&gt;TODAY(),1,)</f>
        <v>1</v>
      </c>
    </row>
    <row r="9" spans="1:27" s="106" customFormat="1" ht="14.25" customHeight="1" x14ac:dyDescent="0.25">
      <c r="A9" s="62"/>
      <c r="B9" s="99" t="s">
        <v>59</v>
      </c>
      <c r="C9" s="100" t="s">
        <v>203</v>
      </c>
      <c r="D9" s="100" t="s">
        <v>204</v>
      </c>
      <c r="E9" s="99"/>
      <c r="F9" s="102">
        <v>46007</v>
      </c>
      <c r="G9" s="102">
        <v>46010</v>
      </c>
      <c r="H9" s="105"/>
      <c r="I9" s="101">
        <v>0.33333333333333331</v>
      </c>
      <c r="J9" s="102"/>
      <c r="K9" s="102"/>
      <c r="L9" s="102"/>
      <c r="M9" s="102"/>
      <c r="N9" s="102"/>
      <c r="O9" s="99" t="s">
        <v>135</v>
      </c>
      <c r="P9" s="99" t="s">
        <v>141</v>
      </c>
      <c r="Q9" s="15">
        <v>45</v>
      </c>
      <c r="R9" s="15">
        <v>4</v>
      </c>
      <c r="S9" s="103"/>
      <c r="T9" s="103"/>
      <c r="U9" s="15"/>
      <c r="V9" s="15"/>
      <c r="W9" s="100"/>
      <c r="X9" s="99"/>
      <c r="Y9" s="71">
        <f ca="1">Table24[[#This Row],[End Date]]+2-TODAY()</f>
        <v>480</v>
      </c>
      <c r="Z9" s="15">
        <f>IF(ISBLANK(Table24[[#This Row],[Roster Received By]]),1,0)</f>
        <v>1</v>
      </c>
      <c r="AA9" s="15">
        <f ca="1">IF(Table24[[#This Row],[Start Date]]&gt;TODAY(),1,)</f>
        <v>1</v>
      </c>
    </row>
    <row r="10" spans="1:27" s="106" customFormat="1" ht="14.25" customHeight="1" x14ac:dyDescent="0.25">
      <c r="A10" s="62"/>
      <c r="B10" s="99" t="s">
        <v>59</v>
      </c>
      <c r="C10" s="100" t="s">
        <v>203</v>
      </c>
      <c r="D10" s="100" t="s">
        <v>204</v>
      </c>
      <c r="E10" s="65"/>
      <c r="F10" s="102">
        <v>45670</v>
      </c>
      <c r="G10" s="102">
        <v>45673</v>
      </c>
      <c r="H10" s="108"/>
      <c r="I10" s="108">
        <v>0.54166666666666663</v>
      </c>
      <c r="J10" s="102"/>
      <c r="K10" s="102"/>
      <c r="L10" s="102"/>
      <c r="M10" s="102"/>
      <c r="N10" s="102"/>
      <c r="O10" s="99" t="s">
        <v>135</v>
      </c>
      <c r="P10" s="99" t="s">
        <v>141</v>
      </c>
      <c r="Q10" s="15">
        <v>45</v>
      </c>
      <c r="R10" s="15">
        <v>4</v>
      </c>
      <c r="S10" s="15"/>
      <c r="T10" s="103"/>
      <c r="U10" s="15"/>
      <c r="V10" s="15"/>
      <c r="W10" s="15"/>
      <c r="X10" s="99"/>
      <c r="Y10" s="71">
        <f ca="1">Table24[[#This Row],[End Date]]+2-TODAY()</f>
        <v>143</v>
      </c>
      <c r="Z10" s="15">
        <f>IF(ISBLANK(Table24[[#This Row],[Roster Received By]]),1,0)</f>
        <v>1</v>
      </c>
      <c r="AA10" s="15">
        <f ca="1">IF(Table24[[#This Row],[Start Date]]&gt;TODAY(),1,)</f>
        <v>1</v>
      </c>
    </row>
    <row r="11" spans="1:27" s="106" customFormat="1" ht="14.25" customHeight="1" x14ac:dyDescent="0.25">
      <c r="A11" s="62"/>
      <c r="B11" s="99" t="s">
        <v>59</v>
      </c>
      <c r="C11" s="100" t="s">
        <v>203</v>
      </c>
      <c r="D11" s="100" t="s">
        <v>204</v>
      </c>
      <c r="E11" s="65"/>
      <c r="F11" s="102">
        <v>45678</v>
      </c>
      <c r="G11" s="102">
        <v>45681</v>
      </c>
      <c r="H11" s="108"/>
      <c r="I11" s="108">
        <v>0.41666666666666669</v>
      </c>
      <c r="J11" s="102"/>
      <c r="K11" s="102"/>
      <c r="L11" s="102"/>
      <c r="M11" s="102"/>
      <c r="N11" s="102"/>
      <c r="O11" s="99" t="s">
        <v>135</v>
      </c>
      <c r="P11" s="99" t="s">
        <v>141</v>
      </c>
      <c r="Q11" s="15">
        <v>45</v>
      </c>
      <c r="R11" s="15">
        <v>4</v>
      </c>
      <c r="S11" s="103"/>
      <c r="T11" s="103"/>
      <c r="U11" s="15"/>
      <c r="V11" s="15"/>
      <c r="W11" s="15"/>
      <c r="X11" s="99"/>
      <c r="Y11" s="71">
        <f ca="1">Table24[[#This Row],[End Date]]+2-TODAY()</f>
        <v>151</v>
      </c>
      <c r="Z11" s="15">
        <f>IF(ISBLANK(Table24[[#This Row],[Roster Received By]]),1,0)</f>
        <v>1</v>
      </c>
      <c r="AA11" s="15">
        <f ca="1">IF(Table24[[#This Row],[Start Date]]&gt;TODAY(),1,)</f>
        <v>1</v>
      </c>
    </row>
    <row r="12" spans="1:27" s="106" customFormat="1" ht="14.25" customHeight="1" x14ac:dyDescent="0.25">
      <c r="A12" s="62"/>
      <c r="B12" s="99" t="s">
        <v>59</v>
      </c>
      <c r="C12" s="100" t="s">
        <v>203</v>
      </c>
      <c r="D12" s="100" t="s">
        <v>204</v>
      </c>
      <c r="E12" s="99"/>
      <c r="F12" s="102">
        <v>45691</v>
      </c>
      <c r="G12" s="102">
        <v>45694</v>
      </c>
      <c r="H12" s="102"/>
      <c r="I12" s="101">
        <v>0.33333333333333331</v>
      </c>
      <c r="J12" s="105"/>
      <c r="K12" s="105"/>
      <c r="L12" s="105"/>
      <c r="M12" s="105"/>
      <c r="N12" s="105"/>
      <c r="O12" s="99" t="s">
        <v>135</v>
      </c>
      <c r="P12" s="99" t="s">
        <v>141</v>
      </c>
      <c r="Q12" s="15">
        <v>45</v>
      </c>
      <c r="R12" s="15">
        <v>4</v>
      </c>
      <c r="S12" s="15"/>
      <c r="T12" s="103"/>
      <c r="U12" s="15"/>
      <c r="V12" s="15"/>
      <c r="W12" s="15"/>
      <c r="X12" s="99"/>
      <c r="Y12" s="71">
        <f ca="1">Table24[[#This Row],[End Date]]+2-TODAY()</f>
        <v>164</v>
      </c>
      <c r="Z12" s="15">
        <f>IF(ISBLANK(Table24[[#This Row],[Roster Received By]]),1,0)</f>
        <v>1</v>
      </c>
      <c r="AA12" s="15">
        <f ca="1">IF(Table24[[#This Row],[Start Date]]&gt;TODAY(),1,)</f>
        <v>1</v>
      </c>
    </row>
    <row r="13" spans="1:27" s="106" customFormat="1" ht="14.25" customHeight="1" x14ac:dyDescent="0.25">
      <c r="A13" s="62"/>
      <c r="B13" s="99" t="s">
        <v>59</v>
      </c>
      <c r="C13" s="100" t="s">
        <v>203</v>
      </c>
      <c r="D13" s="100" t="s">
        <v>204</v>
      </c>
      <c r="E13" s="99"/>
      <c r="F13" s="102">
        <v>45712</v>
      </c>
      <c r="G13" s="102">
        <v>45715</v>
      </c>
      <c r="H13" s="102"/>
      <c r="I13" s="101">
        <v>0.79166666666666663</v>
      </c>
      <c r="J13" s="105"/>
      <c r="K13" s="105"/>
      <c r="L13" s="105"/>
      <c r="M13" s="105"/>
      <c r="N13" s="105"/>
      <c r="O13" s="99" t="s">
        <v>135</v>
      </c>
      <c r="P13" s="99" t="s">
        <v>141</v>
      </c>
      <c r="Q13" s="15">
        <v>45</v>
      </c>
      <c r="R13" s="15">
        <v>4</v>
      </c>
      <c r="S13" s="15"/>
      <c r="T13" s="103"/>
      <c r="U13" s="15"/>
      <c r="V13" s="15"/>
      <c r="W13" s="15"/>
      <c r="X13" s="99"/>
      <c r="Y13" s="71">
        <f ca="1">Table24[[#This Row],[End Date]]+2-TODAY()</f>
        <v>185</v>
      </c>
      <c r="Z13" s="15">
        <f>IF(ISBLANK(Table24[[#This Row],[Roster Received By]]),1,0)</f>
        <v>1</v>
      </c>
      <c r="AA13" s="15">
        <f ca="1">IF(Table24[[#This Row],[Start Date]]&gt;TODAY(),1,)</f>
        <v>1</v>
      </c>
    </row>
    <row r="14" spans="1:27" s="106" customFormat="1" ht="14.25" customHeight="1" x14ac:dyDescent="0.25">
      <c r="A14" s="62"/>
      <c r="B14" s="99" t="s">
        <v>59</v>
      </c>
      <c r="C14" s="100" t="s">
        <v>203</v>
      </c>
      <c r="D14" s="100" t="s">
        <v>204</v>
      </c>
      <c r="E14" s="99"/>
      <c r="F14" s="102">
        <v>45720</v>
      </c>
      <c r="G14" s="102">
        <v>45723</v>
      </c>
      <c r="H14" s="102"/>
      <c r="I14" s="101">
        <v>0.45833333333333331</v>
      </c>
      <c r="J14" s="105"/>
      <c r="K14" s="105"/>
      <c r="L14" s="105"/>
      <c r="M14" s="105"/>
      <c r="N14" s="105"/>
      <c r="O14" s="99" t="s">
        <v>135</v>
      </c>
      <c r="P14" s="99" t="s">
        <v>141</v>
      </c>
      <c r="Q14" s="15">
        <v>45</v>
      </c>
      <c r="R14" s="15">
        <v>4</v>
      </c>
      <c r="S14" s="103"/>
      <c r="T14" s="103"/>
      <c r="U14" s="15"/>
      <c r="V14" s="15"/>
      <c r="W14" s="15"/>
      <c r="X14" s="99"/>
      <c r="Y14" s="71">
        <f ca="1">Table24[[#This Row],[End Date]]+2-TODAY()</f>
        <v>193</v>
      </c>
      <c r="Z14" s="15">
        <f>IF(ISBLANK(Table24[[#This Row],[Roster Received By]]),1,0)</f>
        <v>1</v>
      </c>
      <c r="AA14" s="15">
        <f ca="1">IF(Table24[[#This Row],[Start Date]]&gt;TODAY(),1,)</f>
        <v>1</v>
      </c>
    </row>
    <row r="15" spans="1:27" s="106" customFormat="1" ht="14.25" customHeight="1" x14ac:dyDescent="0.25">
      <c r="A15" s="62"/>
      <c r="B15" s="99" t="s">
        <v>59</v>
      </c>
      <c r="C15" s="100" t="s">
        <v>203</v>
      </c>
      <c r="D15" s="100" t="s">
        <v>204</v>
      </c>
      <c r="E15" s="99"/>
      <c r="F15" s="102">
        <v>45733</v>
      </c>
      <c r="G15" s="102">
        <v>45736</v>
      </c>
      <c r="H15" s="102"/>
      <c r="I15" s="101">
        <v>0.29166666666666669</v>
      </c>
      <c r="J15" s="105"/>
      <c r="K15" s="105"/>
      <c r="L15" s="105"/>
      <c r="M15" s="105"/>
      <c r="N15" s="105"/>
      <c r="O15" s="99" t="s">
        <v>135</v>
      </c>
      <c r="P15" s="99" t="s">
        <v>141</v>
      </c>
      <c r="Q15" s="15">
        <v>45</v>
      </c>
      <c r="R15" s="15">
        <v>4</v>
      </c>
      <c r="S15" s="15"/>
      <c r="T15" s="103"/>
      <c r="U15" s="15"/>
      <c r="V15" s="15"/>
      <c r="W15" s="15"/>
      <c r="X15" s="99"/>
      <c r="Y15" s="71">
        <f ca="1">Table24[[#This Row],[End Date]]+2-TODAY()</f>
        <v>206</v>
      </c>
      <c r="Z15" s="15">
        <f>IF(ISBLANK(Table24[[#This Row],[Roster Received By]]),1,0)</f>
        <v>1</v>
      </c>
      <c r="AA15" s="15">
        <f ca="1">IF(Table24[[#This Row],[Start Date]]&gt;TODAY(),1,)</f>
        <v>1</v>
      </c>
    </row>
    <row r="16" spans="1:27" s="106" customFormat="1" ht="14.25" customHeight="1" x14ac:dyDescent="0.25">
      <c r="A16" s="62"/>
      <c r="B16" s="99" t="s">
        <v>59</v>
      </c>
      <c r="C16" s="100" t="s">
        <v>203</v>
      </c>
      <c r="D16" s="100" t="s">
        <v>204</v>
      </c>
      <c r="E16" s="99"/>
      <c r="F16" s="102">
        <v>45747</v>
      </c>
      <c r="G16" s="102">
        <v>45750</v>
      </c>
      <c r="H16" s="102"/>
      <c r="I16" s="101">
        <v>0.33333333333333331</v>
      </c>
      <c r="J16" s="105"/>
      <c r="K16" s="105"/>
      <c r="L16" s="105"/>
      <c r="M16" s="105"/>
      <c r="N16" s="105"/>
      <c r="O16" s="99" t="s">
        <v>135</v>
      </c>
      <c r="P16" s="99" t="s">
        <v>141</v>
      </c>
      <c r="Q16" s="15">
        <v>45</v>
      </c>
      <c r="R16" s="15">
        <v>4</v>
      </c>
      <c r="S16" s="15"/>
      <c r="T16" s="103"/>
      <c r="U16" s="15"/>
      <c r="V16" s="15"/>
      <c r="W16" s="15"/>
      <c r="X16" s="99"/>
      <c r="Y16" s="71">
        <f ca="1">Table24[[#This Row],[End Date]]+2-TODAY()</f>
        <v>220</v>
      </c>
      <c r="Z16" s="15">
        <f>IF(ISBLANK(Table24[[#This Row],[Roster Received By]]),1,0)</f>
        <v>1</v>
      </c>
      <c r="AA16" s="15">
        <f ca="1">IF(Table24[[#This Row],[Start Date]]&gt;TODAY(),1,)</f>
        <v>1</v>
      </c>
    </row>
    <row r="17" spans="1:27" s="106" customFormat="1" ht="14.25" customHeight="1" x14ac:dyDescent="0.25">
      <c r="A17" s="62"/>
      <c r="B17" s="99" t="s">
        <v>59</v>
      </c>
      <c r="C17" s="100" t="s">
        <v>203</v>
      </c>
      <c r="D17" s="100" t="s">
        <v>204</v>
      </c>
      <c r="E17" s="99"/>
      <c r="F17" s="102">
        <v>45762</v>
      </c>
      <c r="G17" s="102">
        <v>45765</v>
      </c>
      <c r="H17" s="102"/>
      <c r="I17" s="101">
        <v>0.41666666666666669</v>
      </c>
      <c r="J17" s="105"/>
      <c r="K17" s="105"/>
      <c r="L17" s="105"/>
      <c r="M17" s="105"/>
      <c r="N17" s="105"/>
      <c r="O17" s="99" t="s">
        <v>135</v>
      </c>
      <c r="P17" s="99" t="s">
        <v>141</v>
      </c>
      <c r="Q17" s="15">
        <v>45</v>
      </c>
      <c r="R17" s="15">
        <v>4</v>
      </c>
      <c r="S17" s="103"/>
      <c r="T17" s="103"/>
      <c r="U17" s="15"/>
      <c r="V17" s="15"/>
      <c r="W17" s="15"/>
      <c r="X17" s="99"/>
      <c r="Y17" s="71">
        <f ca="1">Table24[[#This Row],[End Date]]+2-TODAY()</f>
        <v>235</v>
      </c>
      <c r="Z17" s="15">
        <f>IF(ISBLANK(Table24[[#This Row],[Roster Received By]]),1,0)</f>
        <v>1</v>
      </c>
      <c r="AA17" s="15">
        <f ca="1">IF(Table24[[#This Row],[Start Date]]&gt;TODAY(),1,)</f>
        <v>1</v>
      </c>
    </row>
    <row r="18" spans="1:27" s="106" customFormat="1" ht="14.25" customHeight="1" x14ac:dyDescent="0.25">
      <c r="A18" s="62"/>
      <c r="B18" s="99" t="s">
        <v>59</v>
      </c>
      <c r="C18" s="100" t="s">
        <v>203</v>
      </c>
      <c r="D18" s="100" t="s">
        <v>204</v>
      </c>
      <c r="E18" s="99"/>
      <c r="F18" s="102">
        <v>45775</v>
      </c>
      <c r="G18" s="102">
        <v>45778</v>
      </c>
      <c r="H18" s="102"/>
      <c r="I18" s="101">
        <v>0.54166666666666663</v>
      </c>
      <c r="J18" s="105"/>
      <c r="K18" s="105"/>
      <c r="L18" s="105"/>
      <c r="M18" s="105"/>
      <c r="N18" s="105"/>
      <c r="O18" s="99" t="s">
        <v>135</v>
      </c>
      <c r="P18" s="99" t="s">
        <v>141</v>
      </c>
      <c r="Q18" s="15">
        <v>45</v>
      </c>
      <c r="R18" s="15">
        <v>4</v>
      </c>
      <c r="S18" s="103"/>
      <c r="T18" s="103"/>
      <c r="U18" s="15"/>
      <c r="V18" s="15"/>
      <c r="W18" s="15"/>
      <c r="X18" s="99"/>
      <c r="Y18" s="71">
        <f ca="1">Table24[[#This Row],[End Date]]+2-TODAY()</f>
        <v>248</v>
      </c>
      <c r="Z18" s="15">
        <f>IF(ISBLANK(Table24[[#This Row],[Roster Received By]]),1,0)</f>
        <v>1</v>
      </c>
      <c r="AA18" s="15">
        <f ca="1">IF(Table24[[#This Row],[Start Date]]&gt;TODAY(),1,)</f>
        <v>1</v>
      </c>
    </row>
    <row r="19" spans="1:27" s="106" customFormat="1" ht="16.5" customHeight="1" x14ac:dyDescent="0.25">
      <c r="A19" s="151" t="s">
        <v>402</v>
      </c>
      <c r="B19" s="152" t="s">
        <v>59</v>
      </c>
      <c r="C19" s="154" t="s">
        <v>203</v>
      </c>
      <c r="D19" s="154" t="s">
        <v>204</v>
      </c>
      <c r="E19" s="152"/>
      <c r="F19" s="155">
        <v>45789</v>
      </c>
      <c r="G19" s="155">
        <v>45792</v>
      </c>
      <c r="H19" s="155"/>
      <c r="I19" s="156">
        <v>0.45833333333333331</v>
      </c>
      <c r="J19" s="158"/>
      <c r="K19" s="158"/>
      <c r="L19" s="158"/>
      <c r="M19" s="158"/>
      <c r="N19" s="158"/>
      <c r="O19" s="152" t="s">
        <v>135</v>
      </c>
      <c r="P19" s="152" t="s">
        <v>141</v>
      </c>
      <c r="Q19" s="157">
        <v>45</v>
      </c>
      <c r="R19" s="157">
        <v>4</v>
      </c>
      <c r="S19" s="15"/>
      <c r="T19" s="103"/>
      <c r="U19" s="15"/>
      <c r="V19" s="15"/>
      <c r="W19" s="103"/>
      <c r="X19" s="99"/>
      <c r="Y19" s="71">
        <f ca="1">Table24[[#This Row],[End Date]]+2-TODAY()</f>
        <v>262</v>
      </c>
      <c r="Z19" s="15">
        <f>IF(ISBLANK(Table24[[#This Row],[Roster Received By]]),1,0)</f>
        <v>1</v>
      </c>
      <c r="AA19" s="15">
        <f ca="1">IF(Table24[[#This Row],[Start Date]]&gt;TODAY(),1,)</f>
        <v>1</v>
      </c>
    </row>
    <row r="20" spans="1:27" s="106" customFormat="1" ht="14.25" customHeight="1" x14ac:dyDescent="0.25">
      <c r="A20" s="159" t="s">
        <v>645</v>
      </c>
      <c r="B20" s="160" t="s">
        <v>59</v>
      </c>
      <c r="C20" s="161" t="s">
        <v>203</v>
      </c>
      <c r="D20" s="161" t="s">
        <v>204</v>
      </c>
      <c r="E20" s="160"/>
      <c r="F20" s="162">
        <v>45804</v>
      </c>
      <c r="G20" s="163">
        <v>45807</v>
      </c>
      <c r="H20" s="163"/>
      <c r="I20" s="164">
        <v>0.33333333333333331</v>
      </c>
      <c r="J20" s="164"/>
      <c r="K20" s="164"/>
      <c r="L20" s="164"/>
      <c r="M20" s="164"/>
      <c r="N20" s="164"/>
      <c r="O20" s="160" t="s">
        <v>135</v>
      </c>
      <c r="P20" s="160" t="s">
        <v>141</v>
      </c>
      <c r="Q20" s="165">
        <v>45</v>
      </c>
      <c r="R20" s="165">
        <v>4</v>
      </c>
      <c r="S20" s="15"/>
      <c r="T20" s="103"/>
      <c r="U20" s="15"/>
      <c r="V20" s="15"/>
      <c r="W20" s="15"/>
      <c r="X20" s="99"/>
      <c r="Y20" s="71">
        <f ca="1">Table24[[#This Row],[End Date]]+2-TODAY()</f>
        <v>277</v>
      </c>
      <c r="Z20" s="15">
        <f>IF(ISBLANK(Table24[[#This Row],[Roster Received By]]),1,0)</f>
        <v>1</v>
      </c>
      <c r="AA20" s="15">
        <f ca="1">IF(Table24[[#This Row],[Start Date]]&gt;TODAY(),1,)</f>
        <v>1</v>
      </c>
    </row>
    <row r="21" spans="1:27" s="106" customFormat="1" ht="14.25" customHeight="1" x14ac:dyDescent="0.25">
      <c r="A21" s="65"/>
      <c r="B21" s="99" t="s">
        <v>59</v>
      </c>
      <c r="C21" s="100" t="s">
        <v>203</v>
      </c>
      <c r="D21" s="100" t="s">
        <v>204</v>
      </c>
      <c r="E21" s="99"/>
      <c r="F21" s="102">
        <v>45810</v>
      </c>
      <c r="G21" s="102">
        <v>45813</v>
      </c>
      <c r="H21" s="105"/>
      <c r="I21" s="105">
        <v>0.54166666666666663</v>
      </c>
      <c r="J21" s="105"/>
      <c r="K21" s="105"/>
      <c r="L21" s="105"/>
      <c r="M21" s="105"/>
      <c r="N21" s="105"/>
      <c r="O21" s="99" t="s">
        <v>135</v>
      </c>
      <c r="P21" s="99" t="s">
        <v>141</v>
      </c>
      <c r="Q21" s="15">
        <v>45</v>
      </c>
      <c r="R21" s="15">
        <v>4</v>
      </c>
      <c r="S21" s="103"/>
      <c r="T21" s="103"/>
      <c r="U21" s="15"/>
      <c r="V21" s="15"/>
      <c r="W21" s="100"/>
      <c r="X21" s="99"/>
      <c r="Y21" s="71">
        <f ca="1">Table24[[#This Row],[End Date]]+2-TODAY()</f>
        <v>283</v>
      </c>
      <c r="Z21" s="15">
        <f>IF(ISBLANK(Table24[[#This Row],[Roster Received By]]),1,0)</f>
        <v>1</v>
      </c>
      <c r="AA21" s="15">
        <f ca="1">IF(Table24[[#This Row],[Start Date]]&gt;TODAY(),1,)</f>
        <v>1</v>
      </c>
    </row>
    <row r="22" spans="1:27" s="106" customFormat="1" ht="14.25" customHeight="1" x14ac:dyDescent="0.25">
      <c r="A22" s="99"/>
      <c r="B22" s="99" t="s">
        <v>59</v>
      </c>
      <c r="C22" s="100" t="s">
        <v>203</v>
      </c>
      <c r="D22" s="100" t="s">
        <v>204</v>
      </c>
      <c r="E22" s="99"/>
      <c r="F22" s="102">
        <v>45831</v>
      </c>
      <c r="G22" s="102">
        <v>45834</v>
      </c>
      <c r="H22" s="105"/>
      <c r="I22" s="101">
        <v>0.29166666666666669</v>
      </c>
      <c r="J22" s="105"/>
      <c r="K22" s="105"/>
      <c r="L22" s="105"/>
      <c r="M22" s="105"/>
      <c r="N22" s="105"/>
      <c r="O22" s="99" t="s">
        <v>135</v>
      </c>
      <c r="P22" s="99" t="s">
        <v>141</v>
      </c>
      <c r="Q22" s="15">
        <v>45</v>
      </c>
      <c r="R22" s="15">
        <v>4</v>
      </c>
      <c r="S22" s="103"/>
      <c r="T22" s="103"/>
      <c r="U22" s="15"/>
      <c r="V22" s="15"/>
      <c r="W22" s="103"/>
      <c r="X22" s="99"/>
      <c r="Y22" s="71">
        <f ca="1">Table24[[#This Row],[End Date]]+2-TODAY()</f>
        <v>304</v>
      </c>
      <c r="Z22" s="15">
        <f>IF(ISBLANK(Table24[[#This Row],[Roster Received By]]),1,0)</f>
        <v>1</v>
      </c>
      <c r="AA22" s="15">
        <f ca="1">IF(Table24[[#This Row],[Start Date]]&gt;TODAY(),1,)</f>
        <v>1</v>
      </c>
    </row>
    <row r="23" spans="1:27" s="106" customFormat="1" ht="14.25" customHeight="1" x14ac:dyDescent="0.25">
      <c r="A23" s="62"/>
      <c r="B23" s="99" t="s">
        <v>59</v>
      </c>
      <c r="C23" s="100" t="s">
        <v>203</v>
      </c>
      <c r="D23" s="100" t="s">
        <v>204</v>
      </c>
      <c r="E23" s="99"/>
      <c r="F23" s="102">
        <v>45845</v>
      </c>
      <c r="G23" s="102">
        <v>45848</v>
      </c>
      <c r="H23" s="105"/>
      <c r="I23" s="101">
        <v>0.79166666666666663</v>
      </c>
      <c r="J23" s="105"/>
      <c r="K23" s="105"/>
      <c r="L23" s="105"/>
      <c r="M23" s="105"/>
      <c r="N23" s="105"/>
      <c r="O23" s="99" t="s">
        <v>135</v>
      </c>
      <c r="P23" s="99" t="s">
        <v>141</v>
      </c>
      <c r="Q23" s="15">
        <v>45</v>
      </c>
      <c r="R23" s="15">
        <v>4</v>
      </c>
      <c r="S23" s="15"/>
      <c r="T23" s="103"/>
      <c r="U23" s="15"/>
      <c r="V23" s="15"/>
      <c r="W23" s="15"/>
      <c r="X23" s="99"/>
      <c r="Y23" s="71">
        <f ca="1">Table24[[#This Row],[End Date]]+2-TODAY()</f>
        <v>318</v>
      </c>
      <c r="Z23" s="15">
        <f>IF(ISBLANK(Table24[[#This Row],[Roster Received By]]),1,0)</f>
        <v>1</v>
      </c>
      <c r="AA23" s="15">
        <f ca="1">IF(Table24[[#This Row],[Start Date]]&gt;TODAY(),1,)</f>
        <v>1</v>
      </c>
    </row>
    <row r="24" spans="1:27" s="138" customFormat="1" ht="14.25" customHeight="1" x14ac:dyDescent="0.25">
      <c r="A24" s="151" t="s">
        <v>418</v>
      </c>
      <c r="B24" s="152" t="s">
        <v>59</v>
      </c>
      <c r="C24" s="154" t="s">
        <v>203</v>
      </c>
      <c r="D24" s="154" t="s">
        <v>204</v>
      </c>
      <c r="E24" s="152"/>
      <c r="F24" s="155">
        <v>45859</v>
      </c>
      <c r="G24" s="155">
        <v>45862</v>
      </c>
      <c r="H24" s="158"/>
      <c r="I24" s="158">
        <v>0.33333333333333331</v>
      </c>
      <c r="J24" s="155"/>
      <c r="K24" s="155"/>
      <c r="L24" s="155"/>
      <c r="M24" s="155"/>
      <c r="N24" s="155"/>
      <c r="O24" s="152" t="s">
        <v>135</v>
      </c>
      <c r="P24" s="152" t="s">
        <v>141</v>
      </c>
      <c r="Q24" s="157">
        <v>45</v>
      </c>
      <c r="R24" s="157">
        <v>4</v>
      </c>
      <c r="S24" s="15"/>
      <c r="T24" s="103"/>
      <c r="U24" s="15"/>
      <c r="V24" s="15"/>
      <c r="W24" s="15"/>
      <c r="X24" s="99"/>
      <c r="Y24" s="71">
        <f ca="1">Table24[[#This Row],[End Date]]+2-TODAY()</f>
        <v>332</v>
      </c>
      <c r="Z24" s="15">
        <f>IF(ISBLANK(Table24[[#This Row],[Roster Received By]]),1,0)</f>
        <v>1</v>
      </c>
      <c r="AA24" s="15">
        <f ca="1">IF(Table24[[#This Row],[Start Date]]&gt;TODAY(),1,)</f>
        <v>1</v>
      </c>
    </row>
    <row r="25" spans="1:27" s="106" customFormat="1" ht="16.5" customHeight="1" x14ac:dyDescent="0.25">
      <c r="A25" s="100"/>
      <c r="B25" s="99" t="s">
        <v>59</v>
      </c>
      <c r="C25" s="100" t="s">
        <v>203</v>
      </c>
      <c r="D25" s="100" t="s">
        <v>204</v>
      </c>
      <c r="E25" s="99"/>
      <c r="F25" s="67">
        <v>45873</v>
      </c>
      <c r="G25" s="67">
        <v>45876</v>
      </c>
      <c r="H25" s="67"/>
      <c r="I25" s="101">
        <v>0.45833333333333331</v>
      </c>
      <c r="J25" s="101"/>
      <c r="K25" s="101"/>
      <c r="L25" s="101"/>
      <c r="M25" s="101"/>
      <c r="N25" s="101"/>
      <c r="O25" s="99" t="s">
        <v>135</v>
      </c>
      <c r="P25" s="99" t="s">
        <v>141</v>
      </c>
      <c r="Q25" s="15">
        <v>45</v>
      </c>
      <c r="R25" s="15">
        <v>4</v>
      </c>
      <c r="S25" s="107"/>
      <c r="T25" s="103"/>
      <c r="U25" s="15"/>
      <c r="V25" s="15"/>
      <c r="W25" s="15"/>
      <c r="X25" s="99"/>
      <c r="Y25" s="71">
        <f ca="1">Table24[[#This Row],[End Date]]+2-TODAY()</f>
        <v>346</v>
      </c>
      <c r="Z25" s="15">
        <f>IF(ISBLANK(Table24[[#This Row],[Roster Received By]]),1,0)</f>
        <v>1</v>
      </c>
      <c r="AA25" s="15">
        <f ca="1">IF(Table24[[#This Row],[Start Date]]&gt;TODAY(),1,)</f>
        <v>1</v>
      </c>
    </row>
    <row r="26" spans="1:27" s="106" customFormat="1" ht="16.5" customHeight="1" x14ac:dyDescent="0.25">
      <c r="A26" s="100"/>
      <c r="B26" s="99" t="s">
        <v>59</v>
      </c>
      <c r="C26" s="100" t="s">
        <v>203</v>
      </c>
      <c r="D26" s="100" t="s">
        <v>204</v>
      </c>
      <c r="E26" s="99"/>
      <c r="F26" s="67">
        <v>45880</v>
      </c>
      <c r="G26" s="67">
        <v>45883</v>
      </c>
      <c r="H26" s="67"/>
      <c r="I26" s="101">
        <v>0.54166666666666663</v>
      </c>
      <c r="J26" s="101"/>
      <c r="K26" s="101"/>
      <c r="L26" s="101"/>
      <c r="M26" s="101"/>
      <c r="N26" s="101"/>
      <c r="O26" s="99" t="s">
        <v>135</v>
      </c>
      <c r="P26" s="99" t="s">
        <v>141</v>
      </c>
      <c r="Q26" s="15">
        <v>45</v>
      </c>
      <c r="R26" s="15">
        <v>4</v>
      </c>
      <c r="S26" s="231"/>
      <c r="T26" s="103"/>
      <c r="U26" s="15"/>
      <c r="V26" s="15"/>
      <c r="W26" s="15"/>
      <c r="X26" s="99"/>
      <c r="Y26" s="71">
        <f ca="1">Table24[[#This Row],[End Date]]+2-TODAY()</f>
        <v>353</v>
      </c>
      <c r="Z26" s="15">
        <f>IF(ISBLANK(Table24[[#This Row],[Roster Received By]]),1,0)</f>
        <v>1</v>
      </c>
      <c r="AA26" s="15">
        <f ca="1">IF(Table24[[#This Row],[Start Date]]&gt;TODAY(),1,)</f>
        <v>1</v>
      </c>
    </row>
    <row r="27" spans="1:27" s="106" customFormat="1" ht="16.5" customHeight="1" x14ac:dyDescent="0.25">
      <c r="A27" s="62"/>
      <c r="B27" s="99" t="s">
        <v>59</v>
      </c>
      <c r="C27" s="100" t="s">
        <v>203</v>
      </c>
      <c r="D27" s="100" t="s">
        <v>204</v>
      </c>
      <c r="E27" s="99"/>
      <c r="F27" s="67">
        <v>45887</v>
      </c>
      <c r="G27" s="67">
        <v>45890</v>
      </c>
      <c r="H27" s="67"/>
      <c r="I27" s="101">
        <v>0.41666666666666669</v>
      </c>
      <c r="J27" s="101"/>
      <c r="K27" s="101"/>
      <c r="L27" s="101"/>
      <c r="M27" s="101"/>
      <c r="N27" s="101"/>
      <c r="O27" s="99" t="s">
        <v>135</v>
      </c>
      <c r="P27" s="99" t="s">
        <v>141</v>
      </c>
      <c r="Q27" s="15">
        <v>45</v>
      </c>
      <c r="R27" s="15">
        <v>4</v>
      </c>
      <c r="S27" s="15"/>
      <c r="T27" s="103"/>
      <c r="U27" s="15"/>
      <c r="V27" s="15"/>
      <c r="W27" s="15"/>
      <c r="X27" s="99"/>
      <c r="Y27" s="71">
        <f ca="1">Table24[[#This Row],[End Date]]+2-TODAY()</f>
        <v>360</v>
      </c>
      <c r="Z27" s="15">
        <f>IF(ISBLANK(Table24[[#This Row],[Roster Received By]]),1,0)</f>
        <v>1</v>
      </c>
      <c r="AA27" s="15">
        <f ca="1">IF(Table24[[#This Row],[Start Date]]&gt;TODAY(),1,)</f>
        <v>1</v>
      </c>
    </row>
    <row r="28" spans="1:27" s="106" customFormat="1" ht="14.25" customHeight="1" x14ac:dyDescent="0.25">
      <c r="A28" s="62"/>
      <c r="B28" s="99" t="s">
        <v>59</v>
      </c>
      <c r="C28" s="100" t="s">
        <v>203</v>
      </c>
      <c r="D28" s="100" t="s">
        <v>204</v>
      </c>
      <c r="E28" s="99"/>
      <c r="F28" s="67">
        <v>45902</v>
      </c>
      <c r="G28" s="67">
        <v>45905</v>
      </c>
      <c r="H28" s="67"/>
      <c r="I28" s="101">
        <v>0.33333333333333331</v>
      </c>
      <c r="J28" s="101"/>
      <c r="K28" s="101"/>
      <c r="L28" s="101"/>
      <c r="M28" s="101"/>
      <c r="N28" s="101"/>
      <c r="O28" s="99" t="s">
        <v>135</v>
      </c>
      <c r="P28" s="99" t="s">
        <v>141</v>
      </c>
      <c r="Q28" s="15">
        <v>45</v>
      </c>
      <c r="R28" s="15">
        <v>4</v>
      </c>
      <c r="S28" s="15"/>
      <c r="T28" s="103"/>
      <c r="U28" s="15"/>
      <c r="V28" s="15"/>
      <c r="W28" s="15"/>
      <c r="X28" s="99"/>
      <c r="Y28" s="71">
        <f ca="1">Table24[[#This Row],[End Date]]+2-TODAY()</f>
        <v>375</v>
      </c>
      <c r="Z28" s="15">
        <f>IF(ISBLANK(Table24[[#This Row],[Roster Received By]]),1,0)</f>
        <v>1</v>
      </c>
      <c r="AA28" s="15">
        <f ca="1">IF(Table24[[#This Row],[Start Date]]&gt;TODAY(),1,)</f>
        <v>1</v>
      </c>
    </row>
    <row r="29" spans="1:27" s="106" customFormat="1" ht="14.25" customHeight="1" x14ac:dyDescent="0.25">
      <c r="A29" s="62"/>
      <c r="B29" s="99" t="s">
        <v>59</v>
      </c>
      <c r="C29" s="100" t="s">
        <v>203</v>
      </c>
      <c r="D29" s="100" t="s">
        <v>204</v>
      </c>
      <c r="E29" s="99"/>
      <c r="F29" s="102">
        <v>45915</v>
      </c>
      <c r="G29" s="102">
        <v>45918</v>
      </c>
      <c r="H29" s="102"/>
      <c r="I29" s="101">
        <v>0.54166666666666663</v>
      </c>
      <c r="J29" s="101"/>
      <c r="K29" s="101"/>
      <c r="L29" s="101"/>
      <c r="M29" s="101"/>
      <c r="N29" s="101"/>
      <c r="O29" s="99" t="s">
        <v>135</v>
      </c>
      <c r="P29" s="99" t="s">
        <v>141</v>
      </c>
      <c r="Q29" s="15">
        <v>45</v>
      </c>
      <c r="R29" s="15">
        <v>4</v>
      </c>
      <c r="S29" s="15"/>
      <c r="T29" s="103"/>
      <c r="U29" s="15"/>
      <c r="V29" s="15"/>
      <c r="W29" s="15"/>
      <c r="X29" s="99"/>
      <c r="Y29" s="71">
        <f ca="1">Table24[[#This Row],[End Date]]+2-TODAY()</f>
        <v>388</v>
      </c>
      <c r="Z29" s="15">
        <f>IF(ISBLANK(Table24[[#This Row],[Roster Received By]]),1,0)</f>
        <v>1</v>
      </c>
      <c r="AA29" s="15">
        <f ca="1">IF(Table24[[#This Row],[Start Date]]&gt;TODAY(),1,)</f>
        <v>1</v>
      </c>
    </row>
    <row r="30" spans="1:27" s="106" customFormat="1" ht="14.25" customHeight="1" x14ac:dyDescent="0.25">
      <c r="A30" s="62"/>
      <c r="B30" s="99" t="s">
        <v>59</v>
      </c>
      <c r="C30" s="100" t="s">
        <v>203</v>
      </c>
      <c r="D30" s="100" t="s">
        <v>204</v>
      </c>
      <c r="E30" s="99"/>
      <c r="F30" s="67">
        <v>45929</v>
      </c>
      <c r="G30" s="67">
        <v>45932</v>
      </c>
      <c r="H30" s="67"/>
      <c r="I30" s="101">
        <v>0.33333333333333331</v>
      </c>
      <c r="J30" s="101"/>
      <c r="K30" s="101"/>
      <c r="L30" s="101"/>
      <c r="M30" s="101"/>
      <c r="N30" s="101"/>
      <c r="O30" s="99" t="s">
        <v>135</v>
      </c>
      <c r="P30" s="99" t="s">
        <v>141</v>
      </c>
      <c r="Q30" s="15">
        <v>45</v>
      </c>
      <c r="R30" s="15">
        <v>4</v>
      </c>
      <c r="S30" s="15"/>
      <c r="T30" s="103"/>
      <c r="U30" s="15"/>
      <c r="V30" s="15"/>
      <c r="W30" s="100"/>
      <c r="X30" s="99"/>
      <c r="Y30" s="71">
        <f ca="1">Table24[[#This Row],[End Date]]+2-TODAY()</f>
        <v>402</v>
      </c>
      <c r="Z30" s="15">
        <f>IF(ISBLANK(Table24[[#This Row],[Roster Received By]]),1,0)</f>
        <v>1</v>
      </c>
      <c r="AA30" s="15">
        <f ca="1">IF(Table24[[#This Row],[Start Date]]&gt;TODAY(),1,)</f>
        <v>1</v>
      </c>
    </row>
    <row r="31" spans="1:27" s="106" customFormat="1" ht="16.5" customHeight="1" x14ac:dyDescent="0.25">
      <c r="A31" s="62"/>
      <c r="B31" s="99" t="s">
        <v>61</v>
      </c>
      <c r="C31" s="100" t="s">
        <v>214</v>
      </c>
      <c r="D31" s="100">
        <v>1228</v>
      </c>
      <c r="E31" s="99"/>
      <c r="F31" s="67">
        <v>45566</v>
      </c>
      <c r="G31" s="67">
        <v>45569</v>
      </c>
      <c r="H31" s="67"/>
      <c r="I31" s="108">
        <v>0.41666666666666669</v>
      </c>
      <c r="J31" s="101"/>
      <c r="K31" s="101"/>
      <c r="L31" s="101"/>
      <c r="M31" s="101"/>
      <c r="N31" s="101"/>
      <c r="O31" s="99" t="s">
        <v>141</v>
      </c>
      <c r="P31" s="99" t="s">
        <v>135</v>
      </c>
      <c r="Q31" s="15">
        <v>45</v>
      </c>
      <c r="R31" s="228">
        <v>5</v>
      </c>
      <c r="S31" s="15"/>
      <c r="T31" s="103"/>
      <c r="U31" s="15"/>
      <c r="V31" s="15"/>
      <c r="W31" s="15"/>
      <c r="X31" s="99"/>
      <c r="Y31" s="71">
        <f ca="1">Table24[[#This Row],[End Date]]+2-TODAY()</f>
        <v>39</v>
      </c>
      <c r="Z31" s="15">
        <f>IF(ISBLANK(Table24[[#This Row],[Roster Received By]]),1,0)</f>
        <v>1</v>
      </c>
      <c r="AA31" s="15">
        <f ca="1">IF(Table24[[#This Row],[Start Date]]&gt;TODAY(),1,)</f>
        <v>1</v>
      </c>
    </row>
    <row r="32" spans="1:27" s="106" customFormat="1" ht="16.5" customHeight="1" x14ac:dyDescent="0.25">
      <c r="A32" s="62"/>
      <c r="B32" s="99" t="s">
        <v>61</v>
      </c>
      <c r="C32" s="100" t="s">
        <v>214</v>
      </c>
      <c r="D32" s="100">
        <v>1228</v>
      </c>
      <c r="E32" s="65"/>
      <c r="F32" s="102">
        <v>45580</v>
      </c>
      <c r="G32" s="102">
        <v>45583</v>
      </c>
      <c r="H32" s="105"/>
      <c r="I32" s="101">
        <v>1300.5416666666667</v>
      </c>
      <c r="J32" s="102"/>
      <c r="K32" s="102"/>
      <c r="L32" s="102"/>
      <c r="M32" s="102"/>
      <c r="N32" s="102"/>
      <c r="O32" s="99" t="s">
        <v>141</v>
      </c>
      <c r="P32" s="99" t="s">
        <v>135</v>
      </c>
      <c r="Q32" s="15">
        <v>45</v>
      </c>
      <c r="R32" s="228">
        <v>5</v>
      </c>
      <c r="S32" s="15"/>
      <c r="T32" s="103"/>
      <c r="U32" s="15"/>
      <c r="V32" s="15"/>
      <c r="W32" s="15"/>
      <c r="X32" s="99"/>
      <c r="Y32" s="71">
        <f ca="1">Table24[[#This Row],[End Date]]+2-TODAY()</f>
        <v>53</v>
      </c>
      <c r="Z32" s="15">
        <f>IF(ISBLANK(Table24[[#This Row],[Roster Received By]]),1,0)</f>
        <v>1</v>
      </c>
      <c r="AA32" s="15">
        <f ca="1">IF(Table24[[#This Row],[Start Date]]&gt;TODAY(),1,)</f>
        <v>1</v>
      </c>
    </row>
    <row r="33" spans="1:27" s="106" customFormat="1" ht="14.25" customHeight="1" x14ac:dyDescent="0.25">
      <c r="A33" s="62"/>
      <c r="B33" s="99" t="s">
        <v>61</v>
      </c>
      <c r="C33" s="100" t="s">
        <v>214</v>
      </c>
      <c r="D33" s="100">
        <v>1228</v>
      </c>
      <c r="E33" s="99"/>
      <c r="F33" s="110">
        <v>45593</v>
      </c>
      <c r="G33" s="110">
        <v>45596</v>
      </c>
      <c r="H33" s="108"/>
      <c r="I33" s="105">
        <v>800.33333333333337</v>
      </c>
      <c r="J33" s="102"/>
      <c r="K33" s="102"/>
      <c r="L33" s="102"/>
      <c r="M33" s="102"/>
      <c r="N33" s="102"/>
      <c r="O33" s="99" t="s">
        <v>141</v>
      </c>
      <c r="P33" s="99" t="s">
        <v>135</v>
      </c>
      <c r="Q33" s="15">
        <v>45</v>
      </c>
      <c r="R33" s="228">
        <v>5</v>
      </c>
      <c r="S33" s="103"/>
      <c r="T33" s="103"/>
      <c r="U33" s="15"/>
      <c r="V33" s="15"/>
      <c r="W33" s="15"/>
      <c r="X33" s="99"/>
      <c r="Y33" s="71">
        <f ca="1">Table24[[#This Row],[End Date]]+2-TODAY()</f>
        <v>66</v>
      </c>
      <c r="Z33" s="15">
        <f>IF(ISBLANK(Table24[[#This Row],[Roster Received By]]),1,0)</f>
        <v>1</v>
      </c>
      <c r="AA33" s="15">
        <f ca="1">IF(Table24[[#This Row],[Start Date]]&gt;TODAY(),1,)</f>
        <v>1</v>
      </c>
    </row>
    <row r="34" spans="1:27" s="106" customFormat="1" ht="14.25" customHeight="1" x14ac:dyDescent="0.25">
      <c r="A34" s="62"/>
      <c r="B34" s="99" t="s">
        <v>61</v>
      </c>
      <c r="C34" s="100" t="s">
        <v>214</v>
      </c>
      <c r="D34" s="100">
        <v>1228</v>
      </c>
      <c r="E34" s="99"/>
      <c r="F34" s="102">
        <v>45600</v>
      </c>
      <c r="G34" s="102">
        <v>45603</v>
      </c>
      <c r="H34" s="105"/>
      <c r="I34" s="101">
        <v>1000.4166666666666</v>
      </c>
      <c r="J34" s="105"/>
      <c r="K34" s="105"/>
      <c r="L34" s="105"/>
      <c r="M34" s="105"/>
      <c r="N34" s="105"/>
      <c r="O34" s="99" t="s">
        <v>141</v>
      </c>
      <c r="P34" s="99" t="s">
        <v>135</v>
      </c>
      <c r="Q34" s="15">
        <v>45</v>
      </c>
      <c r="R34" s="228">
        <v>5</v>
      </c>
      <c r="S34" s="15"/>
      <c r="T34" s="103"/>
      <c r="U34" s="15"/>
      <c r="V34" s="15"/>
      <c r="W34" s="15"/>
      <c r="X34" s="99"/>
      <c r="Y34" s="71">
        <f ca="1">Table24[[#This Row],[End Date]]+2-TODAY()</f>
        <v>73</v>
      </c>
      <c r="Z34" s="15">
        <f>IF(ISBLANK(Table24[[#This Row],[Roster Received By]]),1,0)</f>
        <v>1</v>
      </c>
      <c r="AA34" s="15">
        <f ca="1">IF(Table24[[#This Row],[Start Date]]&gt;TODAY(),1,)</f>
        <v>1</v>
      </c>
    </row>
    <row r="35" spans="1:27" s="106" customFormat="1" ht="14.25" customHeight="1" x14ac:dyDescent="0.25">
      <c r="A35" s="62"/>
      <c r="B35" s="99" t="s">
        <v>61</v>
      </c>
      <c r="C35" s="100" t="s">
        <v>214</v>
      </c>
      <c r="D35" s="100">
        <v>1228</v>
      </c>
      <c r="E35" s="99"/>
      <c r="F35" s="102">
        <v>45979</v>
      </c>
      <c r="G35" s="102">
        <v>45982</v>
      </c>
      <c r="H35" s="105"/>
      <c r="I35" s="108">
        <v>700.29166666666663</v>
      </c>
      <c r="J35" s="105"/>
      <c r="K35" s="105"/>
      <c r="L35" s="105"/>
      <c r="M35" s="105"/>
      <c r="N35" s="105"/>
      <c r="O35" s="99" t="s">
        <v>141</v>
      </c>
      <c r="P35" s="99" t="s">
        <v>135</v>
      </c>
      <c r="Q35" s="15">
        <v>45</v>
      </c>
      <c r="R35" s="228">
        <v>5</v>
      </c>
      <c r="S35" s="103"/>
      <c r="T35" s="103"/>
      <c r="U35" s="15"/>
      <c r="V35" s="15"/>
      <c r="W35" s="15"/>
      <c r="X35" s="99"/>
      <c r="Y35" s="71">
        <f ca="1">Table24[[#This Row],[End Date]]+2-TODAY()</f>
        <v>452</v>
      </c>
      <c r="Z35" s="15">
        <f>IF(ISBLANK(Table24[[#This Row],[Roster Received By]]),1,0)</f>
        <v>1</v>
      </c>
      <c r="AA35" s="15">
        <f ca="1">IF(Table24[[#This Row],[Start Date]]&gt;TODAY(),1,)</f>
        <v>1</v>
      </c>
    </row>
    <row r="36" spans="1:27" s="106" customFormat="1" ht="14.25" customHeight="1" x14ac:dyDescent="0.25">
      <c r="A36" s="62"/>
      <c r="B36" s="99" t="s">
        <v>61</v>
      </c>
      <c r="C36" s="100" t="s">
        <v>214</v>
      </c>
      <c r="D36" s="100">
        <v>1228</v>
      </c>
      <c r="E36" s="99"/>
      <c r="F36" s="102">
        <v>46000</v>
      </c>
      <c r="G36" s="102">
        <v>46003</v>
      </c>
      <c r="H36" s="105"/>
      <c r="I36" s="101">
        <v>0.33333333333333331</v>
      </c>
      <c r="J36" s="102"/>
      <c r="K36" s="102"/>
      <c r="L36" s="102"/>
      <c r="M36" s="102"/>
      <c r="N36" s="102"/>
      <c r="O36" s="99" t="s">
        <v>141</v>
      </c>
      <c r="P36" s="99" t="s">
        <v>135</v>
      </c>
      <c r="Q36" s="15">
        <v>45</v>
      </c>
      <c r="R36" s="228">
        <v>5</v>
      </c>
      <c r="S36" s="15"/>
      <c r="T36" s="103"/>
      <c r="U36" s="15"/>
      <c r="V36" s="15"/>
      <c r="W36" s="15"/>
      <c r="X36" s="99"/>
      <c r="Y36" s="71">
        <f ca="1">Table24[[#This Row],[End Date]]+2-TODAY()</f>
        <v>473</v>
      </c>
      <c r="Z36" s="15">
        <f>IF(ISBLANK(Table24[[#This Row],[Roster Received By]]),1,0)</f>
        <v>1</v>
      </c>
      <c r="AA36" s="15">
        <f ca="1">IF(Table24[[#This Row],[Start Date]]&gt;TODAY(),1,)</f>
        <v>1</v>
      </c>
    </row>
    <row r="37" spans="1:27" s="139" customFormat="1" ht="14.25" customHeight="1" x14ac:dyDescent="0.25">
      <c r="A37" s="62"/>
      <c r="B37" s="99" t="s">
        <v>61</v>
      </c>
      <c r="C37" s="100" t="s">
        <v>214</v>
      </c>
      <c r="D37" s="100" t="s">
        <v>226</v>
      </c>
      <c r="E37" s="99"/>
      <c r="F37" s="102">
        <v>45684</v>
      </c>
      <c r="G37" s="102">
        <v>45321</v>
      </c>
      <c r="H37" s="102"/>
      <c r="I37" s="101">
        <v>1300.5416666666667</v>
      </c>
      <c r="J37" s="101"/>
      <c r="K37" s="101"/>
      <c r="L37" s="101"/>
      <c r="M37" s="101"/>
      <c r="N37" s="101"/>
      <c r="O37" s="99" t="s">
        <v>141</v>
      </c>
      <c r="P37" s="99" t="s">
        <v>135</v>
      </c>
      <c r="Q37" s="15">
        <v>45</v>
      </c>
      <c r="R37" s="228">
        <v>5</v>
      </c>
      <c r="S37" s="15"/>
      <c r="T37" s="103"/>
      <c r="U37" s="15"/>
      <c r="V37" s="15"/>
      <c r="W37" s="15"/>
      <c r="X37" s="99"/>
      <c r="Y37" s="71">
        <f ca="1">Table24[[#This Row],[End Date]]+2-TODAY()</f>
        <v>-209</v>
      </c>
      <c r="Z37" s="15">
        <f>IF(ISBLANK(Table24[[#This Row],[Roster Received By]]),1,0)</f>
        <v>1</v>
      </c>
      <c r="AA37" s="15">
        <f ca="1">IF(Table24[[#This Row],[Start Date]]&gt;TODAY(),1,)</f>
        <v>1</v>
      </c>
    </row>
    <row r="38" spans="1:27" s="135" customFormat="1" ht="14.25" customHeight="1" x14ac:dyDescent="0.25">
      <c r="A38" s="62"/>
      <c r="B38" s="99" t="s">
        <v>61</v>
      </c>
      <c r="C38" s="100" t="s">
        <v>214</v>
      </c>
      <c r="D38" s="100">
        <v>1228</v>
      </c>
      <c r="E38" s="99"/>
      <c r="F38" s="102">
        <v>45698</v>
      </c>
      <c r="G38" s="102">
        <v>45701</v>
      </c>
      <c r="H38" s="102"/>
      <c r="I38" s="101">
        <v>800.33333333333337</v>
      </c>
      <c r="J38" s="101"/>
      <c r="K38" s="101"/>
      <c r="L38" s="101"/>
      <c r="M38" s="101"/>
      <c r="N38" s="101"/>
      <c r="O38" s="99" t="s">
        <v>141</v>
      </c>
      <c r="P38" s="99" t="s">
        <v>135</v>
      </c>
      <c r="Q38" s="15">
        <v>45</v>
      </c>
      <c r="R38" s="228">
        <v>5</v>
      </c>
      <c r="S38" s="15"/>
      <c r="T38" s="103"/>
      <c r="U38" s="15"/>
      <c r="V38" s="15"/>
      <c r="W38" s="103"/>
      <c r="X38" s="99"/>
      <c r="Y38" s="71">
        <f ca="1">Table24[[#This Row],[End Date]]+2-TODAY()</f>
        <v>171</v>
      </c>
      <c r="Z38" s="15">
        <f>IF(ISBLANK(Table24[[#This Row],[Roster Received By]]),1,0)</f>
        <v>1</v>
      </c>
      <c r="AA38" s="15">
        <f ca="1">IF(Table24[[#This Row],[Start Date]]&gt;TODAY(),1,)</f>
        <v>1</v>
      </c>
    </row>
    <row r="39" spans="1:27" s="135" customFormat="1" ht="14.25" customHeight="1" x14ac:dyDescent="0.25">
      <c r="A39" s="62"/>
      <c r="B39" s="99" t="s">
        <v>61</v>
      </c>
      <c r="C39" s="100" t="s">
        <v>214</v>
      </c>
      <c r="D39" s="100" t="s">
        <v>229</v>
      </c>
      <c r="E39" s="65"/>
      <c r="F39" s="102">
        <v>45712</v>
      </c>
      <c r="G39" s="102">
        <v>45715</v>
      </c>
      <c r="H39" s="108"/>
      <c r="I39" s="101">
        <v>1900.7916666666667</v>
      </c>
      <c r="J39" s="102"/>
      <c r="K39" s="102"/>
      <c r="L39" s="102"/>
      <c r="M39" s="102"/>
      <c r="N39" s="102"/>
      <c r="O39" s="99" t="s">
        <v>141</v>
      </c>
      <c r="P39" s="99" t="s">
        <v>135</v>
      </c>
      <c r="Q39" s="15">
        <v>45</v>
      </c>
      <c r="R39" s="228">
        <v>5</v>
      </c>
      <c r="S39" s="15"/>
      <c r="T39" s="103"/>
      <c r="U39" s="15"/>
      <c r="V39" s="15"/>
      <c r="W39" s="103"/>
      <c r="X39" s="99"/>
      <c r="Y39" s="71">
        <f ca="1">Table24[[#This Row],[End Date]]+2-TODAY()</f>
        <v>185</v>
      </c>
      <c r="Z39" s="15">
        <f>IF(ISBLANK(Table24[[#This Row],[Roster Received By]]),1,0)</f>
        <v>1</v>
      </c>
      <c r="AA39" s="15">
        <f ca="1">IF(Table24[[#This Row],[Start Date]]&gt;TODAY(),1,)</f>
        <v>1</v>
      </c>
    </row>
    <row r="40" spans="1:27" s="106" customFormat="1" ht="14.25" customHeight="1" x14ac:dyDescent="0.25">
      <c r="A40" s="62"/>
      <c r="B40" s="99" t="s">
        <v>61</v>
      </c>
      <c r="C40" s="100" t="s">
        <v>214</v>
      </c>
      <c r="D40" s="100">
        <v>1228</v>
      </c>
      <c r="E40" s="99"/>
      <c r="F40" s="102">
        <v>45726</v>
      </c>
      <c r="G40" s="102">
        <v>45729</v>
      </c>
      <c r="H40" s="102"/>
      <c r="I40" s="101">
        <v>700.29166666666663</v>
      </c>
      <c r="J40" s="101"/>
      <c r="K40" s="101"/>
      <c r="L40" s="101"/>
      <c r="M40" s="101"/>
      <c r="N40" s="101"/>
      <c r="O40" s="99" t="s">
        <v>141</v>
      </c>
      <c r="P40" s="99" t="s">
        <v>135</v>
      </c>
      <c r="Q40" s="15">
        <v>45</v>
      </c>
      <c r="R40" s="228">
        <v>5</v>
      </c>
      <c r="S40" s="15"/>
      <c r="T40" s="103"/>
      <c r="U40" s="15"/>
      <c r="V40" s="15"/>
      <c r="W40" s="15"/>
      <c r="X40" s="99"/>
      <c r="Y40" s="71">
        <f ca="1">Table24[[#This Row],[End Date]]+2-TODAY()</f>
        <v>199</v>
      </c>
      <c r="Z40" s="15">
        <f>IF(ISBLANK(Table24[[#This Row],[Roster Received By]]),1,0)</f>
        <v>1</v>
      </c>
      <c r="AA40" s="15">
        <f ca="1">IF(Table24[[#This Row],[Start Date]]&gt;TODAY(),1,)</f>
        <v>1</v>
      </c>
    </row>
    <row r="41" spans="1:27" s="106" customFormat="1" ht="14.25" customHeight="1" x14ac:dyDescent="0.25">
      <c r="A41" s="62"/>
      <c r="B41" s="99" t="s">
        <v>61</v>
      </c>
      <c r="C41" s="100" t="s">
        <v>214</v>
      </c>
      <c r="D41" s="100">
        <v>1228</v>
      </c>
      <c r="E41" s="99"/>
      <c r="F41" s="102">
        <v>45740</v>
      </c>
      <c r="G41" s="102">
        <v>45743</v>
      </c>
      <c r="H41" s="102"/>
      <c r="I41" s="101">
        <v>0.33333333333333331</v>
      </c>
      <c r="J41" s="101"/>
      <c r="K41" s="101"/>
      <c r="L41" s="101"/>
      <c r="M41" s="101"/>
      <c r="N41" s="101"/>
      <c r="O41" s="99" t="s">
        <v>141</v>
      </c>
      <c r="P41" s="99" t="s">
        <v>135</v>
      </c>
      <c r="Q41" s="15">
        <v>45</v>
      </c>
      <c r="R41" s="228">
        <v>5</v>
      </c>
      <c r="S41" s="15"/>
      <c r="T41" s="103"/>
      <c r="U41" s="15"/>
      <c r="V41" s="15"/>
      <c r="W41" s="15"/>
      <c r="X41" s="99"/>
      <c r="Y41" s="71">
        <f ca="1">Table24[[#This Row],[End Date]]+2-TODAY()</f>
        <v>213</v>
      </c>
      <c r="Z41" s="15">
        <f>IF(ISBLANK(Table24[[#This Row],[Roster Received By]]),1,0)</f>
        <v>1</v>
      </c>
      <c r="AA41" s="15">
        <f ca="1">IF(Table24[[#This Row],[Start Date]]&gt;TODAY(),1,)</f>
        <v>1</v>
      </c>
    </row>
    <row r="42" spans="1:27" s="106" customFormat="1" ht="14.25" customHeight="1" x14ac:dyDescent="0.25">
      <c r="A42" s="62"/>
      <c r="B42" s="99" t="s">
        <v>61</v>
      </c>
      <c r="C42" s="100" t="s">
        <v>214</v>
      </c>
      <c r="D42" s="100">
        <v>1228</v>
      </c>
      <c r="E42" s="99"/>
      <c r="F42" s="102">
        <v>45754</v>
      </c>
      <c r="G42" s="102">
        <v>45757</v>
      </c>
      <c r="H42" s="108"/>
      <c r="I42" s="105">
        <v>1100.4583333333333</v>
      </c>
      <c r="J42" s="102"/>
      <c r="K42" s="102"/>
      <c r="L42" s="102"/>
      <c r="M42" s="102"/>
      <c r="N42" s="102"/>
      <c r="O42" s="99" t="s">
        <v>141</v>
      </c>
      <c r="P42" s="99" t="s">
        <v>135</v>
      </c>
      <c r="Q42" s="15">
        <v>45</v>
      </c>
      <c r="R42" s="228">
        <v>5</v>
      </c>
      <c r="S42" s="15"/>
      <c r="T42" s="103"/>
      <c r="U42" s="15"/>
      <c r="V42" s="15"/>
      <c r="W42" s="15"/>
      <c r="X42" s="99"/>
      <c r="Y42" s="71">
        <f ca="1">Table24[[#This Row],[End Date]]+2-TODAY()</f>
        <v>227</v>
      </c>
      <c r="Z42" s="15">
        <f>IF(ISBLANK(Table24[[#This Row],[Roster Received By]]),1,0)</f>
        <v>1</v>
      </c>
      <c r="AA42" s="15">
        <f ca="1">IF(Table24[[#This Row],[Start Date]]&gt;TODAY(),1,)</f>
        <v>1</v>
      </c>
    </row>
    <row r="43" spans="1:27" s="106" customFormat="1" ht="14.25" customHeight="1" x14ac:dyDescent="0.25">
      <c r="A43" s="99"/>
      <c r="B43" s="99" t="s">
        <v>61</v>
      </c>
      <c r="C43" s="100" t="s">
        <v>214</v>
      </c>
      <c r="D43" s="100">
        <v>1228</v>
      </c>
      <c r="E43" s="99"/>
      <c r="F43" s="102">
        <v>45775</v>
      </c>
      <c r="G43" s="102">
        <v>45778</v>
      </c>
      <c r="H43" s="102"/>
      <c r="I43" s="101">
        <v>0.33333333333333331</v>
      </c>
      <c r="J43" s="101"/>
      <c r="K43" s="101"/>
      <c r="L43" s="101"/>
      <c r="M43" s="101"/>
      <c r="N43" s="101"/>
      <c r="O43" s="99" t="s">
        <v>141</v>
      </c>
      <c r="P43" s="99" t="s">
        <v>135</v>
      </c>
      <c r="Q43" s="15">
        <v>45</v>
      </c>
      <c r="R43" s="228">
        <v>5</v>
      </c>
      <c r="S43" s="15"/>
      <c r="T43" s="103"/>
      <c r="U43" s="15"/>
      <c r="V43" s="15"/>
      <c r="W43" s="15"/>
      <c r="X43" s="99"/>
      <c r="Y43" s="71">
        <f ca="1">Table24[[#This Row],[End Date]]+2-TODAY()</f>
        <v>248</v>
      </c>
      <c r="Z43" s="15">
        <f>IF(ISBLANK(Table24[[#This Row],[Roster Received By]]),1,0)</f>
        <v>1</v>
      </c>
      <c r="AA43" s="15">
        <f ca="1">IF(Table24[[#This Row],[Start Date]]&gt;TODAY(),1,)</f>
        <v>1</v>
      </c>
    </row>
    <row r="44" spans="1:27" s="106" customFormat="1" ht="16.5" customHeight="1" x14ac:dyDescent="0.25">
      <c r="A44" s="65"/>
      <c r="B44" s="99" t="s">
        <v>61</v>
      </c>
      <c r="C44" s="100" t="s">
        <v>214</v>
      </c>
      <c r="D44" s="100">
        <v>1228</v>
      </c>
      <c r="E44" s="99"/>
      <c r="F44" s="102">
        <v>45782</v>
      </c>
      <c r="G44" s="102">
        <v>45785</v>
      </c>
      <c r="H44" s="105"/>
      <c r="I44" s="101">
        <v>0.33333333333333331</v>
      </c>
      <c r="J44" s="105"/>
      <c r="K44" s="105"/>
      <c r="L44" s="105"/>
      <c r="M44" s="105"/>
      <c r="N44" s="105"/>
      <c r="O44" s="99" t="s">
        <v>141</v>
      </c>
      <c r="P44" s="99" t="s">
        <v>135</v>
      </c>
      <c r="Q44" s="15">
        <v>45</v>
      </c>
      <c r="R44" s="228">
        <v>5</v>
      </c>
      <c r="S44" s="103"/>
      <c r="T44" s="103"/>
      <c r="U44" s="15"/>
      <c r="V44" s="15"/>
      <c r="W44" s="15"/>
      <c r="X44" s="99"/>
      <c r="Y44" s="71">
        <f ca="1">Table24[[#This Row],[End Date]]+2-TODAY()</f>
        <v>255</v>
      </c>
      <c r="Z44" s="15">
        <f>IF(ISBLANK(Table24[[#This Row],[Roster Received By]]),1,0)</f>
        <v>1</v>
      </c>
      <c r="AA44" s="15">
        <f ca="1">IF(Table24[[#This Row],[Start Date]]&gt;TODAY(),1,)</f>
        <v>1</v>
      </c>
    </row>
    <row r="45" spans="1:27" s="106" customFormat="1" ht="14.25" customHeight="1" x14ac:dyDescent="0.25">
      <c r="A45" s="62"/>
      <c r="B45" s="99" t="s">
        <v>61</v>
      </c>
      <c r="C45" s="100" t="s">
        <v>214</v>
      </c>
      <c r="D45" s="100">
        <v>1228</v>
      </c>
      <c r="E45" s="99"/>
      <c r="F45" s="102">
        <v>45796</v>
      </c>
      <c r="G45" s="102">
        <v>45799</v>
      </c>
      <c r="H45" s="102"/>
      <c r="I45" s="105">
        <v>0.54166666666666663</v>
      </c>
      <c r="J45" s="101"/>
      <c r="K45" s="101"/>
      <c r="L45" s="101"/>
      <c r="M45" s="101"/>
      <c r="N45" s="101"/>
      <c r="O45" s="99" t="s">
        <v>141</v>
      </c>
      <c r="P45" s="99" t="s">
        <v>135</v>
      </c>
      <c r="Q45" s="15">
        <v>45</v>
      </c>
      <c r="R45" s="228">
        <v>5</v>
      </c>
      <c r="S45" s="15"/>
      <c r="T45" s="103"/>
      <c r="U45" s="15"/>
      <c r="V45" s="15"/>
      <c r="W45" s="15"/>
      <c r="X45" s="99"/>
      <c r="Y45" s="71">
        <f ca="1">Table24[[#This Row],[End Date]]+2-TODAY()</f>
        <v>269</v>
      </c>
      <c r="Z45" s="15">
        <f>IF(ISBLANK(Table24[[#This Row],[Roster Received By]]),1,0)</f>
        <v>1</v>
      </c>
      <c r="AA45" s="15">
        <f ca="1">IF(Table24[[#This Row],[Start Date]]&gt;TODAY(),1,)</f>
        <v>1</v>
      </c>
    </row>
    <row r="46" spans="1:27" s="106" customFormat="1" ht="16.5" customHeight="1" x14ac:dyDescent="0.25">
      <c r="A46" s="99"/>
      <c r="B46" s="99" t="s">
        <v>61</v>
      </c>
      <c r="C46" s="100" t="s">
        <v>214</v>
      </c>
      <c r="D46" s="100">
        <v>1228</v>
      </c>
      <c r="E46" s="99"/>
      <c r="F46" s="102">
        <v>45817</v>
      </c>
      <c r="G46" s="102">
        <v>45820</v>
      </c>
      <c r="H46" s="102"/>
      <c r="I46" s="101">
        <v>0.29166666666666669</v>
      </c>
      <c r="J46" s="101"/>
      <c r="K46" s="101"/>
      <c r="L46" s="101"/>
      <c r="M46" s="101"/>
      <c r="N46" s="101"/>
      <c r="O46" s="99" t="s">
        <v>141</v>
      </c>
      <c r="P46" s="99" t="s">
        <v>135</v>
      </c>
      <c r="Q46" s="15">
        <v>45</v>
      </c>
      <c r="R46" s="228">
        <v>5</v>
      </c>
      <c r="S46" s="15"/>
      <c r="T46" s="103"/>
      <c r="U46" s="15"/>
      <c r="V46" s="15"/>
      <c r="W46" s="15"/>
      <c r="X46" s="99"/>
      <c r="Y46" s="71">
        <f ca="1">Table24[[#This Row],[End Date]]+2-TODAY()</f>
        <v>290</v>
      </c>
      <c r="Z46" s="15">
        <f>IF(ISBLANK(Table24[[#This Row],[Roster Received By]]),1,0)</f>
        <v>1</v>
      </c>
      <c r="AA46" s="15">
        <f ca="1">IF(Table24[[#This Row],[Start Date]]&gt;TODAY(),1,)</f>
        <v>1</v>
      </c>
    </row>
    <row r="47" spans="1:27" s="135" customFormat="1" ht="14.25" customHeight="1" x14ac:dyDescent="0.25">
      <c r="A47" s="62"/>
      <c r="B47" s="99" t="s">
        <v>61</v>
      </c>
      <c r="C47" s="100" t="s">
        <v>214</v>
      </c>
      <c r="D47" s="100">
        <v>1228</v>
      </c>
      <c r="E47" s="99"/>
      <c r="F47" s="102">
        <v>45831</v>
      </c>
      <c r="G47" s="102">
        <v>45834</v>
      </c>
      <c r="H47" s="102"/>
      <c r="I47" s="101">
        <v>0.79166666666666663</v>
      </c>
      <c r="J47" s="101"/>
      <c r="K47" s="101"/>
      <c r="L47" s="101"/>
      <c r="M47" s="101"/>
      <c r="N47" s="101"/>
      <c r="O47" s="99" t="s">
        <v>141</v>
      </c>
      <c r="P47" s="99" t="s">
        <v>135</v>
      </c>
      <c r="Q47" s="15">
        <v>45</v>
      </c>
      <c r="R47" s="228">
        <v>5</v>
      </c>
      <c r="S47" s="15"/>
      <c r="T47" s="103"/>
      <c r="U47" s="15"/>
      <c r="V47" s="15"/>
      <c r="W47" s="100"/>
      <c r="X47" s="99"/>
      <c r="Y47" s="71">
        <f ca="1">Table24[[#This Row],[End Date]]+2-TODAY()</f>
        <v>304</v>
      </c>
      <c r="Z47" s="15">
        <f>IF(ISBLANK(Table24[[#This Row],[Roster Received By]]),1,0)</f>
        <v>1</v>
      </c>
      <c r="AA47" s="15">
        <f ca="1">IF(Table24[[#This Row],[Start Date]]&gt;TODAY(),1,)</f>
        <v>1</v>
      </c>
    </row>
    <row r="48" spans="1:27" s="106" customFormat="1" ht="14.25" customHeight="1" x14ac:dyDescent="0.25">
      <c r="A48" s="99"/>
      <c r="B48" s="99" t="s">
        <v>61</v>
      </c>
      <c r="C48" s="100" t="s">
        <v>214</v>
      </c>
      <c r="D48" s="100">
        <v>1228</v>
      </c>
      <c r="E48" s="99"/>
      <c r="F48" s="102">
        <v>45852</v>
      </c>
      <c r="G48" s="102">
        <v>45855</v>
      </c>
      <c r="H48" s="105"/>
      <c r="I48" s="101">
        <v>0.33333333333333331</v>
      </c>
      <c r="J48" s="101"/>
      <c r="K48" s="101"/>
      <c r="L48" s="101"/>
      <c r="M48" s="101"/>
      <c r="N48" s="101"/>
      <c r="O48" s="99" t="s">
        <v>141</v>
      </c>
      <c r="P48" s="99" t="s">
        <v>135</v>
      </c>
      <c r="Q48" s="15">
        <v>45</v>
      </c>
      <c r="R48" s="228">
        <v>5</v>
      </c>
      <c r="S48" s="103"/>
      <c r="T48" s="103"/>
      <c r="U48" s="15"/>
      <c r="V48" s="15"/>
      <c r="W48" s="15"/>
      <c r="X48" s="99"/>
      <c r="Y48" s="71">
        <f ca="1">Table24[[#This Row],[End Date]]+2-TODAY()</f>
        <v>325</v>
      </c>
      <c r="Z48" s="15">
        <f>IF(ISBLANK(Table24[[#This Row],[Roster Received By]]),1,0)</f>
        <v>1</v>
      </c>
      <c r="AA48" s="15">
        <f ca="1">IF(Table24[[#This Row],[Start Date]]&gt;TODAY(),1,)</f>
        <v>1</v>
      </c>
    </row>
    <row r="49" spans="1:27" s="106" customFormat="1" ht="14.25" customHeight="1" x14ac:dyDescent="0.25">
      <c r="A49" s="62"/>
      <c r="B49" s="99" t="s">
        <v>61</v>
      </c>
      <c r="C49" s="100" t="s">
        <v>214</v>
      </c>
      <c r="D49" s="100">
        <v>1228</v>
      </c>
      <c r="E49" s="99"/>
      <c r="F49" s="102">
        <v>45866</v>
      </c>
      <c r="G49" s="102">
        <v>45869</v>
      </c>
      <c r="H49" s="102"/>
      <c r="I49" s="101">
        <v>0.45833333333333331</v>
      </c>
      <c r="J49" s="101"/>
      <c r="K49" s="101"/>
      <c r="L49" s="101"/>
      <c r="M49" s="101"/>
      <c r="N49" s="101"/>
      <c r="O49" s="99" t="s">
        <v>141</v>
      </c>
      <c r="P49" s="99" t="s">
        <v>135</v>
      </c>
      <c r="Q49" s="15">
        <v>45</v>
      </c>
      <c r="R49" s="228">
        <v>5</v>
      </c>
      <c r="S49" s="15"/>
      <c r="T49" s="103"/>
      <c r="U49" s="15"/>
      <c r="V49" s="15"/>
      <c r="W49" s="15"/>
      <c r="X49" s="99"/>
      <c r="Y49" s="71">
        <f ca="1">Table24[[#This Row],[End Date]]+2-TODAY()</f>
        <v>339</v>
      </c>
      <c r="Z49" s="15">
        <f>IF(ISBLANK(Table24[[#This Row],[Roster Received By]]),1,0)</f>
        <v>1</v>
      </c>
      <c r="AA49" s="15">
        <f ca="1">IF(Table24[[#This Row],[Start Date]]&gt;TODAY(),1,)</f>
        <v>1</v>
      </c>
    </row>
    <row r="50" spans="1:27" s="106" customFormat="1" ht="14.25" customHeight="1" x14ac:dyDescent="0.25">
      <c r="A50" s="62"/>
      <c r="B50" s="99" t="s">
        <v>61</v>
      </c>
      <c r="C50" s="100" t="s">
        <v>214</v>
      </c>
      <c r="D50" s="100">
        <v>1228</v>
      </c>
      <c r="E50" s="99"/>
      <c r="F50" s="102">
        <v>45880</v>
      </c>
      <c r="G50" s="102">
        <v>45883</v>
      </c>
      <c r="H50" s="105"/>
      <c r="I50" s="105">
        <v>1100.4166666666667</v>
      </c>
      <c r="J50" s="102"/>
      <c r="K50" s="102"/>
      <c r="L50" s="102"/>
      <c r="M50" s="102"/>
      <c r="N50" s="102"/>
      <c r="O50" s="99" t="s">
        <v>141</v>
      </c>
      <c r="P50" s="99" t="s">
        <v>135</v>
      </c>
      <c r="Q50" s="103">
        <v>45</v>
      </c>
      <c r="R50" s="228">
        <v>5</v>
      </c>
      <c r="S50" s="103"/>
      <c r="T50" s="103"/>
      <c r="U50" s="15"/>
      <c r="V50" s="15"/>
      <c r="W50" s="15"/>
      <c r="X50" s="99"/>
      <c r="Y50" s="71">
        <f ca="1">Table24[[#This Row],[End Date]]+2-TODAY()</f>
        <v>353</v>
      </c>
      <c r="Z50" s="15">
        <f>IF(ISBLANK(Table24[[#This Row],[Roster Received By]]),1,0)</f>
        <v>1</v>
      </c>
      <c r="AA50" s="15">
        <f ca="1">IF(Table24[[#This Row],[Start Date]]&gt;TODAY(),1,)</f>
        <v>1</v>
      </c>
    </row>
    <row r="51" spans="1:27" s="106" customFormat="1" ht="14.25" customHeight="1" x14ac:dyDescent="0.25">
      <c r="A51" s="62"/>
      <c r="B51" s="99" t="s">
        <v>61</v>
      </c>
      <c r="C51" s="100" t="s">
        <v>214</v>
      </c>
      <c r="D51" s="100">
        <v>1228</v>
      </c>
      <c r="E51" s="99"/>
      <c r="F51" s="102">
        <v>45894</v>
      </c>
      <c r="G51" s="102">
        <v>45897</v>
      </c>
      <c r="H51" s="105"/>
      <c r="I51" s="105">
        <v>1000.3333333333334</v>
      </c>
      <c r="J51" s="102"/>
      <c r="K51" s="102"/>
      <c r="L51" s="102"/>
      <c r="M51" s="102"/>
      <c r="N51" s="102"/>
      <c r="O51" s="99" t="s">
        <v>141</v>
      </c>
      <c r="P51" s="99" t="s">
        <v>135</v>
      </c>
      <c r="Q51" s="103">
        <v>45</v>
      </c>
      <c r="R51" s="228">
        <v>5</v>
      </c>
      <c r="S51" s="103"/>
      <c r="T51" s="103"/>
      <c r="U51" s="15"/>
      <c r="V51" s="15"/>
      <c r="W51" s="15"/>
      <c r="X51" s="99"/>
      <c r="Y51" s="71">
        <f ca="1">Table24[[#This Row],[End Date]]+2-TODAY()</f>
        <v>367</v>
      </c>
      <c r="Z51" s="15">
        <f>IF(ISBLANK(Table24[[#This Row],[Roster Received By]]),1,0)</f>
        <v>1</v>
      </c>
      <c r="AA51" s="15">
        <f ca="1">IF(Table24[[#This Row],[Start Date]]&gt;TODAY(),1,)</f>
        <v>1</v>
      </c>
    </row>
    <row r="52" spans="1:27" s="106" customFormat="1" ht="14.25" customHeight="1" x14ac:dyDescent="0.25">
      <c r="A52" s="62"/>
      <c r="B52" s="99" t="s">
        <v>61</v>
      </c>
      <c r="C52" s="100" t="s">
        <v>214</v>
      </c>
      <c r="D52" s="100">
        <v>1228</v>
      </c>
      <c r="E52" s="99"/>
      <c r="F52" s="102">
        <v>45908</v>
      </c>
      <c r="G52" s="102">
        <v>45911</v>
      </c>
      <c r="H52" s="105"/>
      <c r="I52" s="105">
        <v>800.54166666666663</v>
      </c>
      <c r="J52" s="102"/>
      <c r="K52" s="102"/>
      <c r="L52" s="102"/>
      <c r="M52" s="102"/>
      <c r="N52" s="102"/>
      <c r="O52" s="99" t="s">
        <v>141</v>
      </c>
      <c r="P52" s="99" t="s">
        <v>135</v>
      </c>
      <c r="Q52" s="103">
        <v>45</v>
      </c>
      <c r="R52" s="228">
        <v>5</v>
      </c>
      <c r="S52" s="103"/>
      <c r="T52" s="103"/>
      <c r="U52" s="15"/>
      <c r="V52" s="15"/>
      <c r="W52" s="15"/>
      <c r="X52" s="99"/>
      <c r="Y52" s="71">
        <f ca="1">Table24[[#This Row],[End Date]]+2-TODAY()</f>
        <v>381</v>
      </c>
      <c r="Z52" s="15">
        <f>IF(ISBLANK(Table24[[#This Row],[Roster Received By]]),1,0)</f>
        <v>1</v>
      </c>
      <c r="AA52" s="15">
        <f ca="1">IF(Table24[[#This Row],[Start Date]]&gt;TODAY(),1,)</f>
        <v>1</v>
      </c>
    </row>
    <row r="53" spans="1:27" s="106" customFormat="1" ht="14.25" customHeight="1" x14ac:dyDescent="0.25">
      <c r="A53" s="62"/>
      <c r="B53" s="99" t="s">
        <v>61</v>
      </c>
      <c r="C53" s="100" t="s">
        <v>214</v>
      </c>
      <c r="D53" s="100">
        <v>1228</v>
      </c>
      <c r="E53" s="99"/>
      <c r="F53" s="102">
        <v>45922</v>
      </c>
      <c r="G53" s="102">
        <v>45925</v>
      </c>
      <c r="H53" s="102"/>
      <c r="I53" s="101">
        <v>0.29166666666666669</v>
      </c>
      <c r="J53" s="101"/>
      <c r="K53" s="101"/>
      <c r="L53" s="101"/>
      <c r="M53" s="101"/>
      <c r="N53" s="101"/>
      <c r="O53" s="99" t="s">
        <v>141</v>
      </c>
      <c r="P53" s="99" t="s">
        <v>135</v>
      </c>
      <c r="Q53" s="15">
        <v>45</v>
      </c>
      <c r="R53" s="228">
        <v>5</v>
      </c>
      <c r="S53" s="15"/>
      <c r="T53" s="103"/>
      <c r="U53" s="15"/>
      <c r="V53" s="15"/>
      <c r="W53" s="15"/>
      <c r="X53" s="99"/>
      <c r="Y53" s="71">
        <f ca="1">Table24[[#This Row],[End Date]]+2-TODAY()</f>
        <v>395</v>
      </c>
      <c r="Z53" s="15">
        <f>IF(ISBLANK(Table24[[#This Row],[Roster Received By]]),1,0)</f>
        <v>1</v>
      </c>
      <c r="AA53" s="15">
        <f ca="1">IF(Table24[[#This Row],[Start Date]]&gt;TODAY(),1,)</f>
        <v>1</v>
      </c>
    </row>
    <row r="54" spans="1:27" s="106" customFormat="1" ht="14.25" customHeight="1" x14ac:dyDescent="0.25">
      <c r="A54" s="62"/>
      <c r="B54" s="99" t="s">
        <v>38</v>
      </c>
      <c r="C54" s="100" t="s">
        <v>158</v>
      </c>
      <c r="D54" s="100" t="s">
        <v>159</v>
      </c>
      <c r="E54" s="99"/>
      <c r="F54" s="102">
        <v>45586</v>
      </c>
      <c r="G54" s="102">
        <v>45590</v>
      </c>
      <c r="H54" s="105"/>
      <c r="I54" s="101">
        <v>0.33333333333333331</v>
      </c>
      <c r="J54" s="102"/>
      <c r="K54" s="102"/>
      <c r="L54" s="102"/>
      <c r="M54" s="102"/>
      <c r="N54" s="102"/>
      <c r="O54" s="99" t="s">
        <v>138</v>
      </c>
      <c r="P54" s="99" t="s">
        <v>145</v>
      </c>
      <c r="Q54" s="15">
        <v>45</v>
      </c>
      <c r="R54" s="228">
        <v>5</v>
      </c>
      <c r="S54" s="15"/>
      <c r="T54" s="103"/>
      <c r="U54" s="15"/>
      <c r="V54" s="15"/>
      <c r="W54" s="15"/>
      <c r="X54" s="99"/>
      <c r="Y54" s="71">
        <f ca="1">Table24[[#This Row],[End Date]]+2-TODAY()</f>
        <v>60</v>
      </c>
      <c r="Z54" s="15">
        <f>IF(ISBLANK(Table24[[#This Row],[Roster Received By]]),1,0)</f>
        <v>1</v>
      </c>
      <c r="AA54" s="15">
        <f ca="1">IF(Table24[[#This Row],[Start Date]]&gt;TODAY(),1,)</f>
        <v>1</v>
      </c>
    </row>
    <row r="55" spans="1:27" s="106" customFormat="1" ht="14.25" customHeight="1" x14ac:dyDescent="0.25">
      <c r="A55" s="62"/>
      <c r="B55" s="99" t="s">
        <v>38</v>
      </c>
      <c r="C55" s="100" t="s">
        <v>158</v>
      </c>
      <c r="D55" s="100" t="s">
        <v>159</v>
      </c>
      <c r="E55" s="99"/>
      <c r="F55" s="102">
        <v>45600</v>
      </c>
      <c r="G55" s="102">
        <v>45604</v>
      </c>
      <c r="H55" s="105"/>
      <c r="I55" s="105">
        <v>0.54166666666666663</v>
      </c>
      <c r="J55" s="105"/>
      <c r="K55" s="105"/>
      <c r="L55" s="105"/>
      <c r="M55" s="105"/>
      <c r="N55" s="105"/>
      <c r="O55" s="99" t="s">
        <v>138</v>
      </c>
      <c r="P55" s="99" t="s">
        <v>145</v>
      </c>
      <c r="Q55" s="15">
        <v>45</v>
      </c>
      <c r="R55" s="228">
        <v>5</v>
      </c>
      <c r="S55" s="15"/>
      <c r="T55" s="103"/>
      <c r="U55" s="15"/>
      <c r="V55" s="15"/>
      <c r="W55" s="15"/>
      <c r="X55" s="99"/>
      <c r="Y55" s="71">
        <f ca="1">Table24[[#This Row],[End Date]]+2-TODAY()</f>
        <v>74</v>
      </c>
      <c r="Z55" s="15">
        <f>IF(ISBLANK(Table24[[#This Row],[Roster Received By]]),1,0)</f>
        <v>1</v>
      </c>
      <c r="AA55" s="15">
        <f ca="1">IF(Table24[[#This Row],[Start Date]]&gt;TODAY(),1,)</f>
        <v>1</v>
      </c>
    </row>
    <row r="56" spans="1:27" s="106" customFormat="1" ht="14.25" customHeight="1" x14ac:dyDescent="0.25">
      <c r="A56" s="99"/>
      <c r="B56" s="99" t="s">
        <v>38</v>
      </c>
      <c r="C56" s="100" t="s">
        <v>158</v>
      </c>
      <c r="D56" s="100" t="s">
        <v>159</v>
      </c>
      <c r="E56" s="99"/>
      <c r="F56" s="102">
        <v>45627</v>
      </c>
      <c r="G56" s="102">
        <v>45632</v>
      </c>
      <c r="H56" s="105"/>
      <c r="I56" s="101">
        <v>0.29166666666666669</v>
      </c>
      <c r="J56" s="105"/>
      <c r="K56" s="105"/>
      <c r="L56" s="105"/>
      <c r="M56" s="105"/>
      <c r="N56" s="105"/>
      <c r="O56" s="99" t="s">
        <v>138</v>
      </c>
      <c r="P56" s="99" t="s">
        <v>145</v>
      </c>
      <c r="Q56" s="15">
        <v>45</v>
      </c>
      <c r="R56" s="228">
        <v>5</v>
      </c>
      <c r="S56" s="15"/>
      <c r="T56" s="103"/>
      <c r="U56" s="15"/>
      <c r="V56" s="15"/>
      <c r="W56" s="15"/>
      <c r="X56" s="99"/>
      <c r="Y56" s="71">
        <f ca="1">Table24[[#This Row],[End Date]]+2-TODAY()</f>
        <v>102</v>
      </c>
      <c r="Z56" s="15">
        <f>IF(ISBLANK(Table24[[#This Row],[Roster Received By]]),1,0)</f>
        <v>1</v>
      </c>
      <c r="AA56" s="15">
        <f ca="1">IF(Table24[[#This Row],[Start Date]]&gt;TODAY(),1,)</f>
        <v>1</v>
      </c>
    </row>
    <row r="57" spans="1:27" s="106" customFormat="1" ht="14.25" customHeight="1" x14ac:dyDescent="0.25">
      <c r="A57" s="99"/>
      <c r="B57" s="99" t="s">
        <v>38</v>
      </c>
      <c r="C57" s="100" t="s">
        <v>158</v>
      </c>
      <c r="D57" s="100" t="s">
        <v>159</v>
      </c>
      <c r="E57" s="99"/>
      <c r="F57" s="102">
        <v>45670</v>
      </c>
      <c r="G57" s="102">
        <v>45674</v>
      </c>
      <c r="H57" s="108"/>
      <c r="I57" s="101">
        <v>0.79166666666666663</v>
      </c>
      <c r="J57" s="102"/>
      <c r="K57" s="102"/>
      <c r="L57" s="102"/>
      <c r="M57" s="102"/>
      <c r="N57" s="102"/>
      <c r="O57" s="99" t="s">
        <v>138</v>
      </c>
      <c r="P57" s="99" t="s">
        <v>145</v>
      </c>
      <c r="Q57" s="15">
        <v>45</v>
      </c>
      <c r="R57" s="228">
        <v>5</v>
      </c>
      <c r="S57" s="15"/>
      <c r="T57" s="103"/>
      <c r="U57" s="15"/>
      <c r="V57" s="15"/>
      <c r="W57" s="15"/>
      <c r="X57" s="99"/>
      <c r="Y57" s="71">
        <f ca="1">Table24[[#This Row],[End Date]]+2-TODAY()</f>
        <v>144</v>
      </c>
      <c r="Z57" s="15">
        <f>IF(ISBLANK(Table24[[#This Row],[Roster Received By]]),1,0)</f>
        <v>1</v>
      </c>
      <c r="AA57" s="15">
        <f ca="1">IF(Table24[[#This Row],[Start Date]]&gt;TODAY(),1,)</f>
        <v>1</v>
      </c>
    </row>
    <row r="58" spans="1:27" s="106" customFormat="1" ht="14.25" customHeight="1" x14ac:dyDescent="0.25">
      <c r="A58" s="62"/>
      <c r="B58" s="99" t="s">
        <v>38</v>
      </c>
      <c r="C58" s="100" t="s">
        <v>158</v>
      </c>
      <c r="D58" s="100" t="s">
        <v>159</v>
      </c>
      <c r="E58" s="65"/>
      <c r="F58" s="67">
        <v>45698</v>
      </c>
      <c r="G58" s="102">
        <v>45702</v>
      </c>
      <c r="H58" s="105"/>
      <c r="I58" s="105">
        <v>0.33333333333333331</v>
      </c>
      <c r="J58" s="102"/>
      <c r="K58" s="102"/>
      <c r="L58" s="102"/>
      <c r="M58" s="102"/>
      <c r="N58" s="102"/>
      <c r="O58" s="99" t="s">
        <v>138</v>
      </c>
      <c r="P58" s="99" t="s">
        <v>145</v>
      </c>
      <c r="Q58" s="15">
        <v>45</v>
      </c>
      <c r="R58" s="228">
        <v>5</v>
      </c>
      <c r="S58" s="15"/>
      <c r="T58" s="103"/>
      <c r="U58" s="15"/>
      <c r="V58" s="15"/>
      <c r="W58" s="15"/>
      <c r="X58" s="99"/>
      <c r="Y58" s="71">
        <f ca="1">Table24[[#This Row],[End Date]]+2-TODAY()</f>
        <v>172</v>
      </c>
      <c r="Z58" s="15">
        <f>IF(ISBLANK(Table24[[#This Row],[Roster Received By]]),1,0)</f>
        <v>1</v>
      </c>
      <c r="AA58" s="15">
        <f ca="1">IF(Table24[[#This Row],[Start Date]]&gt;TODAY(),1,)</f>
        <v>1</v>
      </c>
    </row>
    <row r="59" spans="1:27" s="106" customFormat="1" ht="14.25" customHeight="1" x14ac:dyDescent="0.25">
      <c r="A59" s="62"/>
      <c r="B59" s="99" t="s">
        <v>38</v>
      </c>
      <c r="C59" s="100" t="s">
        <v>158</v>
      </c>
      <c r="D59" s="100" t="s">
        <v>159</v>
      </c>
      <c r="E59" s="99"/>
      <c r="F59" s="102">
        <v>45719</v>
      </c>
      <c r="G59" s="102">
        <v>45723</v>
      </c>
      <c r="H59" s="102"/>
      <c r="I59" s="101">
        <v>0.45833333333333331</v>
      </c>
      <c r="J59" s="101"/>
      <c r="K59" s="101"/>
      <c r="L59" s="101"/>
      <c r="M59" s="101"/>
      <c r="N59" s="101"/>
      <c r="O59" s="99" t="s">
        <v>138</v>
      </c>
      <c r="P59" s="99" t="s">
        <v>145</v>
      </c>
      <c r="Q59" s="15">
        <v>45</v>
      </c>
      <c r="R59" s="228">
        <v>5</v>
      </c>
      <c r="S59" s="15"/>
      <c r="T59" s="103"/>
      <c r="U59" s="15"/>
      <c r="V59" s="15"/>
      <c r="W59" s="15"/>
      <c r="X59" s="99"/>
      <c r="Y59" s="71">
        <f ca="1">Table24[[#This Row],[End Date]]+2-TODAY()</f>
        <v>193</v>
      </c>
      <c r="Z59" s="15">
        <f>IF(ISBLANK(Table24[[#This Row],[Roster Received By]]),1,0)</f>
        <v>1</v>
      </c>
      <c r="AA59" s="15">
        <f ca="1">IF(Table24[[#This Row],[Start Date]]&gt;TODAY(),1,)</f>
        <v>1</v>
      </c>
    </row>
    <row r="60" spans="1:27" s="106" customFormat="1" ht="14.25" customHeight="1" x14ac:dyDescent="0.25">
      <c r="A60" s="62"/>
      <c r="B60" s="99" t="s">
        <v>38</v>
      </c>
      <c r="C60" s="100" t="s">
        <v>158</v>
      </c>
      <c r="D60" s="100" t="s">
        <v>159</v>
      </c>
      <c r="E60" s="99"/>
      <c r="F60" s="102">
        <v>45782</v>
      </c>
      <c r="G60" s="102">
        <v>45786</v>
      </c>
      <c r="H60" s="102"/>
      <c r="I60" s="101">
        <v>0.41666666666666669</v>
      </c>
      <c r="J60" s="101"/>
      <c r="K60" s="101"/>
      <c r="L60" s="101"/>
      <c r="M60" s="101"/>
      <c r="N60" s="101"/>
      <c r="O60" s="99" t="s">
        <v>138</v>
      </c>
      <c r="P60" s="99" t="s">
        <v>145</v>
      </c>
      <c r="Q60" s="15">
        <v>45</v>
      </c>
      <c r="R60" s="228">
        <v>5</v>
      </c>
      <c r="S60" s="15"/>
      <c r="T60" s="103"/>
      <c r="U60" s="15"/>
      <c r="V60" s="15"/>
      <c r="W60" s="15"/>
      <c r="X60" s="99"/>
      <c r="Y60" s="71">
        <f ca="1">Table24[[#This Row],[End Date]]+2-TODAY()</f>
        <v>256</v>
      </c>
      <c r="Z60" s="15">
        <f>IF(ISBLANK(Table24[[#This Row],[Roster Received By]]),1,0)</f>
        <v>1</v>
      </c>
      <c r="AA60" s="15">
        <f ca="1">IF(Table24[[#This Row],[Start Date]]&gt;TODAY(),1,)</f>
        <v>1</v>
      </c>
    </row>
    <row r="61" spans="1:27" s="106" customFormat="1" ht="14.25" customHeight="1" x14ac:dyDescent="0.25">
      <c r="A61" s="62"/>
      <c r="B61" s="99" t="s">
        <v>38</v>
      </c>
      <c r="C61" s="100" t="s">
        <v>158</v>
      </c>
      <c r="D61" s="100" t="s">
        <v>159</v>
      </c>
      <c r="E61" s="99"/>
      <c r="F61" s="102">
        <v>45817</v>
      </c>
      <c r="G61" s="102">
        <v>45821</v>
      </c>
      <c r="H61" s="102"/>
      <c r="I61" s="101">
        <v>0.33333333333333331</v>
      </c>
      <c r="J61" s="101"/>
      <c r="K61" s="101"/>
      <c r="L61" s="101"/>
      <c r="M61" s="101"/>
      <c r="N61" s="101"/>
      <c r="O61" s="99" t="s">
        <v>138</v>
      </c>
      <c r="P61" s="99" t="s">
        <v>145</v>
      </c>
      <c r="Q61" s="15">
        <v>45</v>
      </c>
      <c r="R61" s="228">
        <v>5</v>
      </c>
      <c r="S61" s="15"/>
      <c r="T61" s="103"/>
      <c r="U61" s="15"/>
      <c r="V61" s="15"/>
      <c r="W61" s="15"/>
      <c r="X61" s="99"/>
      <c r="Y61" s="71">
        <f ca="1">Table24[[#This Row],[End Date]]+2-TODAY()</f>
        <v>291</v>
      </c>
      <c r="Z61" s="15">
        <f>IF(ISBLANK(Table24[[#This Row],[Roster Received By]]),1,0)</f>
        <v>1</v>
      </c>
      <c r="AA61" s="15">
        <f ca="1">IF(Table24[[#This Row],[Start Date]]&gt;TODAY(),1,)</f>
        <v>1</v>
      </c>
    </row>
    <row r="62" spans="1:27" s="106" customFormat="1" ht="14.25" customHeight="1" x14ac:dyDescent="0.25">
      <c r="A62" s="62"/>
      <c r="B62" s="99" t="s">
        <v>38</v>
      </c>
      <c r="C62" s="100" t="s">
        <v>158</v>
      </c>
      <c r="D62" s="100" t="s">
        <v>159</v>
      </c>
      <c r="E62" s="99"/>
      <c r="F62" s="102">
        <v>45852</v>
      </c>
      <c r="G62" s="102">
        <v>45856</v>
      </c>
      <c r="H62" s="102"/>
      <c r="I62" s="101">
        <v>0.54166666666666663</v>
      </c>
      <c r="J62" s="101"/>
      <c r="K62" s="101"/>
      <c r="L62" s="101"/>
      <c r="M62" s="101"/>
      <c r="N62" s="101"/>
      <c r="O62" s="99" t="s">
        <v>138</v>
      </c>
      <c r="P62" s="99" t="s">
        <v>145</v>
      </c>
      <c r="Q62" s="15">
        <v>45</v>
      </c>
      <c r="R62" s="228">
        <v>5</v>
      </c>
      <c r="S62" s="15"/>
      <c r="T62" s="103"/>
      <c r="U62" s="15"/>
      <c r="V62" s="15"/>
      <c r="W62" s="15"/>
      <c r="X62" s="99"/>
      <c r="Y62" s="71">
        <f ca="1">Table24[[#This Row],[End Date]]+2-TODAY()</f>
        <v>326</v>
      </c>
      <c r="Z62" s="15">
        <f>IF(ISBLANK(Table24[[#This Row],[Roster Received By]]),1,0)</f>
        <v>1</v>
      </c>
      <c r="AA62" s="15">
        <f ca="1">IF(Table24[[#This Row],[Start Date]]&gt;TODAY(),1,)</f>
        <v>1</v>
      </c>
    </row>
    <row r="63" spans="1:27" s="106" customFormat="1" ht="14.25" customHeight="1" x14ac:dyDescent="0.25">
      <c r="A63" s="62"/>
      <c r="B63" s="99" t="s">
        <v>38</v>
      </c>
      <c r="C63" s="100" t="s">
        <v>158</v>
      </c>
      <c r="D63" s="100" t="s">
        <v>159</v>
      </c>
      <c r="E63" s="99"/>
      <c r="F63" s="102">
        <v>45880</v>
      </c>
      <c r="G63" s="102">
        <v>45884</v>
      </c>
      <c r="H63" s="108"/>
      <c r="I63" s="101">
        <v>0.33333333333333331</v>
      </c>
      <c r="J63" s="102"/>
      <c r="K63" s="102"/>
      <c r="L63" s="102"/>
      <c r="M63" s="102"/>
      <c r="N63" s="102"/>
      <c r="O63" s="99" t="s">
        <v>138</v>
      </c>
      <c r="P63" s="99" t="s">
        <v>145</v>
      </c>
      <c r="Q63" s="15">
        <v>45</v>
      </c>
      <c r="R63" s="228">
        <v>5</v>
      </c>
      <c r="S63" s="15"/>
      <c r="T63" s="103"/>
      <c r="U63" s="15"/>
      <c r="V63" s="15"/>
      <c r="W63" s="107"/>
      <c r="X63" s="99"/>
      <c r="Y63" s="71">
        <f ca="1">Table24[[#This Row],[End Date]]+2-TODAY()</f>
        <v>354</v>
      </c>
      <c r="Z63" s="15">
        <f>IF(ISBLANK(Table24[[#This Row],[Roster Received By]]),1,0)</f>
        <v>1</v>
      </c>
      <c r="AA63" s="15">
        <f ca="1">IF(Table24[[#This Row],[Start Date]]&gt;TODAY(),1,)</f>
        <v>1</v>
      </c>
    </row>
    <row r="64" spans="1:27" s="106" customFormat="1" ht="16.5" customHeight="1" x14ac:dyDescent="0.25">
      <c r="A64" s="62"/>
      <c r="B64" s="99" t="s">
        <v>38</v>
      </c>
      <c r="C64" s="100" t="s">
        <v>158</v>
      </c>
      <c r="D64" s="100" t="s">
        <v>159</v>
      </c>
      <c r="E64" s="99"/>
      <c r="F64" s="102">
        <v>45915</v>
      </c>
      <c r="G64" s="102">
        <v>45919</v>
      </c>
      <c r="H64" s="102"/>
      <c r="I64" s="101">
        <v>0.33333333333333331</v>
      </c>
      <c r="J64" s="101"/>
      <c r="K64" s="101"/>
      <c r="L64" s="101"/>
      <c r="M64" s="101"/>
      <c r="N64" s="101"/>
      <c r="O64" s="99" t="s">
        <v>138</v>
      </c>
      <c r="P64" s="99" t="s">
        <v>145</v>
      </c>
      <c r="Q64" s="15">
        <v>45</v>
      </c>
      <c r="R64" s="228">
        <v>5</v>
      </c>
      <c r="S64" s="15"/>
      <c r="T64" s="103"/>
      <c r="U64" s="15"/>
      <c r="V64" s="15"/>
      <c r="W64" s="15"/>
      <c r="X64" s="99"/>
      <c r="Y64" s="71">
        <f ca="1">Table24[[#This Row],[End Date]]+2-TODAY()</f>
        <v>389</v>
      </c>
      <c r="Z64" s="15">
        <f>IF(ISBLANK(Table24[[#This Row],[Roster Received By]]),1,0)</f>
        <v>1</v>
      </c>
      <c r="AA64" s="15">
        <f ca="1">IF(Table24[[#This Row],[Start Date]]&gt;TODAY(),1,)</f>
        <v>1</v>
      </c>
    </row>
    <row r="65" spans="1:27" s="106" customFormat="1" ht="14.25" customHeight="1" x14ac:dyDescent="0.25">
      <c r="A65" s="62"/>
      <c r="B65" s="99" t="s">
        <v>57</v>
      </c>
      <c r="C65" s="100" t="s">
        <v>143</v>
      </c>
      <c r="D65" s="100" t="s">
        <v>144</v>
      </c>
      <c r="E65" s="140"/>
      <c r="F65" s="102">
        <v>45615</v>
      </c>
      <c r="G65" s="102">
        <v>45617</v>
      </c>
      <c r="H65" s="102"/>
      <c r="I65" s="101">
        <v>0.33333333333333331</v>
      </c>
      <c r="J65" s="101"/>
      <c r="K65" s="101"/>
      <c r="L65" s="101"/>
      <c r="M65" s="101"/>
      <c r="N65" s="101"/>
      <c r="O65" s="99" t="s">
        <v>145</v>
      </c>
      <c r="P65" s="99" t="s">
        <v>138</v>
      </c>
      <c r="Q65" s="15">
        <v>45</v>
      </c>
      <c r="R65" s="15">
        <v>3</v>
      </c>
      <c r="S65" s="15"/>
      <c r="T65" s="103"/>
      <c r="U65" s="15"/>
      <c r="V65" s="15"/>
      <c r="W65" s="15"/>
      <c r="X65" s="99"/>
      <c r="Y65" s="71">
        <f ca="1">Table24[[#This Row],[End Date]]+2-TODAY()</f>
        <v>87</v>
      </c>
      <c r="Z65" s="15">
        <f>IF(ISBLANK(Table24[[#This Row],[Roster Received By]]),1,0)</f>
        <v>1</v>
      </c>
      <c r="AA65" s="15">
        <f ca="1">IF(Table24[[#This Row],[Start Date]]&gt;TODAY(),1,)</f>
        <v>1</v>
      </c>
    </row>
    <row r="66" spans="1:27" s="106" customFormat="1" ht="14.25" customHeight="1" x14ac:dyDescent="0.25">
      <c r="A66" s="62"/>
      <c r="B66" s="99" t="s">
        <v>57</v>
      </c>
      <c r="C66" s="100" t="s">
        <v>143</v>
      </c>
      <c r="D66" s="100" t="s">
        <v>144</v>
      </c>
      <c r="E66" s="65"/>
      <c r="F66" s="102">
        <v>45629</v>
      </c>
      <c r="G66" s="102">
        <v>45631</v>
      </c>
      <c r="H66" s="105"/>
      <c r="I66" s="101">
        <v>0.33333333333333331</v>
      </c>
      <c r="J66" s="102"/>
      <c r="K66" s="102"/>
      <c r="L66" s="102"/>
      <c r="M66" s="102"/>
      <c r="N66" s="102"/>
      <c r="O66" s="99" t="s">
        <v>145</v>
      </c>
      <c r="P66" s="99" t="s">
        <v>138</v>
      </c>
      <c r="Q66" s="15">
        <v>45</v>
      </c>
      <c r="R66" s="15">
        <v>3</v>
      </c>
      <c r="S66" s="15"/>
      <c r="T66" s="103"/>
      <c r="U66" s="15"/>
      <c r="V66" s="15"/>
      <c r="W66" s="15"/>
      <c r="X66" s="99"/>
      <c r="Y66" s="71">
        <f ca="1">Table24[[#This Row],[End Date]]+2-TODAY()</f>
        <v>101</v>
      </c>
      <c r="Z66" s="15">
        <f>IF(ISBLANK(Table24[[#This Row],[Roster Received By]]),1,0)</f>
        <v>1</v>
      </c>
      <c r="AA66" s="15">
        <f ca="1">IF(Table24[[#This Row],[Start Date]]&gt;TODAY(),1,)</f>
        <v>1</v>
      </c>
    </row>
    <row r="67" spans="1:27" s="106" customFormat="1" ht="14.25" customHeight="1" x14ac:dyDescent="0.25">
      <c r="A67" s="62"/>
      <c r="B67" s="99" t="s">
        <v>57</v>
      </c>
      <c r="C67" s="100" t="s">
        <v>143</v>
      </c>
      <c r="D67" s="100" t="s">
        <v>144</v>
      </c>
      <c r="E67" s="65"/>
      <c r="F67" s="102">
        <v>45671</v>
      </c>
      <c r="G67" s="102">
        <v>45673</v>
      </c>
      <c r="H67" s="105"/>
      <c r="I67" s="105">
        <v>0.54166666666666663</v>
      </c>
      <c r="J67" s="102"/>
      <c r="K67" s="102"/>
      <c r="L67" s="102"/>
      <c r="M67" s="102"/>
      <c r="N67" s="102"/>
      <c r="O67" s="99" t="s">
        <v>145</v>
      </c>
      <c r="P67" s="99" t="s">
        <v>138</v>
      </c>
      <c r="Q67" s="15">
        <v>45</v>
      </c>
      <c r="R67" s="15">
        <v>3</v>
      </c>
      <c r="S67" s="15"/>
      <c r="T67" s="103"/>
      <c r="U67" s="15"/>
      <c r="V67" s="15"/>
      <c r="W67" s="15"/>
      <c r="X67" s="99"/>
      <c r="Y67" s="71">
        <f ca="1">Table24[[#This Row],[End Date]]+2-TODAY()</f>
        <v>143</v>
      </c>
      <c r="Z67" s="15">
        <f>IF(ISBLANK(Table24[[#This Row],[Roster Received By]]),1,0)</f>
        <v>1</v>
      </c>
      <c r="AA67" s="15">
        <f ca="1">IF(Table24[[#This Row],[Start Date]]&gt;TODAY(),1,)</f>
        <v>1</v>
      </c>
    </row>
    <row r="68" spans="1:27" s="106" customFormat="1" ht="14.25" customHeight="1" x14ac:dyDescent="0.25">
      <c r="A68" s="62"/>
      <c r="B68" s="99" t="s">
        <v>57</v>
      </c>
      <c r="C68" s="100" t="s">
        <v>143</v>
      </c>
      <c r="D68" s="100" t="s">
        <v>144</v>
      </c>
      <c r="E68" s="99"/>
      <c r="F68" s="102">
        <v>45685</v>
      </c>
      <c r="G68" s="102">
        <v>45687</v>
      </c>
      <c r="H68" s="105"/>
      <c r="I68" s="105">
        <v>1000.4166666666666</v>
      </c>
      <c r="J68" s="102"/>
      <c r="K68" s="102"/>
      <c r="L68" s="102"/>
      <c r="M68" s="102"/>
      <c r="N68" s="102"/>
      <c r="O68" s="99" t="s">
        <v>145</v>
      </c>
      <c r="P68" s="99" t="s">
        <v>138</v>
      </c>
      <c r="Q68" s="15">
        <v>45</v>
      </c>
      <c r="R68" s="15">
        <v>3</v>
      </c>
      <c r="S68" s="103"/>
      <c r="T68" s="103"/>
      <c r="U68" s="15"/>
      <c r="V68" s="15"/>
      <c r="W68" s="15"/>
      <c r="X68" s="99"/>
      <c r="Y68" s="71">
        <f ca="1">Table24[[#This Row],[End Date]]+2-TODAY()</f>
        <v>157</v>
      </c>
      <c r="Z68" s="15">
        <f>IF(ISBLANK(Table24[[#This Row],[Roster Received By]]),1,0)</f>
        <v>1</v>
      </c>
      <c r="AA68" s="15">
        <f ca="1">IF(Table24[[#This Row],[Start Date]]&gt;TODAY(),1,)</f>
        <v>1</v>
      </c>
    </row>
    <row r="69" spans="1:27" s="106" customFormat="1" ht="14.25" customHeight="1" x14ac:dyDescent="0.25">
      <c r="A69" s="62"/>
      <c r="B69" s="99" t="s">
        <v>57</v>
      </c>
      <c r="C69" s="100" t="s">
        <v>143</v>
      </c>
      <c r="D69" s="100" t="s">
        <v>144</v>
      </c>
      <c r="E69" s="65"/>
      <c r="F69" s="67">
        <v>45692</v>
      </c>
      <c r="G69" s="102">
        <v>45694</v>
      </c>
      <c r="H69" s="105"/>
      <c r="I69" s="101">
        <v>0.29166666666666669</v>
      </c>
      <c r="J69" s="102"/>
      <c r="K69" s="102"/>
      <c r="L69" s="102"/>
      <c r="M69" s="102"/>
      <c r="N69" s="102"/>
      <c r="O69" s="99" t="s">
        <v>145</v>
      </c>
      <c r="P69" s="99" t="s">
        <v>138</v>
      </c>
      <c r="Q69" s="15">
        <v>45</v>
      </c>
      <c r="R69" s="15">
        <v>3</v>
      </c>
      <c r="S69" s="15"/>
      <c r="T69" s="103"/>
      <c r="U69" s="15"/>
      <c r="V69" s="15"/>
      <c r="W69" s="15"/>
      <c r="X69" s="99"/>
      <c r="Y69" s="71">
        <f ca="1">Table24[[#This Row],[End Date]]+2-TODAY()</f>
        <v>164</v>
      </c>
      <c r="Z69" s="15">
        <f>IF(ISBLANK(Table24[[#This Row],[Roster Received By]]),1,0)</f>
        <v>1</v>
      </c>
      <c r="AA69" s="15">
        <f ca="1">IF(Table24[[#This Row],[Start Date]]&gt;TODAY(),1,)</f>
        <v>1</v>
      </c>
    </row>
    <row r="70" spans="1:27" s="106" customFormat="1" ht="14.25" customHeight="1" x14ac:dyDescent="0.25">
      <c r="A70" s="62"/>
      <c r="B70" s="99" t="s">
        <v>57</v>
      </c>
      <c r="C70" s="100" t="s">
        <v>143</v>
      </c>
      <c r="D70" s="100" t="s">
        <v>144</v>
      </c>
      <c r="E70" s="99"/>
      <c r="F70" s="102">
        <v>45706</v>
      </c>
      <c r="G70" s="102">
        <v>45708</v>
      </c>
      <c r="H70" s="105"/>
      <c r="I70" s="105">
        <v>800.33333333333337</v>
      </c>
      <c r="J70" s="102"/>
      <c r="K70" s="102"/>
      <c r="L70" s="102"/>
      <c r="M70" s="102"/>
      <c r="N70" s="102"/>
      <c r="O70" s="99" t="s">
        <v>145</v>
      </c>
      <c r="P70" s="99" t="s">
        <v>138</v>
      </c>
      <c r="Q70" s="15">
        <v>45</v>
      </c>
      <c r="R70" s="15">
        <v>3</v>
      </c>
      <c r="S70" s="103"/>
      <c r="T70" s="103"/>
      <c r="U70" s="15"/>
      <c r="V70" s="15"/>
      <c r="W70" s="15"/>
      <c r="X70" s="99"/>
      <c r="Y70" s="71">
        <f ca="1">Table24[[#This Row],[End Date]]+2-TODAY()</f>
        <v>178</v>
      </c>
      <c r="Z70" s="15">
        <f>IF(ISBLANK(Table24[[#This Row],[Roster Received By]]),1,0)</f>
        <v>1</v>
      </c>
      <c r="AA70" s="15">
        <f ca="1">IF(Table24[[#This Row],[Start Date]]&gt;TODAY(),1,)</f>
        <v>1</v>
      </c>
    </row>
    <row r="71" spans="1:27" s="106" customFormat="1" ht="14.25" customHeight="1" x14ac:dyDescent="0.25">
      <c r="A71" s="62"/>
      <c r="B71" s="99" t="s">
        <v>57</v>
      </c>
      <c r="C71" s="100" t="s">
        <v>143</v>
      </c>
      <c r="D71" s="100" t="s">
        <v>144</v>
      </c>
      <c r="E71" s="99"/>
      <c r="F71" s="102">
        <v>45720</v>
      </c>
      <c r="G71" s="102">
        <v>45722</v>
      </c>
      <c r="H71" s="105"/>
      <c r="I71" s="105">
        <v>800.45833333333337</v>
      </c>
      <c r="J71" s="102"/>
      <c r="K71" s="102"/>
      <c r="L71" s="102"/>
      <c r="M71" s="102"/>
      <c r="N71" s="102"/>
      <c r="O71" s="99" t="s">
        <v>145</v>
      </c>
      <c r="P71" s="99" t="s">
        <v>138</v>
      </c>
      <c r="Q71" s="15">
        <v>45</v>
      </c>
      <c r="R71" s="15">
        <v>3</v>
      </c>
      <c r="S71" s="103"/>
      <c r="T71" s="103"/>
      <c r="U71" s="15"/>
      <c r="V71" s="15"/>
      <c r="W71" s="15"/>
      <c r="X71" s="99"/>
      <c r="Y71" s="71">
        <f ca="1">Table24[[#This Row],[End Date]]+2-TODAY()</f>
        <v>192</v>
      </c>
      <c r="Z71" s="15">
        <f>IF(ISBLANK(Table24[[#This Row],[Roster Received By]]),1,0)</f>
        <v>1</v>
      </c>
      <c r="AA71" s="15">
        <f ca="1">IF(Table24[[#This Row],[Start Date]]&gt;TODAY(),1,)</f>
        <v>1</v>
      </c>
    </row>
    <row r="72" spans="1:27" s="106" customFormat="1" ht="14.25" customHeight="1" x14ac:dyDescent="0.25">
      <c r="A72" s="62"/>
      <c r="B72" s="99" t="s">
        <v>57</v>
      </c>
      <c r="C72" s="100" t="s">
        <v>143</v>
      </c>
      <c r="D72" s="100" t="s">
        <v>144</v>
      </c>
      <c r="E72" s="99"/>
      <c r="F72" s="102">
        <v>45734</v>
      </c>
      <c r="G72" s="102">
        <v>45736</v>
      </c>
      <c r="H72" s="105"/>
      <c r="I72" s="105">
        <v>800.79166666666663</v>
      </c>
      <c r="J72" s="102"/>
      <c r="K72" s="102"/>
      <c r="L72" s="102"/>
      <c r="M72" s="102"/>
      <c r="N72" s="102"/>
      <c r="O72" s="99" t="s">
        <v>145</v>
      </c>
      <c r="P72" s="99" t="s">
        <v>138</v>
      </c>
      <c r="Q72" s="15">
        <v>45</v>
      </c>
      <c r="R72" s="15">
        <v>3</v>
      </c>
      <c r="S72" s="103"/>
      <c r="T72" s="103"/>
      <c r="U72" s="15"/>
      <c r="V72" s="15"/>
      <c r="W72" s="15"/>
      <c r="X72" s="99"/>
      <c r="Y72" s="71">
        <f ca="1">Table24[[#This Row],[End Date]]+2-TODAY()</f>
        <v>206</v>
      </c>
      <c r="Z72" s="15">
        <f>IF(ISBLANK(Table24[[#This Row],[Roster Received By]]),1,0)</f>
        <v>1</v>
      </c>
      <c r="AA72" s="15">
        <f ca="1">IF(Table24[[#This Row],[Start Date]]&gt;TODAY(),1,)</f>
        <v>1</v>
      </c>
    </row>
    <row r="73" spans="1:27" s="106" customFormat="1" ht="14.25" customHeight="1" x14ac:dyDescent="0.25">
      <c r="A73" s="62"/>
      <c r="B73" s="99" t="s">
        <v>57</v>
      </c>
      <c r="C73" s="100" t="s">
        <v>143</v>
      </c>
      <c r="D73" s="100" t="s">
        <v>144</v>
      </c>
      <c r="E73" s="99"/>
      <c r="F73" s="102">
        <v>45748</v>
      </c>
      <c r="G73" s="102">
        <v>45750</v>
      </c>
      <c r="H73" s="105"/>
      <c r="I73" s="105">
        <v>800.29166666666663</v>
      </c>
      <c r="J73" s="102"/>
      <c r="K73" s="102"/>
      <c r="L73" s="102"/>
      <c r="M73" s="102"/>
      <c r="N73" s="102"/>
      <c r="O73" s="99" t="s">
        <v>145</v>
      </c>
      <c r="P73" s="99" t="s">
        <v>138</v>
      </c>
      <c r="Q73" s="15">
        <v>45</v>
      </c>
      <c r="R73" s="15">
        <v>3</v>
      </c>
      <c r="S73" s="103"/>
      <c r="T73" s="103"/>
      <c r="U73" s="15"/>
      <c r="V73" s="15"/>
      <c r="W73" s="15"/>
      <c r="X73" s="99"/>
      <c r="Y73" s="71">
        <f ca="1">Table24[[#This Row],[End Date]]+2-TODAY()</f>
        <v>220</v>
      </c>
      <c r="Z73" s="15">
        <f>IF(ISBLANK(Table24[[#This Row],[Roster Received By]]),1,0)</f>
        <v>1</v>
      </c>
      <c r="AA73" s="15">
        <f ca="1">IF(Table24[[#This Row],[Start Date]]&gt;TODAY(),1,)</f>
        <v>1</v>
      </c>
    </row>
    <row r="74" spans="1:27" s="106" customFormat="1" ht="14.25" customHeight="1" x14ac:dyDescent="0.25">
      <c r="A74" s="62"/>
      <c r="B74" s="99" t="s">
        <v>57</v>
      </c>
      <c r="C74" s="100" t="s">
        <v>143</v>
      </c>
      <c r="D74" s="100" t="s">
        <v>144</v>
      </c>
      <c r="E74" s="99"/>
      <c r="F74" s="102">
        <v>45776</v>
      </c>
      <c r="G74" s="102">
        <v>45778</v>
      </c>
      <c r="H74" s="105"/>
      <c r="I74" s="105">
        <v>800.33333333333337</v>
      </c>
      <c r="J74" s="102"/>
      <c r="K74" s="102"/>
      <c r="L74" s="102"/>
      <c r="M74" s="102"/>
      <c r="N74" s="102"/>
      <c r="O74" s="99" t="s">
        <v>145</v>
      </c>
      <c r="P74" s="99" t="s">
        <v>138</v>
      </c>
      <c r="Q74" s="15">
        <v>45</v>
      </c>
      <c r="R74" s="15">
        <v>3</v>
      </c>
      <c r="S74" s="103"/>
      <c r="T74" s="103"/>
      <c r="U74" s="15"/>
      <c r="V74" s="15"/>
      <c r="W74" s="15"/>
      <c r="X74" s="99"/>
      <c r="Y74" s="71">
        <f ca="1">Table24[[#This Row],[End Date]]+2-TODAY()</f>
        <v>248</v>
      </c>
      <c r="Z74" s="15">
        <f>IF(ISBLANK(Table24[[#This Row],[Roster Received By]]),1,0)</f>
        <v>1</v>
      </c>
      <c r="AA74" s="15">
        <f ca="1">IF(Table24[[#This Row],[Start Date]]&gt;TODAY(),1,)</f>
        <v>1</v>
      </c>
    </row>
    <row r="75" spans="1:27" s="106" customFormat="1" ht="14.25" customHeight="1" x14ac:dyDescent="0.25">
      <c r="A75" s="62"/>
      <c r="B75" s="99" t="s">
        <v>57</v>
      </c>
      <c r="C75" s="100" t="s">
        <v>143</v>
      </c>
      <c r="D75" s="100" t="s">
        <v>144</v>
      </c>
      <c r="E75" s="99"/>
      <c r="F75" s="102">
        <v>45790</v>
      </c>
      <c r="G75" s="102">
        <v>45792</v>
      </c>
      <c r="H75" s="105"/>
      <c r="I75" s="105">
        <v>800.45833333333337</v>
      </c>
      <c r="J75" s="102"/>
      <c r="K75" s="102"/>
      <c r="L75" s="102"/>
      <c r="M75" s="102"/>
      <c r="N75" s="102"/>
      <c r="O75" s="99" t="s">
        <v>145</v>
      </c>
      <c r="P75" s="99" t="s">
        <v>138</v>
      </c>
      <c r="Q75" s="15">
        <v>45</v>
      </c>
      <c r="R75" s="15">
        <v>3</v>
      </c>
      <c r="S75" s="103"/>
      <c r="T75" s="103"/>
      <c r="U75" s="15"/>
      <c r="V75" s="15"/>
      <c r="W75" s="15"/>
      <c r="X75" s="99"/>
      <c r="Y75" s="71">
        <f ca="1">Table24[[#This Row],[End Date]]+2-TODAY()</f>
        <v>262</v>
      </c>
      <c r="Z75" s="15">
        <f>IF(ISBLANK(Table24[[#This Row],[Roster Received By]]),1,0)</f>
        <v>1</v>
      </c>
      <c r="AA75" s="15">
        <f ca="1">IF(Table24[[#This Row],[Start Date]]&gt;TODAY(),1,)</f>
        <v>1</v>
      </c>
    </row>
    <row r="76" spans="1:27" s="106" customFormat="1" ht="14.25" customHeight="1" x14ac:dyDescent="0.25">
      <c r="A76" s="62"/>
      <c r="B76" s="99" t="s">
        <v>57</v>
      </c>
      <c r="C76" s="100" t="s">
        <v>143</v>
      </c>
      <c r="D76" s="100" t="s">
        <v>144</v>
      </c>
      <c r="E76" s="99"/>
      <c r="F76" s="102">
        <v>45804</v>
      </c>
      <c r="G76" s="102">
        <v>45806</v>
      </c>
      <c r="H76" s="105"/>
      <c r="I76" s="105">
        <v>800.54166666666663</v>
      </c>
      <c r="J76" s="102"/>
      <c r="K76" s="102"/>
      <c r="L76" s="102"/>
      <c r="M76" s="102"/>
      <c r="N76" s="102"/>
      <c r="O76" s="99" t="s">
        <v>145</v>
      </c>
      <c r="P76" s="99" t="s">
        <v>138</v>
      </c>
      <c r="Q76" s="15">
        <v>45</v>
      </c>
      <c r="R76" s="15">
        <v>3</v>
      </c>
      <c r="S76" s="103"/>
      <c r="T76" s="103"/>
      <c r="U76" s="15"/>
      <c r="V76" s="15"/>
      <c r="W76" s="15"/>
      <c r="X76" s="99"/>
      <c r="Y76" s="71">
        <f ca="1">Table24[[#This Row],[End Date]]+2-TODAY()</f>
        <v>276</v>
      </c>
      <c r="Z76" s="15">
        <f>IF(ISBLANK(Table24[[#This Row],[Roster Received By]]),1,0)</f>
        <v>1</v>
      </c>
      <c r="AA76" s="15">
        <f ca="1">IF(Table24[[#This Row],[Start Date]]&gt;TODAY(),1,)</f>
        <v>1</v>
      </c>
    </row>
    <row r="77" spans="1:27" s="106" customFormat="1" ht="14.25" customHeight="1" x14ac:dyDescent="0.25">
      <c r="A77" s="62"/>
      <c r="B77" s="99" t="s">
        <v>57</v>
      </c>
      <c r="C77" s="100" t="s">
        <v>143</v>
      </c>
      <c r="D77" s="100" t="s">
        <v>144</v>
      </c>
      <c r="E77" s="99"/>
      <c r="F77" s="102">
        <v>45818</v>
      </c>
      <c r="G77" s="102">
        <v>45820</v>
      </c>
      <c r="H77" s="102"/>
      <c r="I77" s="101">
        <v>0.41666666666666669</v>
      </c>
      <c r="J77" s="101"/>
      <c r="K77" s="101"/>
      <c r="L77" s="101"/>
      <c r="M77" s="101"/>
      <c r="N77" s="101"/>
      <c r="O77" s="99" t="s">
        <v>145</v>
      </c>
      <c r="P77" s="99" t="s">
        <v>138</v>
      </c>
      <c r="Q77" s="15">
        <v>45</v>
      </c>
      <c r="R77" s="15">
        <v>3</v>
      </c>
      <c r="S77" s="15"/>
      <c r="T77" s="103"/>
      <c r="U77" s="15"/>
      <c r="V77" s="15"/>
      <c r="W77" s="15"/>
      <c r="X77" s="99"/>
      <c r="Y77" s="71">
        <f ca="1">Table24[[#This Row],[End Date]]+2-TODAY()</f>
        <v>290</v>
      </c>
      <c r="Z77" s="15">
        <f>IF(ISBLANK(Table24[[#This Row],[Roster Received By]]),1,0)</f>
        <v>1</v>
      </c>
      <c r="AA77" s="15">
        <f ca="1">IF(Table24[[#This Row],[Start Date]]&gt;TODAY(),1,)</f>
        <v>1</v>
      </c>
    </row>
    <row r="78" spans="1:27" s="106" customFormat="1" ht="14.25" customHeight="1" x14ac:dyDescent="0.25">
      <c r="A78" s="62"/>
      <c r="B78" s="99" t="s">
        <v>57</v>
      </c>
      <c r="C78" s="100" t="s">
        <v>143</v>
      </c>
      <c r="D78" s="100" t="s">
        <v>144</v>
      </c>
      <c r="E78" s="99"/>
      <c r="F78" s="102">
        <v>45832</v>
      </c>
      <c r="G78" s="102">
        <v>45834</v>
      </c>
      <c r="H78" s="105"/>
      <c r="I78" s="105">
        <v>700.29166666666663</v>
      </c>
      <c r="J78" s="102"/>
      <c r="K78" s="102"/>
      <c r="L78" s="102"/>
      <c r="M78" s="102"/>
      <c r="N78" s="102"/>
      <c r="O78" s="99" t="s">
        <v>145</v>
      </c>
      <c r="P78" s="99" t="s">
        <v>138</v>
      </c>
      <c r="Q78" s="15">
        <v>45</v>
      </c>
      <c r="R78" s="15">
        <v>3</v>
      </c>
      <c r="S78" s="103"/>
      <c r="T78" s="103"/>
      <c r="U78" s="15"/>
      <c r="V78" s="15"/>
      <c r="W78" s="15"/>
      <c r="X78" s="99"/>
      <c r="Y78" s="71">
        <f ca="1">Table24[[#This Row],[End Date]]+2-TODAY()</f>
        <v>304</v>
      </c>
      <c r="Z78" s="15">
        <f>IF(ISBLANK(Table24[[#This Row],[Roster Received By]]),1,0)</f>
        <v>1</v>
      </c>
      <c r="AA78" s="15">
        <f ca="1">IF(Table24[[#This Row],[Start Date]]&gt;TODAY(),1,)</f>
        <v>1</v>
      </c>
    </row>
    <row r="79" spans="1:27" s="106" customFormat="1" ht="14.25" customHeight="1" x14ac:dyDescent="0.25">
      <c r="A79" s="62"/>
      <c r="B79" s="99" t="s">
        <v>57</v>
      </c>
      <c r="C79" s="100" t="s">
        <v>143</v>
      </c>
      <c r="D79" s="100" t="s">
        <v>144</v>
      </c>
      <c r="E79" s="99"/>
      <c r="F79" s="102">
        <v>45846</v>
      </c>
      <c r="G79" s="102">
        <v>45848</v>
      </c>
      <c r="H79" s="102"/>
      <c r="I79" s="101">
        <v>0.33333333333333331</v>
      </c>
      <c r="J79" s="101"/>
      <c r="K79" s="101"/>
      <c r="L79" s="101"/>
      <c r="M79" s="101"/>
      <c r="N79" s="101"/>
      <c r="O79" s="99" t="s">
        <v>145</v>
      </c>
      <c r="P79" s="99" t="s">
        <v>138</v>
      </c>
      <c r="Q79" s="15">
        <v>45</v>
      </c>
      <c r="R79" s="15">
        <v>3</v>
      </c>
      <c r="S79" s="15"/>
      <c r="T79" s="103"/>
      <c r="U79" s="15"/>
      <c r="V79" s="15"/>
      <c r="W79" s="15"/>
      <c r="X79" s="99"/>
      <c r="Y79" s="71">
        <f ca="1">Table24[[#This Row],[End Date]]+2-TODAY()</f>
        <v>318</v>
      </c>
      <c r="Z79" s="15">
        <f>IF(ISBLANK(Table24[[#This Row],[Roster Received By]]),1,0)</f>
        <v>1</v>
      </c>
      <c r="AA79" s="15">
        <f ca="1">IF(Table24[[#This Row],[Start Date]]&gt;TODAY(),1,)</f>
        <v>1</v>
      </c>
    </row>
    <row r="80" spans="1:27" s="106" customFormat="1" ht="14.25" customHeight="1" x14ac:dyDescent="0.25">
      <c r="A80" s="62"/>
      <c r="B80" s="99" t="s">
        <v>57</v>
      </c>
      <c r="C80" s="100" t="s">
        <v>143</v>
      </c>
      <c r="D80" s="100" t="s">
        <v>144</v>
      </c>
      <c r="E80" s="99"/>
      <c r="F80" s="102">
        <v>45860</v>
      </c>
      <c r="G80" s="102">
        <v>45862</v>
      </c>
      <c r="H80" s="105"/>
      <c r="I80" s="105">
        <v>700.54166666666663</v>
      </c>
      <c r="J80" s="102"/>
      <c r="K80" s="102"/>
      <c r="L80" s="102"/>
      <c r="M80" s="102"/>
      <c r="N80" s="102"/>
      <c r="O80" s="99" t="s">
        <v>145</v>
      </c>
      <c r="P80" s="99" t="s">
        <v>138</v>
      </c>
      <c r="Q80" s="15">
        <v>45</v>
      </c>
      <c r="R80" s="15">
        <v>3</v>
      </c>
      <c r="S80" s="103"/>
      <c r="T80" s="103"/>
      <c r="U80" s="15"/>
      <c r="V80" s="15"/>
      <c r="W80" s="15"/>
      <c r="X80" s="99"/>
      <c r="Y80" s="71">
        <f ca="1">Table24[[#This Row],[End Date]]+2-TODAY()</f>
        <v>332</v>
      </c>
      <c r="Z80" s="15">
        <f>IF(ISBLANK(Table24[[#This Row],[Roster Received By]]),1,0)</f>
        <v>1</v>
      </c>
      <c r="AA80" s="15">
        <f ca="1">IF(Table24[[#This Row],[Start Date]]&gt;TODAY(),1,)</f>
        <v>1</v>
      </c>
    </row>
    <row r="81" spans="1:27" s="135" customFormat="1" ht="14.25" customHeight="1" x14ac:dyDescent="0.25">
      <c r="A81" s="99"/>
      <c r="B81" s="99" t="s">
        <v>57</v>
      </c>
      <c r="C81" s="100" t="s">
        <v>143</v>
      </c>
      <c r="D81" s="100" t="s">
        <v>144</v>
      </c>
      <c r="E81" s="65"/>
      <c r="F81" s="102">
        <v>45874</v>
      </c>
      <c r="G81" s="102">
        <v>45876</v>
      </c>
      <c r="H81" s="105"/>
      <c r="I81" s="101">
        <v>0.41666666666666669</v>
      </c>
      <c r="J81" s="102"/>
      <c r="K81" s="102"/>
      <c r="L81" s="102"/>
      <c r="M81" s="102"/>
      <c r="N81" s="102"/>
      <c r="O81" s="99" t="s">
        <v>145</v>
      </c>
      <c r="P81" s="99" t="s">
        <v>138</v>
      </c>
      <c r="Q81" s="15">
        <v>45</v>
      </c>
      <c r="R81" s="15">
        <v>3</v>
      </c>
      <c r="S81" s="15"/>
      <c r="T81" s="103"/>
      <c r="U81" s="15"/>
      <c r="V81" s="15"/>
      <c r="W81" s="15"/>
      <c r="X81" s="99"/>
      <c r="Y81" s="71">
        <f ca="1">Table24[[#This Row],[End Date]]+2-TODAY()</f>
        <v>346</v>
      </c>
      <c r="Z81" s="15">
        <f>IF(ISBLANK(Table24[[#This Row],[Roster Received By]]),1,0)</f>
        <v>1</v>
      </c>
      <c r="AA81" s="15">
        <f ca="1">IF(Table24[[#This Row],[Start Date]]&gt;TODAY(),1,)</f>
        <v>1</v>
      </c>
    </row>
    <row r="82" spans="1:27" s="135" customFormat="1" ht="14.25" customHeight="1" x14ac:dyDescent="0.25">
      <c r="A82" s="99"/>
      <c r="B82" s="99" t="s">
        <v>57</v>
      </c>
      <c r="C82" s="100" t="s">
        <v>143</v>
      </c>
      <c r="D82" s="100" t="s">
        <v>144</v>
      </c>
      <c r="E82" s="99"/>
      <c r="F82" s="102">
        <v>45888</v>
      </c>
      <c r="G82" s="102">
        <v>45890</v>
      </c>
      <c r="H82" s="105"/>
      <c r="I82" s="105">
        <v>700.45833333333337</v>
      </c>
      <c r="J82" s="102"/>
      <c r="K82" s="102"/>
      <c r="L82" s="102"/>
      <c r="M82" s="102"/>
      <c r="N82" s="102"/>
      <c r="O82" s="99" t="s">
        <v>145</v>
      </c>
      <c r="P82" s="99" t="s">
        <v>138</v>
      </c>
      <c r="Q82" s="15">
        <v>45</v>
      </c>
      <c r="R82" s="15">
        <v>3</v>
      </c>
      <c r="S82" s="103"/>
      <c r="T82" s="103"/>
      <c r="U82" s="15"/>
      <c r="V82" s="15"/>
      <c r="W82" s="15"/>
      <c r="X82" s="99"/>
      <c r="Y82" s="71">
        <f ca="1">Table24[[#This Row],[End Date]]+2-TODAY()</f>
        <v>360</v>
      </c>
      <c r="Z82" s="15">
        <f>IF(ISBLANK(Table24[[#This Row],[Roster Received By]]),1,0)</f>
        <v>1</v>
      </c>
      <c r="AA82" s="15">
        <f ca="1">IF(Table24[[#This Row],[Start Date]]&gt;TODAY(),1,)</f>
        <v>1</v>
      </c>
    </row>
    <row r="83" spans="1:27" s="135" customFormat="1" ht="14.25" customHeight="1" x14ac:dyDescent="0.25">
      <c r="A83" s="99"/>
      <c r="B83" s="99" t="s">
        <v>57</v>
      </c>
      <c r="C83" s="100" t="s">
        <v>143</v>
      </c>
      <c r="D83" s="100" t="s">
        <v>144</v>
      </c>
      <c r="E83" s="99"/>
      <c r="F83" s="102">
        <v>45902</v>
      </c>
      <c r="G83" s="102">
        <v>45904</v>
      </c>
      <c r="H83" s="105"/>
      <c r="I83" s="105">
        <v>700.79166666666663</v>
      </c>
      <c r="J83" s="102"/>
      <c r="K83" s="102"/>
      <c r="L83" s="102"/>
      <c r="M83" s="102"/>
      <c r="N83" s="102"/>
      <c r="O83" s="99" t="s">
        <v>145</v>
      </c>
      <c r="P83" s="99" t="s">
        <v>138</v>
      </c>
      <c r="Q83" s="15">
        <v>45</v>
      </c>
      <c r="R83" s="15">
        <v>3</v>
      </c>
      <c r="S83" s="103"/>
      <c r="T83" s="103"/>
      <c r="U83" s="15"/>
      <c r="V83" s="15"/>
      <c r="W83" s="15"/>
      <c r="X83" s="99"/>
      <c r="Y83" s="71">
        <f ca="1">Table24[[#This Row],[End Date]]+2-TODAY()</f>
        <v>374</v>
      </c>
      <c r="Z83" s="15">
        <f>IF(ISBLANK(Table24[[#This Row],[Roster Received By]]),1,0)</f>
        <v>1</v>
      </c>
      <c r="AA83" s="15">
        <f ca="1">IF(Table24[[#This Row],[Start Date]]&gt;TODAY(),1,)</f>
        <v>1</v>
      </c>
    </row>
    <row r="84" spans="1:27" s="135" customFormat="1" ht="14.25" customHeight="1" x14ac:dyDescent="0.25">
      <c r="A84" s="99"/>
      <c r="B84" s="99" t="s">
        <v>57</v>
      </c>
      <c r="C84" s="100" t="s">
        <v>143</v>
      </c>
      <c r="D84" s="100" t="s">
        <v>144</v>
      </c>
      <c r="E84" s="99"/>
      <c r="F84" s="102">
        <v>45916</v>
      </c>
      <c r="G84" s="102">
        <v>45918</v>
      </c>
      <c r="H84" s="105"/>
      <c r="I84" s="105">
        <v>700.33333333333337</v>
      </c>
      <c r="J84" s="102"/>
      <c r="K84" s="102"/>
      <c r="L84" s="102"/>
      <c r="M84" s="102"/>
      <c r="N84" s="102"/>
      <c r="O84" s="99" t="s">
        <v>145</v>
      </c>
      <c r="P84" s="99" t="s">
        <v>138</v>
      </c>
      <c r="Q84" s="15">
        <v>45</v>
      </c>
      <c r="R84" s="15">
        <v>3</v>
      </c>
      <c r="S84" s="103"/>
      <c r="T84" s="103"/>
      <c r="U84" s="15"/>
      <c r="V84" s="15"/>
      <c r="W84" s="15"/>
      <c r="X84" s="99"/>
      <c r="Y84" s="71">
        <f ca="1">Table24[[#This Row],[End Date]]+2-TODAY()</f>
        <v>388</v>
      </c>
      <c r="Z84" s="15">
        <f>IF(ISBLANK(Table24[[#This Row],[Roster Received By]]),1,0)</f>
        <v>1</v>
      </c>
      <c r="AA84" s="15">
        <f ca="1">IF(Table24[[#This Row],[Start Date]]&gt;TODAY(),1,)</f>
        <v>1</v>
      </c>
    </row>
    <row r="85" spans="1:27" s="135" customFormat="1" ht="14.25" customHeight="1" x14ac:dyDescent="0.25">
      <c r="A85" s="99"/>
      <c r="B85" s="99" t="s">
        <v>57</v>
      </c>
      <c r="C85" s="100" t="s">
        <v>143</v>
      </c>
      <c r="D85" s="100" t="s">
        <v>144</v>
      </c>
      <c r="E85" s="99"/>
      <c r="F85" s="102">
        <v>45930</v>
      </c>
      <c r="G85" s="102">
        <v>45932</v>
      </c>
      <c r="H85" s="105"/>
      <c r="I85" s="105">
        <v>700.54166666666663</v>
      </c>
      <c r="J85" s="102"/>
      <c r="K85" s="102"/>
      <c r="L85" s="102"/>
      <c r="M85" s="102"/>
      <c r="N85" s="102"/>
      <c r="O85" s="99" t="s">
        <v>145</v>
      </c>
      <c r="P85" s="99" t="s">
        <v>138</v>
      </c>
      <c r="Q85" s="15">
        <v>45</v>
      </c>
      <c r="R85" s="15">
        <v>3</v>
      </c>
      <c r="S85" s="103"/>
      <c r="T85" s="103"/>
      <c r="U85" s="15"/>
      <c r="V85" s="15"/>
      <c r="W85" s="15"/>
      <c r="X85" s="99"/>
      <c r="Y85" s="71">
        <f ca="1">Table24[[#This Row],[End Date]]+2-TODAY()</f>
        <v>402</v>
      </c>
      <c r="Z85" s="15">
        <f>IF(ISBLANK(Table24[[#This Row],[Roster Received By]]),1,0)</f>
        <v>1</v>
      </c>
      <c r="AA85" s="15">
        <f ca="1">IF(Table24[[#This Row],[Start Date]]&gt;TODAY(),1,)</f>
        <v>1</v>
      </c>
    </row>
    <row r="86" spans="1:27" s="106" customFormat="1" ht="14.25" customHeight="1" x14ac:dyDescent="0.25">
      <c r="A86" s="62"/>
      <c r="B86" s="99" t="s">
        <v>55</v>
      </c>
      <c r="C86" s="100" t="s">
        <v>147</v>
      </c>
      <c r="D86" s="100" t="s">
        <v>148</v>
      </c>
      <c r="E86" s="99" t="s">
        <v>266</v>
      </c>
      <c r="F86" s="102">
        <v>45712</v>
      </c>
      <c r="G86" s="102">
        <v>45716</v>
      </c>
      <c r="H86" s="105"/>
      <c r="I86" s="101">
        <v>0.33333333333333331</v>
      </c>
      <c r="J86" s="102"/>
      <c r="K86" s="102"/>
      <c r="L86" s="102"/>
      <c r="M86" s="102"/>
      <c r="N86" s="102"/>
      <c r="O86" s="99" t="s">
        <v>160</v>
      </c>
      <c r="P86" s="99"/>
      <c r="Q86" s="15">
        <v>25</v>
      </c>
      <c r="R86" s="15">
        <v>5</v>
      </c>
      <c r="S86" s="15"/>
      <c r="T86" s="103"/>
      <c r="U86" s="15"/>
      <c r="V86" s="15"/>
      <c r="W86" s="100"/>
      <c r="X86" s="99"/>
      <c r="Y86" s="71">
        <f ca="1">Table24[[#This Row],[End Date]]+2-TODAY()</f>
        <v>186</v>
      </c>
      <c r="Z86" s="15">
        <f>IF(ISBLANK(Table24[[#This Row],[Roster Received By]]),1,0)</f>
        <v>1</v>
      </c>
      <c r="AA86" s="15">
        <f ca="1">IF(Table24[[#This Row],[Start Date]]&gt;TODAY(),1,)</f>
        <v>1</v>
      </c>
    </row>
    <row r="87" spans="1:27" s="106" customFormat="1" ht="14.25" customHeight="1" x14ac:dyDescent="0.25">
      <c r="A87" s="99"/>
      <c r="B87" s="99" t="s">
        <v>55</v>
      </c>
      <c r="C87" s="100" t="s">
        <v>147</v>
      </c>
      <c r="D87" s="100" t="s">
        <v>148</v>
      </c>
      <c r="E87" s="99" t="s">
        <v>266</v>
      </c>
      <c r="F87" s="102">
        <v>45719</v>
      </c>
      <c r="G87" s="102">
        <v>45733</v>
      </c>
      <c r="H87" s="105"/>
      <c r="I87" s="101">
        <v>0.33333333333333331</v>
      </c>
      <c r="J87" s="102"/>
      <c r="K87" s="102"/>
      <c r="L87" s="102"/>
      <c r="M87" s="102"/>
      <c r="N87" s="102"/>
      <c r="O87" s="99" t="s">
        <v>160</v>
      </c>
      <c r="P87" s="99"/>
      <c r="Q87" s="15">
        <v>25</v>
      </c>
      <c r="R87" s="15">
        <v>5</v>
      </c>
      <c r="S87" s="15"/>
      <c r="T87" s="103"/>
      <c r="U87" s="15"/>
      <c r="V87" s="15"/>
      <c r="W87" s="15"/>
      <c r="X87" s="99"/>
      <c r="Y87" s="71">
        <f ca="1">Table24[[#This Row],[End Date]]+2-TODAY()</f>
        <v>203</v>
      </c>
      <c r="Z87" s="15">
        <f>IF(ISBLANK(Table24[[#This Row],[Roster Received By]]),1,0)</f>
        <v>1</v>
      </c>
      <c r="AA87" s="15">
        <f ca="1">IF(Table24[[#This Row],[Start Date]]&gt;TODAY(),1,)</f>
        <v>1</v>
      </c>
    </row>
    <row r="88" spans="1:27" s="106" customFormat="1" ht="14.25" customHeight="1" x14ac:dyDescent="0.25">
      <c r="A88" s="62"/>
      <c r="B88" s="99" t="s">
        <v>55</v>
      </c>
      <c r="C88" s="100" t="s">
        <v>147</v>
      </c>
      <c r="D88" s="100" t="s">
        <v>148</v>
      </c>
      <c r="E88" s="99" t="s">
        <v>146</v>
      </c>
      <c r="F88" s="102">
        <v>45628</v>
      </c>
      <c r="G88" s="102">
        <v>45632</v>
      </c>
      <c r="H88" s="102"/>
      <c r="I88" s="101">
        <v>0.33333333333333331</v>
      </c>
      <c r="J88" s="101">
        <v>0.33333333333333331</v>
      </c>
      <c r="K88" s="101"/>
      <c r="L88" s="101"/>
      <c r="M88" s="101"/>
      <c r="N88" s="101"/>
      <c r="O88" s="99" t="s">
        <v>160</v>
      </c>
      <c r="P88" s="99"/>
      <c r="Q88" s="15">
        <v>25</v>
      </c>
      <c r="R88" s="15">
        <v>5</v>
      </c>
      <c r="S88" s="15"/>
      <c r="T88" s="103"/>
      <c r="U88" s="15"/>
      <c r="V88" s="15"/>
      <c r="W88" s="15"/>
      <c r="X88" s="99"/>
      <c r="Y88" s="71">
        <f ca="1">Table24[[#This Row],[End Date]]+2-TODAY()</f>
        <v>102</v>
      </c>
      <c r="Z88" s="15">
        <f>IF(ISBLANK(Table24[[#This Row],[Roster Received By]]),1,0)</f>
        <v>1</v>
      </c>
      <c r="AA88" s="15">
        <f ca="1">IF(Table24[[#This Row],[Start Date]]&gt;TODAY(),1,)</f>
        <v>1</v>
      </c>
    </row>
    <row r="89" spans="1:27" s="106" customFormat="1" ht="14.25" customHeight="1" x14ac:dyDescent="0.25">
      <c r="A89" s="62"/>
      <c r="B89" s="99" t="s">
        <v>55</v>
      </c>
      <c r="C89" s="100" t="s">
        <v>147</v>
      </c>
      <c r="D89" s="100" t="s">
        <v>148</v>
      </c>
      <c r="E89" s="99" t="s">
        <v>146</v>
      </c>
      <c r="F89" s="102">
        <v>45635</v>
      </c>
      <c r="G89" s="102">
        <v>45639</v>
      </c>
      <c r="H89" s="102"/>
      <c r="I89" s="101">
        <v>0.33333333333333331</v>
      </c>
      <c r="J89" s="101">
        <v>0.33333333333333331</v>
      </c>
      <c r="K89" s="101"/>
      <c r="L89" s="101"/>
      <c r="M89" s="101"/>
      <c r="N89" s="101"/>
      <c r="O89" s="99" t="s">
        <v>160</v>
      </c>
      <c r="P89" s="99"/>
      <c r="Q89" s="15">
        <v>25</v>
      </c>
      <c r="R89" s="15">
        <v>5</v>
      </c>
      <c r="S89" s="15"/>
      <c r="T89" s="103"/>
      <c r="U89" s="15"/>
      <c r="V89" s="15"/>
      <c r="W89" s="100"/>
      <c r="X89" s="99"/>
      <c r="Y89" s="71">
        <f ca="1">Table24[[#This Row],[End Date]]+2-TODAY()</f>
        <v>109</v>
      </c>
      <c r="Z89" s="15">
        <f>IF(ISBLANK(Table24[[#This Row],[Roster Received By]]),1,0)</f>
        <v>1</v>
      </c>
      <c r="AA89" s="15">
        <f ca="1">IF(Table24[[#This Row],[Start Date]]&gt;TODAY(),1,)</f>
        <v>1</v>
      </c>
    </row>
    <row r="90" spans="1:27" s="135" customFormat="1" x14ac:dyDescent="0.25">
      <c r="A90" s="62"/>
      <c r="B90" s="99" t="s">
        <v>55</v>
      </c>
      <c r="C90" s="100" t="s">
        <v>147</v>
      </c>
      <c r="D90" s="100" t="s">
        <v>148</v>
      </c>
      <c r="E90" s="99" t="s">
        <v>146</v>
      </c>
      <c r="F90" s="67">
        <v>45733</v>
      </c>
      <c r="G90" s="67">
        <v>45737</v>
      </c>
      <c r="H90" s="101"/>
      <c r="I90" s="101">
        <v>0.33333333333333331</v>
      </c>
      <c r="J90" s="101">
        <v>0.33333333333333331</v>
      </c>
      <c r="K90" s="102"/>
      <c r="L90" s="102"/>
      <c r="M90" s="102"/>
      <c r="N90" s="102"/>
      <c r="O90" s="99" t="s">
        <v>160</v>
      </c>
      <c r="P90" s="99"/>
      <c r="Q90" s="15">
        <v>25</v>
      </c>
      <c r="R90" s="15">
        <v>5</v>
      </c>
      <c r="S90" s="15"/>
      <c r="T90" s="103"/>
      <c r="U90" s="15"/>
      <c r="V90" s="15"/>
      <c r="W90" s="15"/>
      <c r="X90" s="99"/>
      <c r="Y90" s="71">
        <f ca="1">Table24[[#This Row],[End Date]]+2-TODAY()</f>
        <v>207</v>
      </c>
      <c r="Z90" s="15">
        <f>IF(ISBLANK(Table24[[#This Row],[Roster Received By]]),1,0)</f>
        <v>1</v>
      </c>
      <c r="AA90" s="15">
        <f ca="1">IF(Table24[[#This Row],[Start Date]]&gt;TODAY(),1,)</f>
        <v>1</v>
      </c>
    </row>
    <row r="91" spans="1:27" s="106" customFormat="1" ht="14.25" customHeight="1" x14ac:dyDescent="0.25">
      <c r="A91" s="62"/>
      <c r="B91" s="99" t="s">
        <v>55</v>
      </c>
      <c r="C91" s="100" t="s">
        <v>147</v>
      </c>
      <c r="D91" s="100" t="s">
        <v>148</v>
      </c>
      <c r="E91" s="99" t="s">
        <v>146</v>
      </c>
      <c r="F91" s="102">
        <v>45740</v>
      </c>
      <c r="G91" s="102">
        <v>45744</v>
      </c>
      <c r="H91" s="105"/>
      <c r="I91" s="105">
        <v>0.33333333333333331</v>
      </c>
      <c r="J91" s="101">
        <v>0.33333333333333331</v>
      </c>
      <c r="K91" s="102"/>
      <c r="L91" s="102"/>
      <c r="M91" s="102"/>
      <c r="N91" s="102"/>
      <c r="O91" s="99" t="s">
        <v>160</v>
      </c>
      <c r="P91" s="99"/>
      <c r="Q91" s="15">
        <v>25</v>
      </c>
      <c r="R91" s="15">
        <v>5</v>
      </c>
      <c r="S91" s="15"/>
      <c r="T91" s="103"/>
      <c r="U91" s="15"/>
      <c r="V91" s="15"/>
      <c r="W91" s="15"/>
      <c r="X91" s="99"/>
      <c r="Y91" s="71">
        <f ca="1">Table24[[#This Row],[End Date]]+2-TODAY()</f>
        <v>214</v>
      </c>
      <c r="Z91" s="15">
        <f>IF(ISBLANK(Table24[[#This Row],[Roster Received By]]),1,0)</f>
        <v>1</v>
      </c>
      <c r="AA91" s="15">
        <f ca="1">IF(Table24[[#This Row],[Start Date]]&gt;TODAY(),1,)</f>
        <v>1</v>
      </c>
    </row>
    <row r="92" spans="1:27" s="135" customFormat="1" ht="14.25" customHeight="1" x14ac:dyDescent="0.25">
      <c r="A92" s="62"/>
      <c r="B92" s="99" t="s">
        <v>55</v>
      </c>
      <c r="C92" s="100" t="s">
        <v>147</v>
      </c>
      <c r="D92" s="100" t="s">
        <v>148</v>
      </c>
      <c r="E92" s="99" t="s">
        <v>276</v>
      </c>
      <c r="F92" s="102">
        <v>45663</v>
      </c>
      <c r="G92" s="102">
        <v>45667</v>
      </c>
      <c r="H92" s="102"/>
      <c r="I92" s="101">
        <v>0.33333333333333331</v>
      </c>
      <c r="J92" s="101"/>
      <c r="K92" s="101"/>
      <c r="L92" s="101"/>
      <c r="M92" s="101">
        <v>0.33333333333333331</v>
      </c>
      <c r="N92" s="101"/>
      <c r="O92" s="99" t="s">
        <v>160</v>
      </c>
      <c r="P92" s="99"/>
      <c r="Q92" s="15">
        <v>25</v>
      </c>
      <c r="R92" s="15">
        <v>5</v>
      </c>
      <c r="S92" s="15"/>
      <c r="T92" s="103"/>
      <c r="U92" s="15"/>
      <c r="V92" s="15"/>
      <c r="W92" s="15"/>
      <c r="X92" s="99"/>
      <c r="Y92" s="71">
        <f ca="1">Table24[[#This Row],[End Date]]+2-TODAY()</f>
        <v>137</v>
      </c>
      <c r="Z92" s="15">
        <f>IF(ISBLANK(Table24[[#This Row],[Roster Received By]]),1,0)</f>
        <v>1</v>
      </c>
      <c r="AA92" s="15">
        <f ca="1">IF(Table24[[#This Row],[Start Date]]&gt;TODAY(),1,)</f>
        <v>1</v>
      </c>
    </row>
    <row r="93" spans="1:27" s="106" customFormat="1" ht="16.5" customHeight="1" x14ac:dyDescent="0.25">
      <c r="A93" s="62"/>
      <c r="B93" s="99" t="s">
        <v>55</v>
      </c>
      <c r="C93" s="100" t="s">
        <v>147</v>
      </c>
      <c r="D93" s="100" t="s">
        <v>148</v>
      </c>
      <c r="E93" s="99" t="s">
        <v>276</v>
      </c>
      <c r="F93" s="67">
        <v>45670</v>
      </c>
      <c r="G93" s="67">
        <v>45674</v>
      </c>
      <c r="H93" s="102"/>
      <c r="I93" s="101">
        <v>0.33333333333333331</v>
      </c>
      <c r="J93" s="101"/>
      <c r="K93" s="101"/>
      <c r="L93" s="101"/>
      <c r="M93" s="101">
        <v>0.33333333333333331</v>
      </c>
      <c r="N93" s="101"/>
      <c r="O93" s="99" t="s">
        <v>160</v>
      </c>
      <c r="P93" s="99"/>
      <c r="Q93" s="15">
        <v>25</v>
      </c>
      <c r="R93" s="15">
        <v>5</v>
      </c>
      <c r="S93" s="15"/>
      <c r="T93" s="103"/>
      <c r="U93" s="15"/>
      <c r="V93" s="15"/>
      <c r="W93" s="15"/>
      <c r="X93" s="99"/>
      <c r="Y93" s="71">
        <f ca="1">Table24[[#This Row],[End Date]]+2-TODAY()</f>
        <v>144</v>
      </c>
      <c r="Z93" s="15">
        <f>IF(ISBLANK(Table24[[#This Row],[Roster Received By]]),1,0)</f>
        <v>1</v>
      </c>
      <c r="AA93" s="15">
        <f ca="1">IF(Table24[[#This Row],[Start Date]]&gt;TODAY(),1,)</f>
        <v>1</v>
      </c>
    </row>
    <row r="94" spans="1:27" s="106" customFormat="1" ht="14.25" customHeight="1" x14ac:dyDescent="0.25">
      <c r="A94" s="62"/>
      <c r="B94" s="99" t="s">
        <v>55</v>
      </c>
      <c r="C94" s="100" t="s">
        <v>147</v>
      </c>
      <c r="D94" s="100" t="s">
        <v>148</v>
      </c>
      <c r="E94" s="99" t="s">
        <v>276</v>
      </c>
      <c r="F94" s="102">
        <v>45810</v>
      </c>
      <c r="G94" s="102">
        <v>45814</v>
      </c>
      <c r="H94" s="105"/>
      <c r="I94" s="105">
        <v>0.33333333333333331</v>
      </c>
      <c r="J94" s="105"/>
      <c r="K94" s="105"/>
      <c r="L94" s="105"/>
      <c r="M94" s="101">
        <v>0.33333333333333331</v>
      </c>
      <c r="N94" s="102"/>
      <c r="O94" s="99" t="s">
        <v>160</v>
      </c>
      <c r="P94" s="99"/>
      <c r="Q94" s="15">
        <v>25</v>
      </c>
      <c r="R94" s="15">
        <v>5</v>
      </c>
      <c r="S94" s="15"/>
      <c r="T94" s="103"/>
      <c r="U94" s="15"/>
      <c r="V94" s="15"/>
      <c r="W94" s="15"/>
      <c r="X94" s="99"/>
      <c r="Y94" s="71">
        <f ca="1">Table24[[#This Row],[End Date]]+2-TODAY()</f>
        <v>284</v>
      </c>
      <c r="Z94" s="15">
        <f>IF(ISBLANK(Table24[[#This Row],[Roster Received By]]),1,0)</f>
        <v>1</v>
      </c>
      <c r="AA94" s="15">
        <f ca="1">IF(Table24[[#This Row],[Start Date]]&gt;TODAY(),1,)</f>
        <v>1</v>
      </c>
    </row>
    <row r="95" spans="1:27" s="106" customFormat="1" ht="14.25" customHeight="1" x14ac:dyDescent="0.25">
      <c r="A95" s="62"/>
      <c r="B95" s="99" t="s">
        <v>55</v>
      </c>
      <c r="C95" s="100" t="s">
        <v>147</v>
      </c>
      <c r="D95" s="100" t="s">
        <v>148</v>
      </c>
      <c r="E95" s="99" t="s">
        <v>276</v>
      </c>
      <c r="F95" s="102">
        <v>45817</v>
      </c>
      <c r="G95" s="102">
        <v>45821</v>
      </c>
      <c r="H95" s="102"/>
      <c r="I95" s="101">
        <v>0.33333333333333331</v>
      </c>
      <c r="J95" s="101"/>
      <c r="K95" s="101"/>
      <c r="L95" s="101"/>
      <c r="M95" s="101">
        <v>0.33333333333333331</v>
      </c>
      <c r="N95" s="101"/>
      <c r="O95" s="99" t="s">
        <v>160</v>
      </c>
      <c r="P95" s="99"/>
      <c r="Q95" s="15">
        <v>25</v>
      </c>
      <c r="R95" s="15">
        <v>5</v>
      </c>
      <c r="S95" s="15"/>
      <c r="T95" s="103"/>
      <c r="U95" s="15"/>
      <c r="V95" s="15"/>
      <c r="W95" s="15"/>
      <c r="X95" s="99"/>
      <c r="Y95" s="71">
        <f ca="1">Table24[[#This Row],[End Date]]+2-TODAY()</f>
        <v>291</v>
      </c>
      <c r="Z95" s="15">
        <f>IF(ISBLANK(Table24[[#This Row],[Roster Received By]]),1,0)</f>
        <v>1</v>
      </c>
      <c r="AA95" s="15">
        <f ca="1">IF(Table24[[#This Row],[Start Date]]&gt;TODAY(),1,)</f>
        <v>1</v>
      </c>
    </row>
    <row r="96" spans="1:27" s="106" customFormat="1" ht="14.25" customHeight="1" x14ac:dyDescent="0.25">
      <c r="A96" s="62"/>
      <c r="B96" s="99" t="s">
        <v>55</v>
      </c>
      <c r="C96" s="100" t="s">
        <v>147</v>
      </c>
      <c r="D96" s="100" t="s">
        <v>148</v>
      </c>
      <c r="E96" s="99" t="s">
        <v>276</v>
      </c>
      <c r="F96" s="102">
        <v>45894</v>
      </c>
      <c r="G96" s="102">
        <v>45898</v>
      </c>
      <c r="H96" s="108"/>
      <c r="I96" s="108">
        <v>0.33333333333333331</v>
      </c>
      <c r="J96" s="102"/>
      <c r="K96" s="102"/>
      <c r="L96" s="102"/>
      <c r="M96" s="101">
        <v>0.33333333333333331</v>
      </c>
      <c r="N96" s="102"/>
      <c r="O96" s="99" t="s">
        <v>160</v>
      </c>
      <c r="P96" s="99"/>
      <c r="Q96" s="15">
        <v>25</v>
      </c>
      <c r="R96" s="15">
        <v>5</v>
      </c>
      <c r="S96" s="15"/>
      <c r="T96" s="103"/>
      <c r="U96" s="15"/>
      <c r="V96" s="15"/>
      <c r="W96" s="15"/>
      <c r="X96" s="99"/>
      <c r="Y96" s="71">
        <f ca="1">Table24[[#This Row],[End Date]]+2-TODAY()</f>
        <v>368</v>
      </c>
      <c r="Z96" s="15">
        <f>IF(ISBLANK(Table24[[#This Row],[Roster Received By]]),1,0)</f>
        <v>1</v>
      </c>
      <c r="AA96" s="15">
        <f ca="1">IF(Table24[[#This Row],[Start Date]]&gt;TODAY(),1,)</f>
        <v>1</v>
      </c>
    </row>
    <row r="97" spans="1:27" s="106" customFormat="1" ht="14.25" customHeight="1" x14ac:dyDescent="0.25">
      <c r="A97" s="62"/>
      <c r="B97" s="99" t="s">
        <v>55</v>
      </c>
      <c r="C97" s="100" t="s">
        <v>147</v>
      </c>
      <c r="D97" s="100" t="s">
        <v>148</v>
      </c>
      <c r="E97" s="65" t="s">
        <v>309</v>
      </c>
      <c r="F97" s="102">
        <v>45712</v>
      </c>
      <c r="G97" s="102">
        <v>45716</v>
      </c>
      <c r="H97" s="105"/>
      <c r="I97" s="105">
        <v>0.33333333333333331</v>
      </c>
      <c r="J97" s="102"/>
      <c r="K97" s="102"/>
      <c r="L97" s="102"/>
      <c r="M97" s="102"/>
      <c r="N97" s="101">
        <v>0.33333333333333331</v>
      </c>
      <c r="O97" s="99" t="s">
        <v>160</v>
      </c>
      <c r="P97" s="99"/>
      <c r="Q97" s="15">
        <v>25</v>
      </c>
      <c r="R97" s="15">
        <v>5</v>
      </c>
      <c r="S97" s="15"/>
      <c r="T97" s="103"/>
      <c r="U97" s="15"/>
      <c r="V97" s="15"/>
      <c r="W97" s="15"/>
      <c r="X97" s="99"/>
      <c r="Y97" s="71">
        <f ca="1">Table24[[#This Row],[End Date]]+2-TODAY()</f>
        <v>186</v>
      </c>
      <c r="Z97" s="15">
        <f>IF(ISBLANK(Table24[[#This Row],[Roster Received By]]),1,0)</f>
        <v>1</v>
      </c>
      <c r="AA97" s="15">
        <f ca="1">IF(Table24[[#This Row],[Start Date]]&gt;TODAY(),1,)</f>
        <v>1</v>
      </c>
    </row>
    <row r="98" spans="1:27" s="106" customFormat="1" ht="14.25" customHeight="1" x14ac:dyDescent="0.25">
      <c r="A98" s="62"/>
      <c r="B98" s="99" t="s">
        <v>55</v>
      </c>
      <c r="C98" s="100" t="s">
        <v>147</v>
      </c>
      <c r="D98" s="100" t="s">
        <v>148</v>
      </c>
      <c r="E98" s="65" t="s">
        <v>309</v>
      </c>
      <c r="F98" s="102">
        <v>45719</v>
      </c>
      <c r="G98" s="102">
        <v>45723</v>
      </c>
      <c r="H98" s="105"/>
      <c r="I98" s="105">
        <v>0.33333333333333331</v>
      </c>
      <c r="J98" s="102"/>
      <c r="K98" s="102"/>
      <c r="L98" s="102"/>
      <c r="M98" s="102"/>
      <c r="N98" s="101">
        <v>0.33333333333333331</v>
      </c>
      <c r="O98" s="99" t="s">
        <v>160</v>
      </c>
      <c r="P98" s="99"/>
      <c r="Q98" s="15">
        <v>25</v>
      </c>
      <c r="R98" s="15">
        <v>5</v>
      </c>
      <c r="S98" s="15"/>
      <c r="T98" s="103"/>
      <c r="U98" s="15"/>
      <c r="V98" s="15"/>
      <c r="W98" s="15"/>
      <c r="X98" s="99"/>
      <c r="Y98" s="71">
        <f ca="1">Table24[[#This Row],[End Date]]+2-TODAY()</f>
        <v>193</v>
      </c>
      <c r="Z98" s="15">
        <f>IF(ISBLANK(Table24[[#This Row],[Roster Received By]]),1,0)</f>
        <v>1</v>
      </c>
      <c r="AA98" s="15">
        <f ca="1">IF(Table24[[#This Row],[Start Date]]&gt;TODAY(),1,)</f>
        <v>1</v>
      </c>
    </row>
    <row r="99" spans="1:27" s="106" customFormat="1" ht="14.25" customHeight="1" x14ac:dyDescent="0.25">
      <c r="A99" s="62"/>
      <c r="B99" s="99" t="s">
        <v>55</v>
      </c>
      <c r="C99" s="100" t="s">
        <v>147</v>
      </c>
      <c r="D99" s="100" t="s">
        <v>148</v>
      </c>
      <c r="E99" s="99" t="s">
        <v>266</v>
      </c>
      <c r="F99" s="67">
        <v>45642</v>
      </c>
      <c r="G99" s="102">
        <v>45646</v>
      </c>
      <c r="H99" s="102"/>
      <c r="I99" s="101">
        <v>0.33333333333333331</v>
      </c>
      <c r="J99" s="101"/>
      <c r="K99" s="101"/>
      <c r="L99" s="101"/>
      <c r="M99" s="101"/>
      <c r="N99" s="101"/>
      <c r="O99" s="99" t="s">
        <v>160</v>
      </c>
      <c r="P99" s="99"/>
      <c r="Q99" s="15">
        <v>25</v>
      </c>
      <c r="R99" s="15">
        <v>5</v>
      </c>
      <c r="S99" s="15"/>
      <c r="T99" s="103"/>
      <c r="U99" s="15"/>
      <c r="V99" s="15"/>
      <c r="W99" s="15"/>
      <c r="X99" s="99"/>
      <c r="Y99" s="71">
        <f ca="1">Table24[[#This Row],[End Date]]+2-TODAY()</f>
        <v>116</v>
      </c>
      <c r="Z99" s="15">
        <f>IF(ISBLANK(Table24[[#This Row],[Roster Received By]]),1,0)</f>
        <v>1</v>
      </c>
      <c r="AA99" s="15">
        <f ca="1">IF(Table24[[#This Row],[Start Date]]&gt;TODAY(),1,)</f>
        <v>1</v>
      </c>
    </row>
    <row r="100" spans="1:27" s="135" customFormat="1" x14ac:dyDescent="0.25">
      <c r="A100" s="62"/>
      <c r="B100" s="99" t="s">
        <v>55</v>
      </c>
      <c r="C100" s="100" t="s">
        <v>147</v>
      </c>
      <c r="D100" s="100" t="s">
        <v>148</v>
      </c>
      <c r="E100" s="99" t="s">
        <v>266</v>
      </c>
      <c r="F100" s="102">
        <v>45894</v>
      </c>
      <c r="G100" s="102">
        <v>45898</v>
      </c>
      <c r="H100" s="105"/>
      <c r="I100" s="101">
        <v>0.33333333333333331</v>
      </c>
      <c r="J100" s="102"/>
      <c r="K100" s="102"/>
      <c r="L100" s="102"/>
      <c r="M100" s="102"/>
      <c r="N100" s="102"/>
      <c r="O100" s="99" t="s">
        <v>160</v>
      </c>
      <c r="P100" s="99"/>
      <c r="Q100" s="15">
        <v>25</v>
      </c>
      <c r="R100" s="15">
        <v>5</v>
      </c>
      <c r="S100" s="15"/>
      <c r="T100" s="103"/>
      <c r="U100" s="15"/>
      <c r="V100" s="15"/>
      <c r="W100" s="15"/>
      <c r="X100" s="99"/>
      <c r="Y100" s="71">
        <f ca="1">Table24[[#This Row],[End Date]]+2-TODAY()</f>
        <v>368</v>
      </c>
      <c r="Z100" s="15">
        <f>IF(ISBLANK(Table24[[#This Row],[Roster Received By]]),1,0)</f>
        <v>1</v>
      </c>
      <c r="AA100" s="15">
        <f ca="1">IF(Table24[[#This Row],[Start Date]]&gt;TODAY(),1,)</f>
        <v>1</v>
      </c>
    </row>
    <row r="101" spans="1:27" s="135" customFormat="1" x14ac:dyDescent="0.25">
      <c r="A101" s="62"/>
      <c r="B101" s="99" t="s">
        <v>55</v>
      </c>
      <c r="C101" s="100" t="s">
        <v>147</v>
      </c>
      <c r="D101" s="100" t="s">
        <v>148</v>
      </c>
      <c r="E101" s="99" t="s">
        <v>306</v>
      </c>
      <c r="F101" s="98">
        <v>45775</v>
      </c>
      <c r="G101" s="98">
        <v>45779</v>
      </c>
      <c r="H101" s="67"/>
      <c r="I101" s="101">
        <v>0.33333333333333331</v>
      </c>
      <c r="J101" s="101">
        <v>0.33333333333333331</v>
      </c>
      <c r="K101" s="101"/>
      <c r="L101" s="101"/>
      <c r="M101" s="101"/>
      <c r="N101" s="101"/>
      <c r="O101" s="99" t="s">
        <v>160</v>
      </c>
      <c r="P101" s="99"/>
      <c r="Q101" s="15">
        <v>25</v>
      </c>
      <c r="R101" s="15">
        <v>5</v>
      </c>
      <c r="S101" s="15"/>
      <c r="T101" s="103"/>
      <c r="U101" s="15"/>
      <c r="V101" s="15"/>
      <c r="W101" s="15"/>
      <c r="X101" s="99"/>
      <c r="Y101" s="71">
        <f ca="1">Table24[[#This Row],[End Date]]+2-TODAY()</f>
        <v>249</v>
      </c>
      <c r="Z101" s="15">
        <f>IF(ISBLANK(Table24[[#This Row],[Roster Received By]]),1,0)</f>
        <v>1</v>
      </c>
      <c r="AA101" s="15">
        <f ca="1">IF(Table24[[#This Row],[Start Date]]&gt;TODAY(),1,)</f>
        <v>1</v>
      </c>
    </row>
    <row r="102" spans="1:27" s="135" customFormat="1" x14ac:dyDescent="0.25">
      <c r="A102" s="62"/>
      <c r="B102" s="99" t="s">
        <v>55</v>
      </c>
      <c r="C102" s="100" t="s">
        <v>147</v>
      </c>
      <c r="D102" s="100" t="s">
        <v>148</v>
      </c>
      <c r="E102" s="99" t="s">
        <v>306</v>
      </c>
      <c r="F102" s="102">
        <v>45782</v>
      </c>
      <c r="G102" s="102">
        <v>45786</v>
      </c>
      <c r="H102" s="102"/>
      <c r="I102" s="101">
        <v>0.33333333333333331</v>
      </c>
      <c r="J102" s="101">
        <v>0.33333333333333331</v>
      </c>
      <c r="K102" s="101"/>
      <c r="L102" s="101"/>
      <c r="M102" s="101"/>
      <c r="N102" s="101"/>
      <c r="O102" s="99" t="s">
        <v>160</v>
      </c>
      <c r="P102" s="99"/>
      <c r="Q102" s="15">
        <v>25</v>
      </c>
      <c r="R102" s="15">
        <v>5</v>
      </c>
      <c r="S102" s="15"/>
      <c r="T102" s="103"/>
      <c r="U102" s="15"/>
      <c r="V102" s="15"/>
      <c r="W102" s="15"/>
      <c r="X102" s="99"/>
      <c r="Y102" s="71">
        <f ca="1">Table24[[#This Row],[End Date]]+2-TODAY()</f>
        <v>256</v>
      </c>
      <c r="Z102" s="15">
        <f>IF(ISBLANK(Table24[[#This Row],[Roster Received By]]),1,0)</f>
        <v>1</v>
      </c>
      <c r="AA102" s="15">
        <f ca="1">IF(Table24[[#This Row],[Start Date]]&gt;TODAY(),1,)</f>
        <v>1</v>
      </c>
    </row>
    <row r="103" spans="1:27" s="106" customFormat="1" ht="14.25" customHeight="1" x14ac:dyDescent="0.25">
      <c r="A103" s="62"/>
      <c r="B103" s="99" t="s">
        <v>55</v>
      </c>
      <c r="C103" s="100" t="s">
        <v>147</v>
      </c>
      <c r="D103" s="100" t="s">
        <v>148</v>
      </c>
      <c r="E103" s="99" t="s">
        <v>99</v>
      </c>
      <c r="F103" s="102">
        <v>45754</v>
      </c>
      <c r="G103" s="102">
        <v>45758</v>
      </c>
      <c r="H103" s="102"/>
      <c r="I103" s="101">
        <v>0.33333333333333331</v>
      </c>
      <c r="J103" s="101"/>
      <c r="K103" s="101"/>
      <c r="L103" s="101"/>
      <c r="M103" s="101"/>
      <c r="N103" s="101"/>
      <c r="O103" s="99" t="s">
        <v>160</v>
      </c>
      <c r="P103" s="99"/>
      <c r="Q103" s="15">
        <v>25</v>
      </c>
      <c r="R103" s="15">
        <v>5</v>
      </c>
      <c r="S103" s="15"/>
      <c r="T103" s="103"/>
      <c r="U103" s="15"/>
      <c r="V103" s="15"/>
      <c r="W103" s="15"/>
      <c r="X103" s="99"/>
      <c r="Y103" s="71">
        <f ca="1">Table24[[#This Row],[End Date]]+2-TODAY()</f>
        <v>228</v>
      </c>
      <c r="Z103" s="15">
        <f>IF(ISBLANK(Table24[[#This Row],[Roster Received By]]),1,0)</f>
        <v>1</v>
      </c>
      <c r="AA103" s="15">
        <f ca="1">IF(Table24[[#This Row],[Start Date]]&gt;TODAY(),1,)</f>
        <v>1</v>
      </c>
    </row>
    <row r="104" spans="1:27" s="106" customFormat="1" ht="16.5" customHeight="1" x14ac:dyDescent="0.25">
      <c r="A104" s="62"/>
      <c r="B104" s="99" t="s">
        <v>55</v>
      </c>
      <c r="C104" s="100" t="s">
        <v>147</v>
      </c>
      <c r="D104" s="100" t="s">
        <v>148</v>
      </c>
      <c r="E104" s="99" t="s">
        <v>99</v>
      </c>
      <c r="F104" s="102">
        <v>45761</v>
      </c>
      <c r="G104" s="102">
        <v>45765</v>
      </c>
      <c r="H104" s="102"/>
      <c r="I104" s="101">
        <v>0.33333333333333331</v>
      </c>
      <c r="J104" s="101"/>
      <c r="K104" s="101"/>
      <c r="L104" s="101"/>
      <c r="M104" s="101"/>
      <c r="N104" s="101"/>
      <c r="O104" s="99" t="s">
        <v>160</v>
      </c>
      <c r="P104" s="99"/>
      <c r="Q104" s="15">
        <v>25</v>
      </c>
      <c r="R104" s="15">
        <v>5</v>
      </c>
      <c r="S104" s="15"/>
      <c r="T104" s="103"/>
      <c r="U104" s="15"/>
      <c r="V104" s="15"/>
      <c r="W104" s="107"/>
      <c r="X104" s="99"/>
      <c r="Y104" s="71">
        <f ca="1">Table24[[#This Row],[End Date]]+2-TODAY()</f>
        <v>235</v>
      </c>
      <c r="Z104" s="15">
        <f>IF(ISBLANK(Table24[[#This Row],[Roster Received By]]),1,0)</f>
        <v>1</v>
      </c>
      <c r="AA104" s="15">
        <f ca="1">IF(Table24[[#This Row],[Start Date]]&gt;TODAY(),1,)</f>
        <v>1</v>
      </c>
    </row>
    <row r="105" spans="1:27" s="106" customFormat="1" ht="14.25" customHeight="1" x14ac:dyDescent="0.25">
      <c r="A105" s="62"/>
      <c r="B105" s="99" t="s">
        <v>55</v>
      </c>
      <c r="C105" s="100" t="s">
        <v>147</v>
      </c>
      <c r="D105" s="100" t="s">
        <v>148</v>
      </c>
      <c r="E105" s="99" t="s">
        <v>206</v>
      </c>
      <c r="F105" s="102">
        <v>45628</v>
      </c>
      <c r="G105" s="102">
        <v>45632</v>
      </c>
      <c r="H105" s="105"/>
      <c r="I105" s="101">
        <v>0.33333333333333331</v>
      </c>
      <c r="J105" s="102"/>
      <c r="K105" s="102"/>
      <c r="L105" s="102"/>
      <c r="M105" s="102"/>
      <c r="N105" s="102"/>
      <c r="O105" s="99" t="s">
        <v>160</v>
      </c>
      <c r="P105" s="99"/>
      <c r="Q105" s="15">
        <v>25</v>
      </c>
      <c r="R105" s="15">
        <v>5</v>
      </c>
      <c r="S105" s="15"/>
      <c r="T105" s="103"/>
      <c r="U105" s="15"/>
      <c r="V105" s="15"/>
      <c r="W105" s="15"/>
      <c r="X105" s="99"/>
      <c r="Y105" s="71">
        <f ca="1">Table24[[#This Row],[End Date]]+2-TODAY()</f>
        <v>102</v>
      </c>
      <c r="Z105" s="15">
        <f>IF(ISBLANK(Table24[[#This Row],[Roster Received By]]),1,0)</f>
        <v>1</v>
      </c>
      <c r="AA105" s="15">
        <f ca="1">IF(Table24[[#This Row],[Start Date]]&gt;TODAY(),1,)</f>
        <v>1</v>
      </c>
    </row>
    <row r="106" spans="1:27" s="106" customFormat="1" ht="14.25" customHeight="1" x14ac:dyDescent="0.25">
      <c r="A106" s="62"/>
      <c r="B106" s="99" t="s">
        <v>55</v>
      </c>
      <c r="C106" s="100" t="s">
        <v>147</v>
      </c>
      <c r="D106" s="100" t="s">
        <v>148</v>
      </c>
      <c r="E106" s="99" t="s">
        <v>206</v>
      </c>
      <c r="F106" s="102">
        <v>45635</v>
      </c>
      <c r="G106" s="102">
        <v>45639</v>
      </c>
      <c r="H106" s="105"/>
      <c r="I106" s="101">
        <v>0.33333333333333331</v>
      </c>
      <c r="J106" s="105"/>
      <c r="K106" s="105"/>
      <c r="L106" s="105"/>
      <c r="M106" s="105"/>
      <c r="N106" s="102"/>
      <c r="O106" s="99" t="s">
        <v>160</v>
      </c>
      <c r="P106" s="99"/>
      <c r="Q106" s="15">
        <v>25</v>
      </c>
      <c r="R106" s="15">
        <v>5</v>
      </c>
      <c r="S106" s="15"/>
      <c r="T106" s="103"/>
      <c r="U106" s="15"/>
      <c r="V106" s="15"/>
      <c r="W106" s="15"/>
      <c r="X106" s="99"/>
      <c r="Y106" s="71">
        <f ca="1">Table24[[#This Row],[End Date]]+2-TODAY()</f>
        <v>109</v>
      </c>
      <c r="Z106" s="15">
        <f>IF(ISBLANK(Table24[[#This Row],[Roster Received By]]),1,0)</f>
        <v>1</v>
      </c>
      <c r="AA106" s="15">
        <f ca="1">IF(Table24[[#This Row],[Start Date]]&gt;TODAY(),1,)</f>
        <v>1</v>
      </c>
    </row>
    <row r="107" spans="1:27" s="136" customFormat="1" ht="14.25" customHeight="1" x14ac:dyDescent="0.25">
      <c r="A107" s="62"/>
      <c r="B107" s="99" t="s">
        <v>55</v>
      </c>
      <c r="C107" s="100" t="s">
        <v>147</v>
      </c>
      <c r="D107" s="100" t="s">
        <v>148</v>
      </c>
      <c r="E107" s="99" t="s">
        <v>266</v>
      </c>
      <c r="F107" s="102">
        <v>45586</v>
      </c>
      <c r="G107" s="102">
        <v>45590</v>
      </c>
      <c r="H107" s="105"/>
      <c r="I107" s="101">
        <v>0.33333333333333331</v>
      </c>
      <c r="J107" s="105"/>
      <c r="K107" s="105"/>
      <c r="L107" s="105"/>
      <c r="M107" s="105"/>
      <c r="N107" s="102"/>
      <c r="O107" s="99" t="s">
        <v>160</v>
      </c>
      <c r="P107" s="99"/>
      <c r="Q107" s="15">
        <v>25</v>
      </c>
      <c r="R107" s="15">
        <v>5</v>
      </c>
      <c r="S107" s="15"/>
      <c r="T107" s="103"/>
      <c r="U107" s="15"/>
      <c r="V107" s="15"/>
      <c r="W107" s="15"/>
      <c r="X107" s="99"/>
      <c r="Y107" s="71">
        <f ca="1">Table24[[#This Row],[End Date]]+2-TODAY()</f>
        <v>60</v>
      </c>
      <c r="Z107" s="15">
        <f>IF(ISBLANK(Table24[[#This Row],[Roster Received By]]),1,0)</f>
        <v>1</v>
      </c>
      <c r="AA107" s="15">
        <f ca="1">IF(Table24[[#This Row],[Start Date]]&gt;TODAY(),1,)</f>
        <v>1</v>
      </c>
    </row>
    <row r="108" spans="1:27" s="106" customFormat="1" ht="14.25" customHeight="1" x14ac:dyDescent="0.25">
      <c r="A108" s="62"/>
      <c r="B108" s="99" t="s">
        <v>55</v>
      </c>
      <c r="C108" s="100" t="s">
        <v>147</v>
      </c>
      <c r="D108" s="100" t="s">
        <v>148</v>
      </c>
      <c r="E108" s="99" t="s">
        <v>266</v>
      </c>
      <c r="F108" s="102">
        <v>45593</v>
      </c>
      <c r="G108" s="102">
        <v>45597</v>
      </c>
      <c r="H108" s="102"/>
      <c r="I108" s="101">
        <v>0.33333333333333331</v>
      </c>
      <c r="J108" s="101"/>
      <c r="K108" s="101"/>
      <c r="L108" s="101"/>
      <c r="M108" s="101"/>
      <c r="N108" s="101"/>
      <c r="O108" s="99" t="s">
        <v>160</v>
      </c>
      <c r="P108" s="99"/>
      <c r="Q108" s="15">
        <v>25</v>
      </c>
      <c r="R108" s="15">
        <v>5</v>
      </c>
      <c r="S108" s="15"/>
      <c r="T108" s="103"/>
      <c r="U108" s="15"/>
      <c r="V108" s="15"/>
      <c r="W108" s="15"/>
      <c r="X108" s="99"/>
      <c r="Y108" s="71">
        <f ca="1">Table24[[#This Row],[End Date]]+2-TODAY()</f>
        <v>67</v>
      </c>
      <c r="Z108" s="15">
        <f>IF(ISBLANK(Table24[[#This Row],[Roster Received By]]),1,0)</f>
        <v>1</v>
      </c>
      <c r="AA108" s="15">
        <f ca="1">IF(Table24[[#This Row],[Start Date]]&gt;TODAY(),1,)</f>
        <v>1</v>
      </c>
    </row>
    <row r="109" spans="1:27" s="106" customFormat="1" ht="14.25" customHeight="1" x14ac:dyDescent="0.25">
      <c r="A109" s="62"/>
      <c r="B109" s="99" t="s">
        <v>55</v>
      </c>
      <c r="C109" s="100" t="s">
        <v>147</v>
      </c>
      <c r="D109" s="100" t="s">
        <v>148</v>
      </c>
      <c r="E109" s="99" t="s">
        <v>266</v>
      </c>
      <c r="F109" s="102">
        <v>45663</v>
      </c>
      <c r="G109" s="102">
        <v>45667</v>
      </c>
      <c r="H109" s="102"/>
      <c r="I109" s="101">
        <v>0.33333333333333331</v>
      </c>
      <c r="J109" s="101"/>
      <c r="K109" s="101"/>
      <c r="L109" s="101"/>
      <c r="M109" s="101"/>
      <c r="N109" s="101"/>
      <c r="O109" s="99" t="s">
        <v>160</v>
      </c>
      <c r="P109" s="99"/>
      <c r="Q109" s="15">
        <v>25</v>
      </c>
      <c r="R109" s="15">
        <v>5</v>
      </c>
      <c r="S109" s="15"/>
      <c r="T109" s="103"/>
      <c r="U109" s="15"/>
      <c r="V109" s="15"/>
      <c r="W109" s="15"/>
      <c r="X109" s="99"/>
      <c r="Y109" s="71">
        <f ca="1">Table24[[#This Row],[End Date]]+2-TODAY()</f>
        <v>137</v>
      </c>
      <c r="Z109" s="15">
        <f>IF(ISBLANK(Table24[[#This Row],[Roster Received By]]),1,0)</f>
        <v>1</v>
      </c>
      <c r="AA109" s="15">
        <f ca="1">IF(Table24[[#This Row],[Start Date]]&gt;TODAY(),1,)</f>
        <v>1</v>
      </c>
    </row>
    <row r="110" spans="1:27" s="106" customFormat="1" ht="14.25" customHeight="1" x14ac:dyDescent="0.25">
      <c r="A110" s="62"/>
      <c r="B110" s="99" t="s">
        <v>55</v>
      </c>
      <c r="C110" s="100" t="s">
        <v>147</v>
      </c>
      <c r="D110" s="100" t="s">
        <v>148</v>
      </c>
      <c r="E110" s="99" t="s">
        <v>266</v>
      </c>
      <c r="F110" s="67">
        <v>45670</v>
      </c>
      <c r="G110" s="67">
        <v>45674</v>
      </c>
      <c r="H110" s="101"/>
      <c r="I110" s="101">
        <v>0.33333333333333331</v>
      </c>
      <c r="J110" s="102"/>
      <c r="K110" s="102"/>
      <c r="L110" s="102"/>
      <c r="M110" s="102"/>
      <c r="N110" s="102"/>
      <c r="O110" s="99" t="s">
        <v>160</v>
      </c>
      <c r="P110" s="99"/>
      <c r="Q110" s="15">
        <v>25</v>
      </c>
      <c r="R110" s="15">
        <v>5</v>
      </c>
      <c r="S110" s="15"/>
      <c r="T110" s="103"/>
      <c r="U110" s="15"/>
      <c r="V110" s="15"/>
      <c r="W110" s="15"/>
      <c r="X110" s="99"/>
      <c r="Y110" s="71">
        <f ca="1">Table24[[#This Row],[End Date]]+2-TODAY()</f>
        <v>144</v>
      </c>
      <c r="Z110" s="15">
        <f>IF(ISBLANK(Table24[[#This Row],[Roster Received By]]),1,0)</f>
        <v>1</v>
      </c>
      <c r="AA110" s="15">
        <f ca="1">IF(Table24[[#This Row],[Start Date]]&gt;TODAY(),1,)</f>
        <v>1</v>
      </c>
    </row>
    <row r="111" spans="1:27" s="106" customFormat="1" ht="14.25" customHeight="1" x14ac:dyDescent="0.25">
      <c r="A111" s="62"/>
      <c r="B111" s="99" t="s">
        <v>55</v>
      </c>
      <c r="C111" s="100" t="s">
        <v>147</v>
      </c>
      <c r="D111" s="100" t="s">
        <v>148</v>
      </c>
      <c r="E111" s="99" t="s">
        <v>266</v>
      </c>
      <c r="F111" s="102">
        <v>45754</v>
      </c>
      <c r="G111" s="102">
        <v>45758</v>
      </c>
      <c r="H111" s="102"/>
      <c r="I111" s="101">
        <v>0.33333333333333331</v>
      </c>
      <c r="J111" s="101"/>
      <c r="K111" s="101"/>
      <c r="L111" s="101"/>
      <c r="M111" s="101"/>
      <c r="N111" s="101"/>
      <c r="O111" s="99" t="s">
        <v>160</v>
      </c>
      <c r="P111" s="99"/>
      <c r="Q111" s="15">
        <v>25</v>
      </c>
      <c r="R111" s="15">
        <v>5</v>
      </c>
      <c r="S111" s="15"/>
      <c r="T111" s="103"/>
      <c r="U111" s="15"/>
      <c r="V111" s="15"/>
      <c r="W111" s="100"/>
      <c r="X111" s="99"/>
      <c r="Y111" s="71">
        <f ca="1">Table24[[#This Row],[End Date]]+2-TODAY()</f>
        <v>228</v>
      </c>
      <c r="Z111" s="15">
        <f>IF(ISBLANK(Table24[[#This Row],[Roster Received By]]),1,0)</f>
        <v>1</v>
      </c>
      <c r="AA111" s="15">
        <f ca="1">IF(Table24[[#This Row],[Start Date]]&gt;TODAY(),1,)</f>
        <v>1</v>
      </c>
    </row>
    <row r="112" spans="1:27" s="106" customFormat="1" ht="14.25" customHeight="1" x14ac:dyDescent="0.25">
      <c r="A112" s="62"/>
      <c r="B112" s="99" t="s">
        <v>55</v>
      </c>
      <c r="C112" s="100" t="s">
        <v>147</v>
      </c>
      <c r="D112" s="100" t="s">
        <v>148</v>
      </c>
      <c r="E112" s="99" t="s">
        <v>266</v>
      </c>
      <c r="F112" s="102">
        <v>45761</v>
      </c>
      <c r="G112" s="102">
        <v>45765</v>
      </c>
      <c r="H112" s="102"/>
      <c r="I112" s="101">
        <v>0.33333333333333331</v>
      </c>
      <c r="J112" s="101"/>
      <c r="K112" s="101"/>
      <c r="L112" s="101"/>
      <c r="M112" s="101"/>
      <c r="N112" s="101"/>
      <c r="O112" s="99" t="s">
        <v>160</v>
      </c>
      <c r="P112" s="99"/>
      <c r="Q112" s="15">
        <v>25</v>
      </c>
      <c r="R112" s="15">
        <v>5</v>
      </c>
      <c r="S112" s="15"/>
      <c r="T112" s="103"/>
      <c r="U112" s="15"/>
      <c r="V112" s="15"/>
      <c r="W112" s="15"/>
      <c r="X112" s="99"/>
      <c r="Y112" s="71">
        <f ca="1">Table24[[#This Row],[End Date]]+2-TODAY()</f>
        <v>235</v>
      </c>
      <c r="Z112" s="15">
        <f>IF(ISBLANK(Table24[[#This Row],[Roster Received By]]),1,0)</f>
        <v>1</v>
      </c>
      <c r="AA112" s="15">
        <f ca="1">IF(Table24[[#This Row],[Start Date]]&gt;TODAY(),1,)</f>
        <v>1</v>
      </c>
    </row>
    <row r="113" spans="1:27" s="106" customFormat="1" ht="14.25" customHeight="1" x14ac:dyDescent="0.25">
      <c r="A113" s="62"/>
      <c r="B113" s="99" t="s">
        <v>55</v>
      </c>
      <c r="C113" s="100" t="s">
        <v>147</v>
      </c>
      <c r="D113" s="100" t="s">
        <v>148</v>
      </c>
      <c r="E113" s="99" t="s">
        <v>266</v>
      </c>
      <c r="F113" s="102">
        <v>45845</v>
      </c>
      <c r="G113" s="102">
        <v>45849</v>
      </c>
      <c r="H113" s="102"/>
      <c r="I113" s="101">
        <v>0.33333333333333331</v>
      </c>
      <c r="J113" s="101"/>
      <c r="K113" s="101"/>
      <c r="L113" s="101"/>
      <c r="M113" s="101"/>
      <c r="N113" s="101"/>
      <c r="O113" s="99" t="s">
        <v>160</v>
      </c>
      <c r="P113" s="99"/>
      <c r="Q113" s="15">
        <v>25</v>
      </c>
      <c r="R113" s="15">
        <v>5</v>
      </c>
      <c r="S113" s="15"/>
      <c r="T113" s="103"/>
      <c r="U113" s="15"/>
      <c r="V113" s="15"/>
      <c r="W113" s="104"/>
      <c r="X113" s="99"/>
      <c r="Y113" s="71">
        <f ca="1">Table24[[#This Row],[End Date]]+2-TODAY()</f>
        <v>319</v>
      </c>
      <c r="Z113" s="15">
        <f>IF(ISBLANK(Table24[[#This Row],[Roster Received By]]),1,0)</f>
        <v>1</v>
      </c>
      <c r="AA113" s="15">
        <f ca="1">IF(Table24[[#This Row],[Start Date]]&gt;TODAY(),1,)</f>
        <v>1</v>
      </c>
    </row>
    <row r="114" spans="1:27" s="106" customFormat="1" ht="14.25" customHeight="1" x14ac:dyDescent="0.25">
      <c r="A114" s="62"/>
      <c r="B114" s="99" t="s">
        <v>55</v>
      </c>
      <c r="C114" s="100" t="s">
        <v>147</v>
      </c>
      <c r="D114" s="100" t="s">
        <v>148</v>
      </c>
      <c r="E114" s="99" t="s">
        <v>266</v>
      </c>
      <c r="F114" s="67">
        <v>45852</v>
      </c>
      <c r="G114" s="67">
        <v>45856</v>
      </c>
      <c r="H114" s="108"/>
      <c r="I114" s="101">
        <v>0.33333333333333331</v>
      </c>
      <c r="J114" s="102"/>
      <c r="K114" s="102"/>
      <c r="L114" s="102"/>
      <c r="M114" s="102"/>
      <c r="N114" s="102"/>
      <c r="O114" s="99" t="s">
        <v>160</v>
      </c>
      <c r="P114" s="99"/>
      <c r="Q114" s="15">
        <v>25</v>
      </c>
      <c r="R114" s="15">
        <v>5</v>
      </c>
      <c r="S114" s="15"/>
      <c r="T114" s="103"/>
      <c r="U114" s="15"/>
      <c r="V114" s="15"/>
      <c r="W114" s="15"/>
      <c r="X114" s="99"/>
      <c r="Y114" s="71">
        <f ca="1">Table24[[#This Row],[End Date]]+2-TODAY()</f>
        <v>326</v>
      </c>
      <c r="Z114" s="15">
        <f>IF(ISBLANK(Table24[[#This Row],[Roster Received By]]),1,0)</f>
        <v>1</v>
      </c>
      <c r="AA114" s="15">
        <f ca="1">IF(Table24[[#This Row],[Start Date]]&gt;TODAY(),1,)</f>
        <v>1</v>
      </c>
    </row>
    <row r="115" spans="1:27" s="106" customFormat="1" ht="14.25" customHeight="1" x14ac:dyDescent="0.25">
      <c r="A115" s="62"/>
      <c r="B115" s="99" t="s">
        <v>55</v>
      </c>
      <c r="C115" s="100" t="s">
        <v>147</v>
      </c>
      <c r="D115" s="100" t="s">
        <v>148</v>
      </c>
      <c r="E115" s="99" t="s">
        <v>266</v>
      </c>
      <c r="F115" s="67">
        <v>45873</v>
      </c>
      <c r="G115" s="102">
        <v>45877</v>
      </c>
      <c r="H115" s="102"/>
      <c r="I115" s="101">
        <v>0.33333333333333331</v>
      </c>
      <c r="J115" s="101"/>
      <c r="K115" s="101"/>
      <c r="L115" s="101"/>
      <c r="M115" s="101"/>
      <c r="N115" s="101"/>
      <c r="O115" s="99" t="s">
        <v>160</v>
      </c>
      <c r="P115" s="99"/>
      <c r="Q115" s="15">
        <v>25</v>
      </c>
      <c r="R115" s="15">
        <v>5</v>
      </c>
      <c r="S115" s="15"/>
      <c r="T115" s="103"/>
      <c r="U115" s="15"/>
      <c r="V115" s="15"/>
      <c r="W115" s="15"/>
      <c r="X115" s="99"/>
      <c r="Y115" s="71">
        <f ca="1">Table24[[#This Row],[End Date]]+2-TODAY()</f>
        <v>347</v>
      </c>
      <c r="Z115" s="15">
        <f>IF(ISBLANK(Table24[[#This Row],[Roster Received By]]),1,0)</f>
        <v>1</v>
      </c>
      <c r="AA115" s="15">
        <f ca="1">IF(Table24[[#This Row],[Start Date]]&gt;TODAY(),1,)</f>
        <v>1</v>
      </c>
    </row>
    <row r="116" spans="1:27" s="135" customFormat="1" ht="14.25" customHeight="1" x14ac:dyDescent="0.25">
      <c r="A116" s="62"/>
      <c r="B116" s="99" t="s">
        <v>55</v>
      </c>
      <c r="C116" s="100" t="s">
        <v>147</v>
      </c>
      <c r="D116" s="100" t="s">
        <v>148</v>
      </c>
      <c r="E116" s="99" t="s">
        <v>266</v>
      </c>
      <c r="F116" s="102">
        <v>45887</v>
      </c>
      <c r="G116" s="102">
        <v>45891</v>
      </c>
      <c r="H116" s="105"/>
      <c r="I116" s="101">
        <v>0.33333333333333331</v>
      </c>
      <c r="J116" s="102"/>
      <c r="K116" s="102"/>
      <c r="L116" s="102"/>
      <c r="M116" s="102"/>
      <c r="N116" s="102"/>
      <c r="O116" s="99" t="s">
        <v>160</v>
      </c>
      <c r="P116" s="99"/>
      <c r="Q116" s="15">
        <v>25</v>
      </c>
      <c r="R116" s="15">
        <v>5</v>
      </c>
      <c r="S116" s="15"/>
      <c r="T116" s="103"/>
      <c r="U116" s="15"/>
      <c r="V116" s="15"/>
      <c r="W116" s="15"/>
      <c r="X116" s="99"/>
      <c r="Y116" s="71">
        <f ca="1">Table24[[#This Row],[End Date]]+2-TODAY()</f>
        <v>361</v>
      </c>
      <c r="Z116" s="15">
        <f>IF(ISBLANK(Table24[[#This Row],[Roster Received By]]),1,0)</f>
        <v>1</v>
      </c>
      <c r="AA116" s="15">
        <f ca="1">IF(Table24[[#This Row],[Start Date]]&gt;TODAY(),1,)</f>
        <v>1</v>
      </c>
    </row>
    <row r="117" spans="1:27" s="106" customFormat="1" ht="14.25" customHeight="1" x14ac:dyDescent="0.25">
      <c r="A117" s="99"/>
      <c r="B117" s="99" t="s">
        <v>55</v>
      </c>
      <c r="C117" s="100" t="s">
        <v>147</v>
      </c>
      <c r="D117" s="100" t="s">
        <v>148</v>
      </c>
      <c r="E117" s="99" t="s">
        <v>276</v>
      </c>
      <c r="F117" s="102">
        <v>45887</v>
      </c>
      <c r="G117" s="102">
        <v>45891</v>
      </c>
      <c r="H117" s="102"/>
      <c r="I117" s="101"/>
      <c r="J117" s="101"/>
      <c r="K117" s="101"/>
      <c r="L117" s="101"/>
      <c r="M117" s="101">
        <v>0.33333333333333331</v>
      </c>
      <c r="N117" s="101"/>
      <c r="O117" s="99" t="s">
        <v>160</v>
      </c>
      <c r="P117" s="99"/>
      <c r="Q117" s="15">
        <v>25</v>
      </c>
      <c r="R117" s="15">
        <v>5</v>
      </c>
      <c r="S117" s="15"/>
      <c r="T117" s="103"/>
      <c r="U117" s="15"/>
      <c r="V117" s="15"/>
      <c r="W117" s="15"/>
      <c r="X117" s="99"/>
      <c r="Y117" s="71">
        <f ca="1">Table24[[#This Row],[End Date]]+2-TODAY()</f>
        <v>361</v>
      </c>
      <c r="Z117" s="15">
        <f>IF(ISBLANK(Table24[[#This Row],[Roster Received By]]),1,0)</f>
        <v>1</v>
      </c>
      <c r="AA117" s="15">
        <f ca="1">IF(Table24[[#This Row],[Start Date]]&gt;TODAY(),1,)</f>
        <v>1</v>
      </c>
    </row>
    <row r="118" spans="1:27" s="106" customFormat="1" ht="14.25" customHeight="1" x14ac:dyDescent="0.25">
      <c r="A118" s="62"/>
      <c r="B118" s="99" t="s">
        <v>55</v>
      </c>
      <c r="C118" s="100" t="s">
        <v>147</v>
      </c>
      <c r="D118" s="100" t="s">
        <v>148</v>
      </c>
      <c r="E118" s="99" t="s">
        <v>292</v>
      </c>
      <c r="F118" s="102">
        <v>45586</v>
      </c>
      <c r="G118" s="102">
        <v>45590</v>
      </c>
      <c r="H118" s="105"/>
      <c r="I118" s="105"/>
      <c r="J118" s="101">
        <v>0.33333333333333331</v>
      </c>
      <c r="K118" s="105"/>
      <c r="L118" s="105"/>
      <c r="M118" s="105"/>
      <c r="N118" s="102"/>
      <c r="O118" s="99" t="s">
        <v>160</v>
      </c>
      <c r="P118" s="99"/>
      <c r="Q118" s="15">
        <v>25</v>
      </c>
      <c r="R118" s="15">
        <v>5</v>
      </c>
      <c r="S118" s="15"/>
      <c r="T118" s="103"/>
      <c r="U118" s="15"/>
      <c r="V118" s="15"/>
      <c r="W118" s="15"/>
      <c r="X118" s="99"/>
      <c r="Y118" s="71">
        <f ca="1">Table24[[#This Row],[End Date]]+2-TODAY()</f>
        <v>60</v>
      </c>
      <c r="Z118" s="15">
        <f>IF(ISBLANK(Table24[[#This Row],[Roster Received By]]),1,0)</f>
        <v>1</v>
      </c>
      <c r="AA118" s="15">
        <f ca="1">IF(Table24[[#This Row],[Start Date]]&gt;TODAY(),1,)</f>
        <v>1</v>
      </c>
    </row>
    <row r="119" spans="1:27" s="106" customFormat="1" ht="14.25" customHeight="1" x14ac:dyDescent="0.25">
      <c r="A119" s="62"/>
      <c r="B119" s="99" t="s">
        <v>55</v>
      </c>
      <c r="C119" s="100" t="s">
        <v>147</v>
      </c>
      <c r="D119" s="100" t="s">
        <v>148</v>
      </c>
      <c r="E119" s="99" t="s">
        <v>292</v>
      </c>
      <c r="F119" s="102">
        <v>45593</v>
      </c>
      <c r="G119" s="102">
        <v>45597</v>
      </c>
      <c r="H119" s="101"/>
      <c r="I119" s="101"/>
      <c r="J119" s="101">
        <v>0.33333333333333331</v>
      </c>
      <c r="K119" s="102"/>
      <c r="L119" s="102"/>
      <c r="M119" s="102"/>
      <c r="N119" s="102"/>
      <c r="O119" s="99" t="s">
        <v>160</v>
      </c>
      <c r="P119" s="99"/>
      <c r="Q119" s="15">
        <v>25</v>
      </c>
      <c r="R119" s="15">
        <v>5</v>
      </c>
      <c r="S119" s="15"/>
      <c r="T119" s="103"/>
      <c r="U119" s="15"/>
      <c r="V119" s="15"/>
      <c r="W119" s="15"/>
      <c r="X119" s="99"/>
      <c r="Y119" s="71">
        <f ca="1">Table24[[#This Row],[End Date]]+2-TODAY()</f>
        <v>67</v>
      </c>
      <c r="Z119" s="15">
        <f>IF(ISBLANK(Table24[[#This Row],[Roster Received By]]),1,0)</f>
        <v>1</v>
      </c>
      <c r="AA119" s="15">
        <f ca="1">IF(Table24[[#This Row],[Start Date]]&gt;TODAY(),1,)</f>
        <v>1</v>
      </c>
    </row>
    <row r="120" spans="1:27" s="106" customFormat="1" ht="14.25" customHeight="1" x14ac:dyDescent="0.25">
      <c r="A120" s="62"/>
      <c r="B120" s="99" t="s">
        <v>55</v>
      </c>
      <c r="C120" s="100" t="s">
        <v>147</v>
      </c>
      <c r="D120" s="100" t="s">
        <v>148</v>
      </c>
      <c r="E120" s="99" t="s">
        <v>292</v>
      </c>
      <c r="F120" s="67">
        <v>45642</v>
      </c>
      <c r="G120" s="102">
        <v>45646</v>
      </c>
      <c r="H120" s="102"/>
      <c r="I120" s="101"/>
      <c r="J120" s="101">
        <v>0.33333333333333331</v>
      </c>
      <c r="K120" s="101"/>
      <c r="L120" s="101"/>
      <c r="M120" s="101"/>
      <c r="N120" s="101"/>
      <c r="O120" s="99" t="s">
        <v>160</v>
      </c>
      <c r="P120" s="99"/>
      <c r="Q120" s="15">
        <v>25</v>
      </c>
      <c r="R120" s="15">
        <v>5</v>
      </c>
      <c r="S120" s="15"/>
      <c r="T120" s="103"/>
      <c r="U120" s="15"/>
      <c r="V120" s="15"/>
      <c r="W120" s="15"/>
      <c r="X120" s="99"/>
      <c r="Y120" s="71">
        <f ca="1">Table24[[#This Row],[End Date]]+2-TODAY()</f>
        <v>116</v>
      </c>
      <c r="Z120" s="15">
        <f>IF(ISBLANK(Table24[[#This Row],[Roster Received By]]),1,0)</f>
        <v>1</v>
      </c>
      <c r="AA120" s="15">
        <f ca="1">IF(Table24[[#This Row],[Start Date]]&gt;TODAY(),1,)</f>
        <v>1</v>
      </c>
    </row>
    <row r="121" spans="1:27" s="106" customFormat="1" ht="14.25" customHeight="1" x14ac:dyDescent="0.25">
      <c r="A121" s="62"/>
      <c r="B121" s="99" t="s">
        <v>55</v>
      </c>
      <c r="C121" s="100" t="s">
        <v>147</v>
      </c>
      <c r="D121" s="100" t="s">
        <v>148</v>
      </c>
      <c r="E121" s="99" t="s">
        <v>292</v>
      </c>
      <c r="F121" s="102">
        <v>45684</v>
      </c>
      <c r="G121" s="102">
        <v>45688</v>
      </c>
      <c r="H121" s="105"/>
      <c r="I121" s="105"/>
      <c r="J121" s="101">
        <v>0.33333333333333331</v>
      </c>
      <c r="K121" s="102"/>
      <c r="L121" s="102"/>
      <c r="M121" s="102"/>
      <c r="N121" s="102"/>
      <c r="O121" s="99" t="s">
        <v>160</v>
      </c>
      <c r="P121" s="99"/>
      <c r="Q121" s="15">
        <v>25</v>
      </c>
      <c r="R121" s="15">
        <v>5</v>
      </c>
      <c r="S121" s="15"/>
      <c r="T121" s="103"/>
      <c r="U121" s="15"/>
      <c r="V121" s="15"/>
      <c r="W121" s="15"/>
      <c r="X121" s="99"/>
      <c r="Y121" s="71">
        <f ca="1">Table24[[#This Row],[End Date]]+2-TODAY()</f>
        <v>158</v>
      </c>
      <c r="Z121" s="15">
        <f>IF(ISBLANK(Table24[[#This Row],[Roster Received By]]),1,0)</f>
        <v>1</v>
      </c>
      <c r="AA121" s="15">
        <f ca="1">IF(Table24[[#This Row],[Start Date]]&gt;TODAY(),1,)</f>
        <v>1</v>
      </c>
    </row>
    <row r="122" spans="1:27" s="106" customFormat="1" ht="14.25" customHeight="1" x14ac:dyDescent="0.25">
      <c r="A122" s="62"/>
      <c r="B122" s="99" t="s">
        <v>55</v>
      </c>
      <c r="C122" s="100" t="s">
        <v>147</v>
      </c>
      <c r="D122" s="100" t="s">
        <v>148</v>
      </c>
      <c r="E122" s="99" t="s">
        <v>292</v>
      </c>
      <c r="F122" s="102">
        <v>45691</v>
      </c>
      <c r="G122" s="102">
        <v>45695</v>
      </c>
      <c r="H122" s="105"/>
      <c r="I122" s="105"/>
      <c r="J122" s="101">
        <v>0.33333333333333331</v>
      </c>
      <c r="K122" s="105"/>
      <c r="L122" s="105"/>
      <c r="M122" s="105"/>
      <c r="N122" s="102"/>
      <c r="O122" s="99" t="s">
        <v>160</v>
      </c>
      <c r="P122" s="99"/>
      <c r="Q122" s="15">
        <v>25</v>
      </c>
      <c r="R122" s="15">
        <v>5</v>
      </c>
      <c r="S122" s="15"/>
      <c r="T122" s="103"/>
      <c r="U122" s="15"/>
      <c r="V122" s="15"/>
      <c r="W122" s="15"/>
      <c r="X122" s="99"/>
      <c r="Y122" s="71">
        <f ca="1">Table24[[#This Row],[End Date]]+2-TODAY()</f>
        <v>165</v>
      </c>
      <c r="Z122" s="15">
        <f>IF(ISBLANK(Table24[[#This Row],[Roster Received By]]),1,0)</f>
        <v>1</v>
      </c>
      <c r="AA122" s="15">
        <f ca="1">IF(Table24[[#This Row],[Start Date]]&gt;TODAY(),1,)</f>
        <v>1</v>
      </c>
    </row>
    <row r="123" spans="1:27" s="106" customFormat="1" ht="14.25" customHeight="1" x14ac:dyDescent="0.25">
      <c r="A123" s="62"/>
      <c r="B123" s="99" t="s">
        <v>55</v>
      </c>
      <c r="C123" s="100" t="s">
        <v>147</v>
      </c>
      <c r="D123" s="100" t="s">
        <v>148</v>
      </c>
      <c r="E123" s="99" t="s">
        <v>292</v>
      </c>
      <c r="F123" s="67">
        <v>45733</v>
      </c>
      <c r="G123" s="67">
        <v>45737</v>
      </c>
      <c r="H123" s="105"/>
      <c r="I123" s="105"/>
      <c r="J123" s="101">
        <v>0.33333333333333331</v>
      </c>
      <c r="K123" s="102"/>
      <c r="L123" s="102"/>
      <c r="M123" s="102"/>
      <c r="N123" s="102"/>
      <c r="O123" s="99" t="s">
        <v>160</v>
      </c>
      <c r="P123" s="99"/>
      <c r="Q123" s="15">
        <v>25</v>
      </c>
      <c r="R123" s="15">
        <v>5</v>
      </c>
      <c r="S123" s="15"/>
      <c r="T123" s="103"/>
      <c r="U123" s="15"/>
      <c r="V123" s="15"/>
      <c r="W123" s="15"/>
      <c r="X123" s="99"/>
      <c r="Y123" s="71">
        <f ca="1">Table24[[#This Row],[End Date]]+2-TODAY()</f>
        <v>207</v>
      </c>
      <c r="Z123" s="15">
        <f>IF(ISBLANK(Table24[[#This Row],[Roster Received By]]),1,0)</f>
        <v>1</v>
      </c>
      <c r="AA123" s="15">
        <f ca="1">IF(Table24[[#This Row],[Start Date]]&gt;TODAY(),1,)</f>
        <v>1</v>
      </c>
    </row>
    <row r="124" spans="1:27" s="106" customFormat="1" ht="14.25" customHeight="1" x14ac:dyDescent="0.25">
      <c r="A124" s="62"/>
      <c r="B124" s="99" t="s">
        <v>55</v>
      </c>
      <c r="C124" s="100" t="s">
        <v>147</v>
      </c>
      <c r="D124" s="100" t="s">
        <v>148</v>
      </c>
      <c r="E124" s="99" t="s">
        <v>292</v>
      </c>
      <c r="F124" s="102">
        <v>45740</v>
      </c>
      <c r="G124" s="102">
        <v>45744</v>
      </c>
      <c r="H124" s="102"/>
      <c r="I124" s="101"/>
      <c r="J124" s="101">
        <v>0.33333333333333331</v>
      </c>
      <c r="K124" s="101"/>
      <c r="L124" s="101"/>
      <c r="M124" s="101"/>
      <c r="N124" s="101"/>
      <c r="O124" s="99" t="s">
        <v>160</v>
      </c>
      <c r="P124" s="99"/>
      <c r="Q124" s="15">
        <v>25</v>
      </c>
      <c r="R124" s="15">
        <v>5</v>
      </c>
      <c r="S124" s="15"/>
      <c r="T124" s="103"/>
      <c r="U124" s="15"/>
      <c r="V124" s="15"/>
      <c r="W124" s="15"/>
      <c r="X124" s="99"/>
      <c r="Y124" s="71">
        <f ca="1">Table24[[#This Row],[End Date]]+2-TODAY()</f>
        <v>214</v>
      </c>
      <c r="Z124" s="15">
        <f>IF(ISBLANK(Table24[[#This Row],[Roster Received By]]),1,0)</f>
        <v>1</v>
      </c>
      <c r="AA124" s="15">
        <f ca="1">IF(Table24[[#This Row],[Start Date]]&gt;TODAY(),1,)</f>
        <v>1</v>
      </c>
    </row>
    <row r="125" spans="1:27" s="106" customFormat="1" ht="14.25" customHeight="1" x14ac:dyDescent="0.25">
      <c r="A125" s="62"/>
      <c r="B125" s="99" t="s">
        <v>55</v>
      </c>
      <c r="C125" s="100" t="s">
        <v>147</v>
      </c>
      <c r="D125" s="100" t="s">
        <v>148</v>
      </c>
      <c r="E125" s="99" t="s">
        <v>292</v>
      </c>
      <c r="F125" s="98">
        <v>45775</v>
      </c>
      <c r="G125" s="98">
        <v>45779</v>
      </c>
      <c r="H125" s="67"/>
      <c r="I125" s="101"/>
      <c r="J125" s="101">
        <v>0.33333333333333331</v>
      </c>
      <c r="K125" s="101"/>
      <c r="L125" s="101"/>
      <c r="M125" s="101"/>
      <c r="N125" s="101"/>
      <c r="O125" s="99" t="s">
        <v>160</v>
      </c>
      <c r="P125" s="99"/>
      <c r="Q125" s="15">
        <v>25</v>
      </c>
      <c r="R125" s="15">
        <v>5</v>
      </c>
      <c r="S125" s="15"/>
      <c r="T125" s="103"/>
      <c r="U125" s="15"/>
      <c r="V125" s="15"/>
      <c r="W125" s="15"/>
      <c r="X125" s="99"/>
      <c r="Y125" s="71">
        <f ca="1">Table24[[#This Row],[End Date]]+2-TODAY()</f>
        <v>249</v>
      </c>
      <c r="Z125" s="15">
        <f>IF(ISBLANK(Table24[[#This Row],[Roster Received By]]),1,0)</f>
        <v>1</v>
      </c>
      <c r="AA125" s="15">
        <f ca="1">IF(Table24[[#This Row],[Start Date]]&gt;TODAY(),1,)</f>
        <v>1</v>
      </c>
    </row>
    <row r="126" spans="1:27" s="106" customFormat="1" ht="14.25" customHeight="1" x14ac:dyDescent="0.25">
      <c r="A126" s="99"/>
      <c r="B126" s="99" t="s">
        <v>55</v>
      </c>
      <c r="C126" s="100" t="s">
        <v>147</v>
      </c>
      <c r="D126" s="100" t="s">
        <v>148</v>
      </c>
      <c r="E126" s="99" t="s">
        <v>292</v>
      </c>
      <c r="F126" s="102">
        <v>45782</v>
      </c>
      <c r="G126" s="102">
        <v>45786</v>
      </c>
      <c r="H126" s="102"/>
      <c r="I126" s="101"/>
      <c r="J126" s="101">
        <v>0.33333333333333331</v>
      </c>
      <c r="K126" s="101"/>
      <c r="L126" s="101"/>
      <c r="M126" s="101"/>
      <c r="N126" s="101"/>
      <c r="O126" s="99" t="s">
        <v>160</v>
      </c>
      <c r="P126" s="99"/>
      <c r="Q126" s="15">
        <v>25</v>
      </c>
      <c r="R126" s="15">
        <v>5</v>
      </c>
      <c r="S126" s="15"/>
      <c r="T126" s="103"/>
      <c r="U126" s="15"/>
      <c r="V126" s="15"/>
      <c r="W126" s="15"/>
      <c r="X126" s="99"/>
      <c r="Y126" s="71">
        <f ca="1">Table24[[#This Row],[End Date]]+2-TODAY()</f>
        <v>256</v>
      </c>
      <c r="Z126" s="15">
        <f>IF(ISBLANK(Table24[[#This Row],[Roster Received By]]),1,0)</f>
        <v>1</v>
      </c>
      <c r="AA126" s="15">
        <f ca="1">IF(Table24[[#This Row],[Start Date]]&gt;TODAY(),1,)</f>
        <v>1</v>
      </c>
    </row>
    <row r="127" spans="1:27" s="106" customFormat="1" ht="14.25" customHeight="1" x14ac:dyDescent="0.25">
      <c r="A127" s="62"/>
      <c r="B127" s="99" t="s">
        <v>55</v>
      </c>
      <c r="C127" s="100" t="s">
        <v>147</v>
      </c>
      <c r="D127" s="100" t="s">
        <v>148</v>
      </c>
      <c r="E127" s="141" t="s">
        <v>146</v>
      </c>
      <c r="F127" s="67">
        <v>45873</v>
      </c>
      <c r="G127" s="102">
        <v>45877</v>
      </c>
      <c r="H127" s="105"/>
      <c r="I127" s="105"/>
      <c r="J127" s="101">
        <v>0.33333333333333331</v>
      </c>
      <c r="K127" s="102"/>
      <c r="L127" s="102"/>
      <c r="M127" s="102"/>
      <c r="N127" s="102"/>
      <c r="O127" s="99" t="s">
        <v>160</v>
      </c>
      <c r="P127" s="99"/>
      <c r="Q127" s="15">
        <v>25</v>
      </c>
      <c r="R127" s="15">
        <v>5</v>
      </c>
      <c r="S127" s="15"/>
      <c r="T127" s="103"/>
      <c r="U127" s="15"/>
      <c r="V127" s="15"/>
      <c r="W127" s="100"/>
      <c r="X127" s="99"/>
      <c r="Y127" s="71">
        <f ca="1">Table24[[#This Row],[End Date]]+2-TODAY()</f>
        <v>347</v>
      </c>
      <c r="Z127" s="15">
        <f>IF(ISBLANK(Table24[[#This Row],[Roster Received By]]),1,0)</f>
        <v>1</v>
      </c>
      <c r="AA127" s="15">
        <f ca="1">IF(Table24[[#This Row],[Start Date]]&gt;TODAY(),1,)</f>
        <v>1</v>
      </c>
    </row>
    <row r="128" spans="1:27" s="106" customFormat="1" ht="14.25" customHeight="1" x14ac:dyDescent="0.25">
      <c r="A128" s="62"/>
      <c r="B128" s="99" t="s">
        <v>55</v>
      </c>
      <c r="C128" s="100" t="s">
        <v>147</v>
      </c>
      <c r="D128" s="100" t="s">
        <v>148</v>
      </c>
      <c r="E128" s="99" t="s">
        <v>309</v>
      </c>
      <c r="F128" s="102">
        <v>45810</v>
      </c>
      <c r="G128" s="102">
        <v>45814</v>
      </c>
      <c r="H128" s="105"/>
      <c r="I128" s="105"/>
      <c r="J128" s="102"/>
      <c r="K128" s="102"/>
      <c r="L128" s="102"/>
      <c r="M128" s="102"/>
      <c r="N128" s="101">
        <v>0.33333333333333331</v>
      </c>
      <c r="O128" s="99" t="s">
        <v>160</v>
      </c>
      <c r="P128" s="99"/>
      <c r="Q128" s="15">
        <v>25</v>
      </c>
      <c r="R128" s="15">
        <v>5</v>
      </c>
      <c r="S128" s="15"/>
      <c r="T128" s="103"/>
      <c r="U128" s="15"/>
      <c r="V128" s="15"/>
      <c r="W128" s="15"/>
      <c r="X128" s="99"/>
      <c r="Y128" s="71">
        <f ca="1">Table24[[#This Row],[End Date]]+2-TODAY()</f>
        <v>284</v>
      </c>
      <c r="Z128" s="15">
        <f>IF(ISBLANK(Table24[[#This Row],[Roster Received By]]),1,0)</f>
        <v>1</v>
      </c>
      <c r="AA128" s="15">
        <f ca="1">IF(Table24[[#This Row],[Start Date]]&gt;TODAY(),1,)</f>
        <v>1</v>
      </c>
    </row>
    <row r="129" spans="1:27" s="106" customFormat="1" ht="14.25" customHeight="1" x14ac:dyDescent="0.25">
      <c r="A129" s="62"/>
      <c r="B129" s="99" t="s">
        <v>55</v>
      </c>
      <c r="C129" s="100" t="s">
        <v>147</v>
      </c>
      <c r="D129" s="100" t="s">
        <v>148</v>
      </c>
      <c r="E129" s="99" t="s">
        <v>309</v>
      </c>
      <c r="F129" s="102">
        <v>45817</v>
      </c>
      <c r="G129" s="102">
        <v>45821</v>
      </c>
      <c r="H129" s="105"/>
      <c r="I129" s="105"/>
      <c r="J129" s="102"/>
      <c r="K129" s="102"/>
      <c r="L129" s="102"/>
      <c r="M129" s="102"/>
      <c r="N129" s="101">
        <v>0.33333333333333331</v>
      </c>
      <c r="O129" s="99" t="s">
        <v>160</v>
      </c>
      <c r="P129" s="99"/>
      <c r="Q129" s="15">
        <v>25</v>
      </c>
      <c r="R129" s="15">
        <v>5</v>
      </c>
      <c r="S129" s="15"/>
      <c r="T129" s="103"/>
      <c r="U129" s="15"/>
      <c r="V129" s="15"/>
      <c r="W129" s="15"/>
      <c r="X129" s="99"/>
      <c r="Y129" s="71">
        <f ca="1">Table24[[#This Row],[End Date]]+2-TODAY()</f>
        <v>291</v>
      </c>
      <c r="Z129" s="15">
        <f>IF(ISBLANK(Table24[[#This Row],[Roster Received By]]),1,0)</f>
        <v>1</v>
      </c>
      <c r="AA129" s="15">
        <f ca="1">IF(Table24[[#This Row],[Start Date]]&gt;TODAY(),1,)</f>
        <v>1</v>
      </c>
    </row>
    <row r="130" spans="1:27" s="106" customFormat="1" ht="14.25" customHeight="1" x14ac:dyDescent="0.25">
      <c r="A130" s="62"/>
      <c r="B130" s="99" t="s">
        <v>55</v>
      </c>
      <c r="C130" s="100" t="s">
        <v>147</v>
      </c>
      <c r="D130" s="100" t="s">
        <v>148</v>
      </c>
      <c r="E130" s="99" t="s">
        <v>306</v>
      </c>
      <c r="F130" s="102">
        <v>45845</v>
      </c>
      <c r="G130" s="102">
        <v>45849</v>
      </c>
      <c r="H130" s="102"/>
      <c r="I130" s="101"/>
      <c r="J130" s="101">
        <v>0.33333333333333331</v>
      </c>
      <c r="K130" s="101"/>
      <c r="L130" s="101"/>
      <c r="M130" s="101"/>
      <c r="N130" s="101"/>
      <c r="O130" s="99" t="s">
        <v>160</v>
      </c>
      <c r="P130" s="99"/>
      <c r="Q130" s="15">
        <v>25</v>
      </c>
      <c r="R130" s="15">
        <v>5</v>
      </c>
      <c r="S130" s="15"/>
      <c r="T130" s="103"/>
      <c r="U130" s="15"/>
      <c r="V130" s="15"/>
      <c r="W130" s="15"/>
      <c r="X130" s="99"/>
      <c r="Y130" s="71">
        <f ca="1">Table24[[#This Row],[End Date]]+2-TODAY()</f>
        <v>319</v>
      </c>
      <c r="Z130" s="15">
        <f>IF(ISBLANK(Table24[[#This Row],[Roster Received By]]),1,0)</f>
        <v>1</v>
      </c>
      <c r="AA130" s="15">
        <f ca="1">IF(Table24[[#This Row],[Start Date]]&gt;TODAY(),1,)</f>
        <v>1</v>
      </c>
    </row>
    <row r="131" spans="1:27" s="106" customFormat="1" ht="14.25" customHeight="1" x14ac:dyDescent="0.25">
      <c r="A131" s="62"/>
      <c r="B131" s="99" t="s">
        <v>55</v>
      </c>
      <c r="C131" s="100" t="s">
        <v>147</v>
      </c>
      <c r="D131" s="100" t="s">
        <v>148</v>
      </c>
      <c r="E131" s="99" t="s">
        <v>206</v>
      </c>
      <c r="F131" s="102">
        <v>45684</v>
      </c>
      <c r="G131" s="102">
        <v>45688</v>
      </c>
      <c r="H131" s="102"/>
      <c r="I131" s="101">
        <v>0.33333333333333331</v>
      </c>
      <c r="J131" s="101"/>
      <c r="K131" s="101"/>
      <c r="L131" s="101"/>
      <c r="M131" s="101"/>
      <c r="N131" s="101"/>
      <c r="O131" s="99" t="s">
        <v>160</v>
      </c>
      <c r="P131" s="99"/>
      <c r="Q131" s="15">
        <v>25</v>
      </c>
      <c r="R131" s="15">
        <v>5</v>
      </c>
      <c r="S131" s="15"/>
      <c r="T131" s="103"/>
      <c r="U131" s="15"/>
      <c r="V131" s="15"/>
      <c r="W131" s="15"/>
      <c r="X131" s="99"/>
      <c r="Y131" s="71">
        <f ca="1">Table24[[#This Row],[End Date]]+2-TODAY()</f>
        <v>158</v>
      </c>
      <c r="Z131" s="15">
        <f>IF(ISBLANK(Table24[[#This Row],[Roster Received By]]),1,0)</f>
        <v>1</v>
      </c>
      <c r="AA131" s="15">
        <f ca="1">IF(Table24[[#This Row],[Start Date]]&gt;TODAY(),1,)</f>
        <v>1</v>
      </c>
    </row>
    <row r="132" spans="1:27" s="106" customFormat="1" ht="14.25" customHeight="1" x14ac:dyDescent="0.25">
      <c r="A132" s="62"/>
      <c r="B132" s="99" t="s">
        <v>55</v>
      </c>
      <c r="C132" s="100" t="s">
        <v>147</v>
      </c>
      <c r="D132" s="100" t="s">
        <v>148</v>
      </c>
      <c r="E132" s="99" t="s">
        <v>206</v>
      </c>
      <c r="F132" s="102">
        <v>45691</v>
      </c>
      <c r="G132" s="102">
        <v>45695</v>
      </c>
      <c r="H132" s="105"/>
      <c r="I132" s="101">
        <v>0.33333333333333331</v>
      </c>
      <c r="J132" s="102"/>
      <c r="K132" s="102"/>
      <c r="L132" s="102"/>
      <c r="M132" s="102"/>
      <c r="N132" s="102"/>
      <c r="O132" s="99" t="s">
        <v>160</v>
      </c>
      <c r="P132" s="99"/>
      <c r="Q132" s="15">
        <v>25</v>
      </c>
      <c r="R132" s="15">
        <v>5</v>
      </c>
      <c r="S132" s="15"/>
      <c r="T132" s="103"/>
      <c r="U132" s="15"/>
      <c r="V132" s="15"/>
      <c r="W132" s="15"/>
      <c r="X132" s="99"/>
      <c r="Y132" s="71">
        <f ca="1">Table24[[#This Row],[End Date]]+2-TODAY()</f>
        <v>165</v>
      </c>
      <c r="Z132" s="15">
        <f>IF(ISBLANK(Table24[[#This Row],[Roster Received By]]),1,0)</f>
        <v>1</v>
      </c>
      <c r="AA132" s="15">
        <f ca="1">IF(Table24[[#This Row],[Start Date]]&gt;TODAY(),1,)</f>
        <v>1</v>
      </c>
    </row>
    <row r="133" spans="1:27" s="106" customFormat="1" ht="14.25" customHeight="1" x14ac:dyDescent="0.25">
      <c r="A133" s="62"/>
      <c r="B133" s="99" t="s">
        <v>55</v>
      </c>
      <c r="C133" s="100" t="s">
        <v>147</v>
      </c>
      <c r="D133" s="100" t="s">
        <v>148</v>
      </c>
      <c r="E133" s="99" t="s">
        <v>306</v>
      </c>
      <c r="F133" s="67">
        <v>45852</v>
      </c>
      <c r="G133" s="67">
        <v>45856</v>
      </c>
      <c r="H133" s="102"/>
      <c r="I133" s="101"/>
      <c r="J133" s="101">
        <v>0.33333333333333331</v>
      </c>
      <c r="K133" s="101"/>
      <c r="L133" s="101"/>
      <c r="M133" s="101"/>
      <c r="N133" s="101"/>
      <c r="O133" s="99" t="s">
        <v>160</v>
      </c>
      <c r="P133" s="99"/>
      <c r="Q133" s="15">
        <v>25</v>
      </c>
      <c r="R133" s="15">
        <v>5</v>
      </c>
      <c r="S133" s="15"/>
      <c r="T133" s="103"/>
      <c r="U133" s="15"/>
      <c r="V133" s="15"/>
      <c r="W133" s="15"/>
      <c r="X133" s="99"/>
      <c r="Y133" s="71">
        <f ca="1">Table24[[#This Row],[End Date]]+2-TODAY()</f>
        <v>326</v>
      </c>
      <c r="Z133" s="15">
        <f>IF(ISBLANK(Table24[[#This Row],[Roster Received By]]),1,0)</f>
        <v>1</v>
      </c>
      <c r="AA133" s="15">
        <f ca="1">IF(Table24[[#This Row],[Start Date]]&gt;TODAY(),1,)</f>
        <v>1</v>
      </c>
    </row>
    <row r="134" spans="1:27" s="106" customFormat="1" ht="14.25" customHeight="1" x14ac:dyDescent="0.25">
      <c r="A134" s="99"/>
      <c r="B134" s="99" t="s">
        <v>55</v>
      </c>
      <c r="C134" s="100" t="s">
        <v>147</v>
      </c>
      <c r="D134" s="100" t="s">
        <v>148</v>
      </c>
      <c r="E134" s="99" t="s">
        <v>146</v>
      </c>
      <c r="F134" s="102">
        <v>45866</v>
      </c>
      <c r="G134" s="102">
        <v>45870</v>
      </c>
      <c r="H134" s="105"/>
      <c r="I134" s="105"/>
      <c r="J134" s="102"/>
      <c r="K134" s="102"/>
      <c r="L134" s="102"/>
      <c r="M134" s="102"/>
      <c r="N134" s="102"/>
      <c r="O134" s="99" t="s">
        <v>160</v>
      </c>
      <c r="P134" s="99"/>
      <c r="Q134" s="15">
        <v>25</v>
      </c>
      <c r="R134" s="15">
        <v>5</v>
      </c>
      <c r="S134" s="15"/>
      <c r="T134" s="103"/>
      <c r="U134" s="15"/>
      <c r="V134" s="15"/>
      <c r="W134" s="15"/>
      <c r="X134" s="99"/>
      <c r="Y134" s="71">
        <f ca="1">Table24[[#This Row],[End Date]]+2-TODAY()</f>
        <v>340</v>
      </c>
      <c r="Z134" s="15">
        <f>IF(ISBLANK(Table24[[#This Row],[Roster Received By]]),1,0)</f>
        <v>1</v>
      </c>
      <c r="AA134" s="15">
        <f ca="1">IF(Table24[[#This Row],[Start Date]]&gt;TODAY(),1,)</f>
        <v>1</v>
      </c>
    </row>
    <row r="135" spans="1:27" s="135" customFormat="1" x14ac:dyDescent="0.25">
      <c r="A135" s="62"/>
      <c r="B135" s="99" t="s">
        <v>55</v>
      </c>
      <c r="C135" s="100" t="s">
        <v>147</v>
      </c>
      <c r="D135" s="100" t="s">
        <v>148</v>
      </c>
      <c r="E135" s="99" t="s">
        <v>266</v>
      </c>
      <c r="F135" s="102">
        <v>45866</v>
      </c>
      <c r="G135" s="102">
        <v>45870</v>
      </c>
      <c r="H135" s="105"/>
      <c r="I135" s="101">
        <v>0.33333333333333331</v>
      </c>
      <c r="J135" s="102"/>
      <c r="K135" s="102"/>
      <c r="L135" s="102"/>
      <c r="M135" s="102"/>
      <c r="N135" s="102"/>
      <c r="O135" s="99" t="s">
        <v>160</v>
      </c>
      <c r="P135" s="99"/>
      <c r="Q135" s="15">
        <v>25</v>
      </c>
      <c r="R135" s="15">
        <v>5</v>
      </c>
      <c r="S135" s="15"/>
      <c r="T135" s="103"/>
      <c r="U135" s="15"/>
      <c r="V135" s="15"/>
      <c r="W135" s="15"/>
      <c r="X135" s="99"/>
      <c r="Y135" s="71">
        <f ca="1">Table24[[#This Row],[End Date]]+2-TODAY()</f>
        <v>340</v>
      </c>
      <c r="Z135" s="15">
        <f>IF(ISBLANK(Table24[[#This Row],[Roster Received By]]),1,0)</f>
        <v>1</v>
      </c>
      <c r="AA135" s="15">
        <f ca="1">IF(Table24[[#This Row],[Start Date]]&gt;TODAY(),1,)</f>
        <v>1</v>
      </c>
    </row>
    <row r="136" spans="1:27" s="106" customFormat="1" ht="14.25" customHeight="1" x14ac:dyDescent="0.25">
      <c r="A136" s="62"/>
      <c r="B136" s="99" t="s">
        <v>58</v>
      </c>
      <c r="C136" s="100" t="s">
        <v>154</v>
      </c>
      <c r="D136" s="100" t="s">
        <v>155</v>
      </c>
      <c r="E136" s="99" t="s">
        <v>266</v>
      </c>
      <c r="F136" s="102">
        <v>45615</v>
      </c>
      <c r="G136" s="102">
        <v>45618</v>
      </c>
      <c r="H136" s="105"/>
      <c r="I136" s="166">
        <v>0.33333333333333331</v>
      </c>
      <c r="J136" s="102"/>
      <c r="K136" s="102"/>
      <c r="L136" s="102"/>
      <c r="M136" s="102"/>
      <c r="N136" s="102"/>
      <c r="O136" s="99"/>
      <c r="P136" s="99"/>
      <c r="Q136" s="15">
        <v>30</v>
      </c>
      <c r="R136" s="15">
        <v>4</v>
      </c>
      <c r="S136" s="15"/>
      <c r="T136" s="103"/>
      <c r="U136" s="15"/>
      <c r="V136" s="15"/>
      <c r="W136" s="107"/>
      <c r="X136" s="99"/>
      <c r="Y136" s="71">
        <f ca="1">Table24[[#This Row],[End Date]]+2-TODAY()</f>
        <v>88</v>
      </c>
      <c r="Z136" s="15">
        <f>IF(ISBLANK(Table24[[#This Row],[Roster Received By]]),1,0)</f>
        <v>1</v>
      </c>
      <c r="AA136" s="15">
        <f ca="1">IF(Table24[[#This Row],[Start Date]]&gt;TODAY(),1,)</f>
        <v>1</v>
      </c>
    </row>
    <row r="137" spans="1:27" s="106" customFormat="1" ht="14.25" customHeight="1" x14ac:dyDescent="0.25">
      <c r="A137" s="62"/>
      <c r="B137" s="99" t="s">
        <v>58</v>
      </c>
      <c r="C137" s="100" t="s">
        <v>154</v>
      </c>
      <c r="D137" s="100" t="s">
        <v>155</v>
      </c>
      <c r="E137" s="99" t="s">
        <v>146</v>
      </c>
      <c r="F137" s="102">
        <v>45636</v>
      </c>
      <c r="G137" s="102">
        <v>45639</v>
      </c>
      <c r="H137" s="102"/>
      <c r="I137" s="101"/>
      <c r="J137" s="166">
        <v>0.33333333333333331</v>
      </c>
      <c r="K137" s="101"/>
      <c r="L137" s="101"/>
      <c r="M137" s="101"/>
      <c r="N137" s="101"/>
      <c r="O137" s="99"/>
      <c r="P137" s="99"/>
      <c r="Q137" s="15">
        <v>30</v>
      </c>
      <c r="R137" s="15">
        <v>4</v>
      </c>
      <c r="S137" s="15"/>
      <c r="T137" s="103"/>
      <c r="U137" s="15"/>
      <c r="V137" s="15"/>
      <c r="W137" s="15"/>
      <c r="X137" s="99"/>
      <c r="Y137" s="71">
        <f ca="1">Table24[[#This Row],[End Date]]+2-TODAY()</f>
        <v>109</v>
      </c>
      <c r="Z137" s="15">
        <f>IF(ISBLANK(Table24[[#This Row],[Roster Received By]]),1,0)</f>
        <v>1</v>
      </c>
      <c r="AA137" s="15">
        <f ca="1">IF(Table24[[#This Row],[Start Date]]&gt;TODAY(),1,)</f>
        <v>1</v>
      </c>
    </row>
    <row r="138" spans="1:27" s="106" customFormat="1" ht="14.25" customHeight="1" x14ac:dyDescent="0.25">
      <c r="A138" s="62"/>
      <c r="B138" s="99" t="s">
        <v>58</v>
      </c>
      <c r="C138" s="100" t="s">
        <v>154</v>
      </c>
      <c r="D138" s="100" t="s">
        <v>155</v>
      </c>
      <c r="E138" s="99" t="s">
        <v>206</v>
      </c>
      <c r="F138" s="102">
        <v>45685</v>
      </c>
      <c r="G138" s="102">
        <v>45688</v>
      </c>
      <c r="H138" s="102"/>
      <c r="I138" s="166">
        <v>0.33333333333333331</v>
      </c>
      <c r="J138" s="101"/>
      <c r="K138" s="101"/>
      <c r="L138" s="101"/>
      <c r="M138" s="101"/>
      <c r="N138" s="101"/>
      <c r="O138" s="99"/>
      <c r="P138" s="99"/>
      <c r="Q138" s="15">
        <v>30</v>
      </c>
      <c r="R138" s="15">
        <v>4</v>
      </c>
      <c r="S138" s="15"/>
      <c r="T138" s="103"/>
      <c r="U138" s="15"/>
      <c r="V138" s="15"/>
      <c r="W138" s="15"/>
      <c r="X138" s="99"/>
      <c r="Y138" s="71">
        <f ca="1">Table24[[#This Row],[End Date]]+2-TODAY()</f>
        <v>158</v>
      </c>
      <c r="Z138" s="15">
        <f>IF(ISBLANK(Table24[[#This Row],[Roster Received By]]),1,0)</f>
        <v>1</v>
      </c>
      <c r="AA138" s="15">
        <f ca="1">IF(Table24[[#This Row],[Start Date]]&gt;TODAY(),1,)</f>
        <v>1</v>
      </c>
    </row>
    <row r="139" spans="1:27" s="106" customFormat="1" ht="14.25" customHeight="1" x14ac:dyDescent="0.25">
      <c r="A139" s="62"/>
      <c r="B139" s="99" t="s">
        <v>58</v>
      </c>
      <c r="C139" s="100" t="s">
        <v>154</v>
      </c>
      <c r="D139" s="100" t="s">
        <v>155</v>
      </c>
      <c r="E139" s="99" t="s">
        <v>292</v>
      </c>
      <c r="F139" s="102">
        <v>45713</v>
      </c>
      <c r="G139" s="102">
        <v>45716</v>
      </c>
      <c r="H139" s="102"/>
      <c r="I139" s="101"/>
      <c r="J139" s="166">
        <v>0.33333333333333331</v>
      </c>
      <c r="K139" s="101"/>
      <c r="L139" s="101"/>
      <c r="M139" s="101"/>
      <c r="N139" s="101"/>
      <c r="O139" s="99"/>
      <c r="P139" s="99"/>
      <c r="Q139" s="15">
        <v>30</v>
      </c>
      <c r="R139" s="15">
        <v>4</v>
      </c>
      <c r="S139" s="15"/>
      <c r="T139" s="103"/>
      <c r="U139" s="15"/>
      <c r="V139" s="15"/>
      <c r="W139" s="100"/>
      <c r="X139" s="99"/>
      <c r="Y139" s="71">
        <f ca="1">Table24[[#This Row],[End Date]]+2-TODAY()</f>
        <v>186</v>
      </c>
      <c r="Z139" s="15">
        <f>IF(ISBLANK(Table24[[#This Row],[Roster Received By]]),1,0)</f>
        <v>1</v>
      </c>
      <c r="AA139" s="15">
        <f ca="1">IF(Table24[[#This Row],[Start Date]]&gt;TODAY(),1,)</f>
        <v>1</v>
      </c>
    </row>
    <row r="140" spans="1:27" s="106" customFormat="1" ht="14.25" customHeight="1" x14ac:dyDescent="0.25">
      <c r="A140" s="99"/>
      <c r="B140" s="99" t="s">
        <v>58</v>
      </c>
      <c r="C140" s="100" t="s">
        <v>154</v>
      </c>
      <c r="D140" s="100" t="s">
        <v>155</v>
      </c>
      <c r="E140" s="99" t="s">
        <v>306</v>
      </c>
      <c r="F140" s="102">
        <v>45719</v>
      </c>
      <c r="G140" s="102">
        <v>45722</v>
      </c>
      <c r="H140" s="108"/>
      <c r="I140" s="108"/>
      <c r="J140" s="166">
        <v>0.33333333333333331</v>
      </c>
      <c r="K140" s="102"/>
      <c r="L140" s="102"/>
      <c r="M140" s="102"/>
      <c r="N140" s="102"/>
      <c r="O140" s="99"/>
      <c r="P140" s="99"/>
      <c r="Q140" s="15">
        <v>30</v>
      </c>
      <c r="R140" s="15">
        <v>4</v>
      </c>
      <c r="S140" s="15"/>
      <c r="T140" s="103"/>
      <c r="U140" s="15"/>
      <c r="V140" s="15"/>
      <c r="W140" s="100"/>
      <c r="X140" s="99"/>
      <c r="Y140" s="71">
        <f ca="1">Table24[[#This Row],[End Date]]+2-TODAY()</f>
        <v>192</v>
      </c>
      <c r="Z140" s="15">
        <f>IF(ISBLANK(Table24[[#This Row],[Roster Received By]]),1,0)</f>
        <v>1</v>
      </c>
      <c r="AA140" s="15">
        <f ca="1">IF(Table24[[#This Row],[Start Date]]&gt;TODAY(),1,)</f>
        <v>1</v>
      </c>
    </row>
    <row r="141" spans="1:27" s="106" customFormat="1" ht="14.25" customHeight="1" x14ac:dyDescent="0.25">
      <c r="A141" s="62"/>
      <c r="B141" s="99" t="s">
        <v>58</v>
      </c>
      <c r="C141" s="100" t="s">
        <v>154</v>
      </c>
      <c r="D141" s="100" t="s">
        <v>155</v>
      </c>
      <c r="E141" s="99" t="s">
        <v>193</v>
      </c>
      <c r="F141" s="102">
        <v>45741</v>
      </c>
      <c r="G141" s="102">
        <v>45744</v>
      </c>
      <c r="H141" s="102"/>
      <c r="I141" s="166">
        <v>0.33333333333333331</v>
      </c>
      <c r="J141" s="101"/>
      <c r="K141" s="101"/>
      <c r="L141" s="101"/>
      <c r="M141" s="101"/>
      <c r="N141" s="101"/>
      <c r="O141" s="99"/>
      <c r="P141" s="99"/>
      <c r="Q141" s="15">
        <v>30</v>
      </c>
      <c r="R141" s="15">
        <v>4</v>
      </c>
      <c r="S141" s="15"/>
      <c r="T141" s="103"/>
      <c r="U141" s="15"/>
      <c r="V141" s="15"/>
      <c r="W141" s="15"/>
      <c r="X141" s="99"/>
      <c r="Y141" s="71">
        <f ca="1">Table24[[#This Row],[End Date]]+2-TODAY()</f>
        <v>214</v>
      </c>
      <c r="Z141" s="15">
        <f>IF(ISBLANK(Table24[[#This Row],[Roster Received By]]),1,0)</f>
        <v>1</v>
      </c>
      <c r="AA141" s="15">
        <f ca="1">IF(Table24[[#This Row],[Start Date]]&gt;TODAY(),1,)</f>
        <v>1</v>
      </c>
    </row>
    <row r="142" spans="1:27" s="62" customFormat="1" x14ac:dyDescent="0.25">
      <c r="B142" s="99" t="s">
        <v>58</v>
      </c>
      <c r="C142" s="100" t="s">
        <v>154</v>
      </c>
      <c r="D142" s="100" t="s">
        <v>155</v>
      </c>
      <c r="E142" s="99" t="s">
        <v>266</v>
      </c>
      <c r="F142" s="102">
        <v>45769</v>
      </c>
      <c r="G142" s="102">
        <v>45772</v>
      </c>
      <c r="H142" s="102"/>
      <c r="I142" s="166">
        <v>0.33333333333333331</v>
      </c>
      <c r="J142" s="101"/>
      <c r="K142" s="101"/>
      <c r="L142" s="101"/>
      <c r="M142" s="101"/>
      <c r="N142" s="101"/>
      <c r="O142" s="99"/>
      <c r="P142" s="99"/>
      <c r="Q142" s="15">
        <v>30</v>
      </c>
      <c r="R142" s="15">
        <v>4</v>
      </c>
      <c r="S142" s="15"/>
      <c r="T142" s="103"/>
      <c r="U142" s="15"/>
      <c r="V142" s="15"/>
      <c r="W142" s="103"/>
      <c r="X142" s="99"/>
      <c r="Y142" s="71">
        <f ca="1">Table24[[#This Row],[End Date]]+2-TODAY()</f>
        <v>242</v>
      </c>
      <c r="Z142" s="15">
        <f>IF(ISBLANK(Table24[[#This Row],[Roster Received By]]),1,0)</f>
        <v>1</v>
      </c>
      <c r="AA142" s="15">
        <f ca="1">IF(Table24[[#This Row],[Start Date]]&gt;TODAY(),1,)</f>
        <v>1</v>
      </c>
    </row>
    <row r="143" spans="1:27" s="135" customFormat="1" ht="14.25" customHeight="1" x14ac:dyDescent="0.25">
      <c r="A143" s="62"/>
      <c r="B143" s="99" t="s">
        <v>58</v>
      </c>
      <c r="C143" s="100" t="s">
        <v>154</v>
      </c>
      <c r="D143" s="100" t="s">
        <v>155</v>
      </c>
      <c r="E143" s="99" t="s">
        <v>309</v>
      </c>
      <c r="F143" s="102">
        <v>45789</v>
      </c>
      <c r="G143" s="102">
        <v>45792</v>
      </c>
      <c r="H143" s="102"/>
      <c r="I143" s="101"/>
      <c r="J143" s="101"/>
      <c r="K143" s="101"/>
      <c r="L143" s="101"/>
      <c r="M143" s="101"/>
      <c r="N143" s="101">
        <v>0.33333333333333331</v>
      </c>
      <c r="O143" s="99"/>
      <c r="P143" s="99"/>
      <c r="Q143" s="15">
        <v>30</v>
      </c>
      <c r="R143" s="15">
        <v>4</v>
      </c>
      <c r="S143" s="15"/>
      <c r="T143" s="103"/>
      <c r="U143" s="15"/>
      <c r="V143" s="15"/>
      <c r="W143" s="15"/>
      <c r="X143" s="99"/>
      <c r="Y143" s="71">
        <f ca="1">Table24[[#This Row],[End Date]]+2-TODAY()</f>
        <v>262</v>
      </c>
      <c r="Z143" s="15">
        <f>IF(ISBLANK(Table24[[#This Row],[Roster Received By]]),1,0)</f>
        <v>1</v>
      </c>
      <c r="AA143" s="15">
        <f ca="1">IF(Table24[[#This Row],[Start Date]]&gt;TODAY(),1,)</f>
        <v>1</v>
      </c>
    </row>
    <row r="144" spans="1:27" s="135" customFormat="1" ht="14.25" customHeight="1" x14ac:dyDescent="0.25">
      <c r="A144" s="62"/>
      <c r="B144" s="99" t="s">
        <v>58</v>
      </c>
      <c r="C144" s="100" t="s">
        <v>154</v>
      </c>
      <c r="D144" s="100" t="s">
        <v>155</v>
      </c>
      <c r="E144" s="99" t="s">
        <v>309</v>
      </c>
      <c r="F144" s="102">
        <v>45796</v>
      </c>
      <c r="G144" s="102">
        <v>45799</v>
      </c>
      <c r="H144" s="105"/>
      <c r="I144" s="105"/>
      <c r="J144" s="102"/>
      <c r="K144" s="102"/>
      <c r="L144" s="102"/>
      <c r="M144" s="102"/>
      <c r="N144" s="166">
        <v>0.33333333333333331</v>
      </c>
      <c r="O144" s="99"/>
      <c r="P144" s="99"/>
      <c r="Q144" s="15">
        <v>30</v>
      </c>
      <c r="R144" s="15">
        <v>4</v>
      </c>
      <c r="S144" s="15"/>
      <c r="T144" s="103"/>
      <c r="U144" s="15"/>
      <c r="V144" s="15"/>
      <c r="W144" s="100"/>
      <c r="X144" s="99"/>
      <c r="Y144" s="71">
        <f ca="1">Table24[[#This Row],[End Date]]+2-TODAY()</f>
        <v>269</v>
      </c>
      <c r="Z144" s="15">
        <f>IF(ISBLANK(Table24[[#This Row],[Roster Received By]]),1,0)</f>
        <v>1</v>
      </c>
      <c r="AA144" s="15">
        <f ca="1">IF(Table24[[#This Row],[Start Date]]&gt;TODAY(),1,)</f>
        <v>1</v>
      </c>
    </row>
    <row r="145" spans="1:27" s="135" customFormat="1" ht="16.5" customHeight="1" x14ac:dyDescent="0.25">
      <c r="A145" s="62"/>
      <c r="B145" s="99" t="s">
        <v>58</v>
      </c>
      <c r="C145" s="100" t="s">
        <v>154</v>
      </c>
      <c r="D145" s="100" t="s">
        <v>155</v>
      </c>
      <c r="E145" s="99" t="s">
        <v>241</v>
      </c>
      <c r="F145" s="102">
        <v>45818</v>
      </c>
      <c r="G145" s="102">
        <v>45821</v>
      </c>
      <c r="H145" s="102"/>
      <c r="I145" s="101">
        <v>0.33333333333333331</v>
      </c>
      <c r="J145" s="101"/>
      <c r="K145" s="101"/>
      <c r="L145" s="101"/>
      <c r="M145" s="101"/>
      <c r="N145" s="101"/>
      <c r="O145" s="99"/>
      <c r="P145" s="99"/>
      <c r="Q145" s="15">
        <v>30</v>
      </c>
      <c r="R145" s="15">
        <v>4</v>
      </c>
      <c r="S145" s="15"/>
      <c r="T145" s="103"/>
      <c r="U145" s="15"/>
      <c r="V145" s="15"/>
      <c r="W145" s="15"/>
      <c r="X145" s="99"/>
      <c r="Y145" s="71">
        <f ca="1">Table24[[#This Row],[End Date]]+2-TODAY()</f>
        <v>291</v>
      </c>
      <c r="Z145" s="15">
        <f>IF(ISBLANK(Table24[[#This Row],[Roster Received By]]),1,0)</f>
        <v>1</v>
      </c>
      <c r="AA145" s="15">
        <f ca="1">IF(Table24[[#This Row],[Start Date]]&gt;TODAY(),1,)</f>
        <v>1</v>
      </c>
    </row>
    <row r="146" spans="1:27" s="106" customFormat="1" ht="16.5" customHeight="1" x14ac:dyDescent="0.25">
      <c r="A146" s="62"/>
      <c r="B146" s="99" t="s">
        <v>58</v>
      </c>
      <c r="C146" s="100" t="s">
        <v>154</v>
      </c>
      <c r="D146" s="100" t="s">
        <v>155</v>
      </c>
      <c r="E146" s="99" t="s">
        <v>266</v>
      </c>
      <c r="F146" s="67">
        <v>45846</v>
      </c>
      <c r="G146" s="102">
        <v>45849</v>
      </c>
      <c r="H146" s="102"/>
      <c r="I146" s="101">
        <v>0.33333333333333331</v>
      </c>
      <c r="J146" s="101"/>
      <c r="K146" s="101"/>
      <c r="L146" s="101"/>
      <c r="M146" s="101"/>
      <c r="N146" s="101"/>
      <c r="O146" s="99"/>
      <c r="P146" s="99"/>
      <c r="Q146" s="15">
        <v>30</v>
      </c>
      <c r="R146" s="15">
        <v>4</v>
      </c>
      <c r="S146" s="15"/>
      <c r="T146" s="103"/>
      <c r="U146" s="15"/>
      <c r="V146" s="15"/>
      <c r="W146" s="15"/>
      <c r="X146" s="99"/>
      <c r="Y146" s="71">
        <f ca="1">Table24[[#This Row],[End Date]]+2-TODAY()</f>
        <v>319</v>
      </c>
      <c r="Z146" s="15">
        <f>IF(ISBLANK(Table24[[#This Row],[Roster Received By]]),1,0)</f>
        <v>1</v>
      </c>
      <c r="AA146" s="15">
        <f ca="1">IF(Table24[[#This Row],[Start Date]]&gt;TODAY(),1,)</f>
        <v>1</v>
      </c>
    </row>
    <row r="147" spans="1:27" s="106" customFormat="1" ht="16.5" customHeight="1" x14ac:dyDescent="0.25">
      <c r="A147" s="99"/>
      <c r="B147" s="99" t="s">
        <v>58</v>
      </c>
      <c r="C147" s="100" t="s">
        <v>154</v>
      </c>
      <c r="D147" s="100" t="s">
        <v>155</v>
      </c>
      <c r="E147" s="65" t="s">
        <v>292</v>
      </c>
      <c r="F147" s="102">
        <v>45881</v>
      </c>
      <c r="G147" s="102">
        <v>45884</v>
      </c>
      <c r="H147" s="105"/>
      <c r="I147" s="105"/>
      <c r="J147" s="166">
        <v>0.33333333333333331</v>
      </c>
      <c r="K147" s="102"/>
      <c r="L147" s="102"/>
      <c r="M147" s="102"/>
      <c r="N147" s="102"/>
      <c r="O147" s="99"/>
      <c r="P147" s="99"/>
      <c r="Q147" s="15">
        <v>30</v>
      </c>
      <c r="R147" s="15">
        <v>4</v>
      </c>
      <c r="S147" s="15"/>
      <c r="T147" s="103"/>
      <c r="U147" s="15"/>
      <c r="V147" s="15"/>
      <c r="W147" s="15"/>
      <c r="X147" s="99"/>
      <c r="Y147" s="71">
        <f ca="1">Table24[[#This Row],[End Date]]+2-TODAY()</f>
        <v>354</v>
      </c>
      <c r="Z147" s="15">
        <f>IF(ISBLANK(Table24[[#This Row],[Roster Received By]]),1,0)</f>
        <v>1</v>
      </c>
      <c r="AA147" s="15">
        <f ca="1">IF(Table24[[#This Row],[Start Date]]&gt;TODAY(),1,)</f>
        <v>1</v>
      </c>
    </row>
    <row r="148" spans="1:27" s="106" customFormat="1" ht="14.25" customHeight="1" x14ac:dyDescent="0.25">
      <c r="A148" s="62"/>
      <c r="B148" s="99" t="s">
        <v>58</v>
      </c>
      <c r="C148" s="100" t="s">
        <v>154</v>
      </c>
      <c r="D148" s="100" t="s">
        <v>155</v>
      </c>
      <c r="E148" s="99" t="s">
        <v>276</v>
      </c>
      <c r="F148" s="102">
        <v>45895</v>
      </c>
      <c r="G148" s="102">
        <v>45898</v>
      </c>
      <c r="H148" s="102"/>
      <c r="I148" s="101"/>
      <c r="J148" s="101"/>
      <c r="K148" s="101"/>
      <c r="L148" s="101"/>
      <c r="M148" s="101">
        <v>0.33333333333333331</v>
      </c>
      <c r="N148" s="101"/>
      <c r="O148" s="99"/>
      <c r="P148" s="99"/>
      <c r="Q148" s="15">
        <v>30</v>
      </c>
      <c r="R148" s="15">
        <v>4</v>
      </c>
      <c r="S148" s="15"/>
      <c r="T148" s="103"/>
      <c r="U148" s="15"/>
      <c r="V148" s="15"/>
      <c r="W148" s="15"/>
      <c r="X148" s="99"/>
      <c r="Y148" s="71">
        <f ca="1">Table24[[#This Row],[End Date]]+2-TODAY()</f>
        <v>368</v>
      </c>
      <c r="Z148" s="15">
        <f>IF(ISBLANK(Table24[[#This Row],[Roster Received By]]),1,0)</f>
        <v>1</v>
      </c>
      <c r="AA148" s="15">
        <f ca="1">IF(Table24[[#This Row],[Start Date]]&gt;TODAY(),1,)</f>
        <v>1</v>
      </c>
    </row>
    <row r="149" spans="1:27" s="106" customFormat="1" ht="14.25" customHeight="1" x14ac:dyDescent="0.25">
      <c r="A149" s="62"/>
      <c r="B149" s="99" t="s">
        <v>58</v>
      </c>
      <c r="C149" s="100" t="s">
        <v>154</v>
      </c>
      <c r="D149" s="100" t="s">
        <v>155</v>
      </c>
      <c r="E149" s="99" t="s">
        <v>266</v>
      </c>
      <c r="F149" s="102">
        <v>45916</v>
      </c>
      <c r="G149" s="102">
        <v>45919</v>
      </c>
      <c r="H149" s="102"/>
      <c r="I149" s="166">
        <v>0.33333333333333331</v>
      </c>
      <c r="J149" s="101"/>
      <c r="K149" s="101"/>
      <c r="L149" s="101"/>
      <c r="M149" s="101"/>
      <c r="N149" s="101"/>
      <c r="O149" s="99"/>
      <c r="P149" s="99"/>
      <c r="Q149" s="15">
        <v>30</v>
      </c>
      <c r="R149" s="15">
        <v>4</v>
      </c>
      <c r="S149" s="15"/>
      <c r="T149" s="103"/>
      <c r="U149" s="15"/>
      <c r="V149" s="15"/>
      <c r="W149" s="15"/>
      <c r="X149" s="99"/>
      <c r="Y149" s="71">
        <f ca="1">Table24[[#This Row],[End Date]]+2-TODAY()</f>
        <v>389</v>
      </c>
      <c r="Z149" s="15">
        <f>IF(ISBLANK(Table24[[#This Row],[Roster Received By]]),1,0)</f>
        <v>1</v>
      </c>
      <c r="AA149" s="15">
        <f ca="1">IF(Table24[[#This Row],[Start Date]]&gt;TODAY(),1,)</f>
        <v>1</v>
      </c>
    </row>
    <row r="150" spans="1:27" s="106" customFormat="1" ht="14.25" customHeight="1" x14ac:dyDescent="0.25">
      <c r="A150" s="62"/>
      <c r="B150" s="99" t="s">
        <v>56</v>
      </c>
      <c r="C150" s="100" t="s">
        <v>126</v>
      </c>
      <c r="D150" s="100" t="s">
        <v>127</v>
      </c>
      <c r="E150" s="99" t="s">
        <v>292</v>
      </c>
      <c r="F150" s="102">
        <v>45712</v>
      </c>
      <c r="G150" s="102">
        <v>45715</v>
      </c>
      <c r="H150" s="102"/>
      <c r="I150" s="101"/>
      <c r="J150" s="101">
        <v>0.33333333333333331</v>
      </c>
      <c r="K150" s="101"/>
      <c r="L150" s="101"/>
      <c r="M150" s="101"/>
      <c r="N150" s="101"/>
      <c r="O150" s="99"/>
      <c r="P150" s="99"/>
      <c r="Q150" s="15">
        <v>35</v>
      </c>
      <c r="R150" s="15">
        <v>5</v>
      </c>
      <c r="S150" s="15"/>
      <c r="T150" s="103"/>
      <c r="U150" s="15"/>
      <c r="V150" s="15"/>
      <c r="W150" s="15"/>
      <c r="X150" s="99"/>
      <c r="Y150" s="71">
        <f ca="1">Table24[[#This Row],[End Date]]+2-TODAY()</f>
        <v>185</v>
      </c>
      <c r="Z150" s="15">
        <f>IF(ISBLANK(Table24[[#This Row],[Roster Received By]]),1,0)</f>
        <v>1</v>
      </c>
      <c r="AA150" s="15">
        <f ca="1">IF(Table24[[#This Row],[Start Date]]&gt;TODAY(),1,)</f>
        <v>1</v>
      </c>
    </row>
    <row r="151" spans="1:27" s="106" customFormat="1" ht="16.5" customHeight="1" x14ac:dyDescent="0.25">
      <c r="A151" s="151" t="s">
        <v>418</v>
      </c>
      <c r="B151" s="152" t="s">
        <v>56</v>
      </c>
      <c r="C151" s="154" t="s">
        <v>126</v>
      </c>
      <c r="D151" s="154" t="s">
        <v>127</v>
      </c>
      <c r="E151" s="152" t="s">
        <v>282</v>
      </c>
      <c r="F151" s="167">
        <v>45866</v>
      </c>
      <c r="G151" s="167">
        <v>45870</v>
      </c>
      <c r="H151" s="167"/>
      <c r="I151" s="156"/>
      <c r="J151" s="156">
        <v>0.33333333333333331</v>
      </c>
      <c r="K151" s="156"/>
      <c r="L151" s="156"/>
      <c r="M151" s="156"/>
      <c r="N151" s="156"/>
      <c r="O151" s="152"/>
      <c r="P151" s="152"/>
      <c r="Q151" s="157">
        <v>35</v>
      </c>
      <c r="R151" s="157">
        <v>5</v>
      </c>
      <c r="S151" s="15"/>
      <c r="T151" s="103"/>
      <c r="U151" s="15"/>
      <c r="V151" s="15"/>
      <c r="W151" s="15"/>
      <c r="X151" s="99"/>
      <c r="Y151" s="71">
        <f ca="1">Table24[[#This Row],[End Date]]+2-TODAY()</f>
        <v>340</v>
      </c>
      <c r="Z151" s="15">
        <f>IF(ISBLANK(Table24[[#This Row],[Roster Received By]]),1,0)</f>
        <v>1</v>
      </c>
      <c r="AA151" s="15">
        <f ca="1">IF(Table24[[#This Row],[Start Date]]&gt;TODAY(),1,)</f>
        <v>1</v>
      </c>
    </row>
    <row r="152" spans="1:27" s="106" customFormat="1" ht="14.25" customHeight="1" x14ac:dyDescent="0.25">
      <c r="A152" s="152" t="s">
        <v>409</v>
      </c>
      <c r="B152" s="152" t="s">
        <v>56</v>
      </c>
      <c r="C152" s="154" t="s">
        <v>126</v>
      </c>
      <c r="D152" s="154" t="s">
        <v>127</v>
      </c>
      <c r="E152" s="152" t="s">
        <v>183</v>
      </c>
      <c r="F152" s="155">
        <v>45789</v>
      </c>
      <c r="G152" s="155">
        <v>45793</v>
      </c>
      <c r="H152" s="155"/>
      <c r="I152" s="156">
        <v>0.33333333333333331</v>
      </c>
      <c r="J152" s="156"/>
      <c r="K152" s="156"/>
      <c r="L152" s="156"/>
      <c r="M152" s="156"/>
      <c r="N152" s="156"/>
      <c r="O152" s="152"/>
      <c r="P152" s="152"/>
      <c r="Q152" s="157">
        <v>35</v>
      </c>
      <c r="R152" s="157">
        <v>5</v>
      </c>
      <c r="S152" s="15"/>
      <c r="T152" s="103"/>
      <c r="U152" s="15"/>
      <c r="V152" s="15"/>
      <c r="W152" s="15"/>
      <c r="X152" s="99"/>
      <c r="Y152" s="71">
        <f ca="1">Table24[[#This Row],[End Date]]+2-TODAY()</f>
        <v>263</v>
      </c>
      <c r="Z152" s="15">
        <f>IF(ISBLANK(Table24[[#This Row],[Roster Received By]]),1,0)</f>
        <v>1</v>
      </c>
      <c r="AA152" s="15">
        <f ca="1">IF(Table24[[#This Row],[Start Date]]&gt;TODAY(),1,)</f>
        <v>1</v>
      </c>
    </row>
    <row r="153" spans="1:27" s="106" customFormat="1" ht="14.25" customHeight="1" x14ac:dyDescent="0.25">
      <c r="A153" s="62"/>
      <c r="B153" s="99" t="s">
        <v>56</v>
      </c>
      <c r="C153" s="100" t="s">
        <v>126</v>
      </c>
      <c r="D153" s="100" t="s">
        <v>127</v>
      </c>
      <c r="E153" s="99" t="s">
        <v>266</v>
      </c>
      <c r="F153" s="67">
        <v>45733</v>
      </c>
      <c r="G153" s="67">
        <v>45737</v>
      </c>
      <c r="H153" s="105"/>
      <c r="I153" s="101">
        <v>0.33333333333333331</v>
      </c>
      <c r="J153" s="102"/>
      <c r="K153" s="102"/>
      <c r="L153" s="102"/>
      <c r="M153" s="102"/>
      <c r="N153" s="102"/>
      <c r="O153" s="99"/>
      <c r="P153" s="99"/>
      <c r="Q153" s="15">
        <v>35</v>
      </c>
      <c r="R153" s="15">
        <v>5</v>
      </c>
      <c r="S153" s="15"/>
      <c r="T153" s="103"/>
      <c r="U153" s="15"/>
      <c r="V153" s="15"/>
      <c r="W153" s="100"/>
      <c r="X153" s="99"/>
      <c r="Y153" s="109">
        <f ca="1">Table24[[#This Row],[End Date]]+2-TODAY()</f>
        <v>207</v>
      </c>
      <c r="Z153" s="15">
        <f>IF(ISBLANK(Table24[[#This Row],[Roster Received By]]),1,0)</f>
        <v>1</v>
      </c>
      <c r="AA153" s="100">
        <f ca="1">IF(Table24[[#This Row],[Start Date]]&gt;TODAY(),1,)</f>
        <v>1</v>
      </c>
    </row>
    <row r="154" spans="1:27" s="106" customFormat="1" ht="14.25" customHeight="1" x14ac:dyDescent="0.25">
      <c r="A154" s="62"/>
      <c r="B154" s="99" t="s">
        <v>56</v>
      </c>
      <c r="C154" s="100" t="s">
        <v>126</v>
      </c>
      <c r="D154" s="100" t="s">
        <v>127</v>
      </c>
      <c r="E154" s="136" t="s">
        <v>276</v>
      </c>
      <c r="F154" s="67">
        <v>45810</v>
      </c>
      <c r="G154" s="67">
        <v>45814</v>
      </c>
      <c r="H154" s="102"/>
      <c r="I154" s="101"/>
      <c r="J154" s="101"/>
      <c r="K154" s="101"/>
      <c r="L154" s="101"/>
      <c r="M154" s="101">
        <v>0.33333333333333331</v>
      </c>
      <c r="N154" s="101"/>
      <c r="O154" s="99"/>
      <c r="P154" s="99"/>
      <c r="Q154" s="15">
        <v>35</v>
      </c>
      <c r="R154" s="15">
        <v>5</v>
      </c>
      <c r="S154" s="15"/>
      <c r="T154" s="103"/>
      <c r="U154" s="15"/>
      <c r="V154" s="15"/>
      <c r="W154" s="15"/>
      <c r="X154" s="99"/>
      <c r="Y154" s="71">
        <f ca="1">Table24[[#This Row],[End Date]]+2-TODAY()</f>
        <v>284</v>
      </c>
      <c r="Z154" s="15">
        <f>IF(ISBLANK(Table24[[#This Row],[Roster Received By]]),1,0)</f>
        <v>1</v>
      </c>
      <c r="AA154" s="15">
        <f ca="1">IF(Table24[[#This Row],[Start Date]]&gt;TODAY(),1,)</f>
        <v>1</v>
      </c>
    </row>
    <row r="155" spans="1:27" s="62" customFormat="1" x14ac:dyDescent="0.25">
      <c r="B155" s="99" t="s">
        <v>60</v>
      </c>
      <c r="C155" s="100" t="s">
        <v>211</v>
      </c>
      <c r="D155" s="100" t="s">
        <v>212</v>
      </c>
      <c r="E155" s="99"/>
      <c r="F155" s="102">
        <v>45621</v>
      </c>
      <c r="G155" s="102">
        <v>45625</v>
      </c>
      <c r="H155" s="105"/>
      <c r="I155" s="166">
        <v>0.33333333333333331</v>
      </c>
      <c r="J155" s="102"/>
      <c r="K155" s="102"/>
      <c r="L155" s="102"/>
      <c r="M155" s="102"/>
      <c r="N155" s="102"/>
      <c r="O155" s="99"/>
      <c r="P155" s="99"/>
      <c r="Q155" s="15">
        <v>30</v>
      </c>
      <c r="R155" s="15">
        <v>4</v>
      </c>
      <c r="S155" s="15"/>
      <c r="T155" s="103"/>
      <c r="U155" s="15"/>
      <c r="V155" s="15"/>
      <c r="W155" s="15"/>
      <c r="X155" s="99"/>
      <c r="Y155" s="71">
        <f ca="1">Table24[[#This Row],[End Date]]+2-TODAY()</f>
        <v>95</v>
      </c>
      <c r="Z155" s="15">
        <f>IF(ISBLANK(Table24[[#This Row],[Roster Received By]]),1,0)</f>
        <v>1</v>
      </c>
      <c r="AA155" s="15">
        <f ca="1">IF(Table24[[#This Row],[Start Date]]&gt;TODAY(),1,)</f>
        <v>1</v>
      </c>
    </row>
    <row r="156" spans="1:27" s="62" customFormat="1" x14ac:dyDescent="0.25">
      <c r="A156" s="99"/>
      <c r="B156" s="99" t="s">
        <v>60</v>
      </c>
      <c r="C156" s="100" t="s">
        <v>211</v>
      </c>
      <c r="D156" s="100" t="s">
        <v>212</v>
      </c>
      <c r="E156" s="99"/>
      <c r="F156" s="102">
        <v>45670</v>
      </c>
      <c r="G156" s="102">
        <v>45673</v>
      </c>
      <c r="H156" s="105"/>
      <c r="I156" s="105"/>
      <c r="J156" s="166">
        <v>0.33333333333333331</v>
      </c>
      <c r="K156" s="102"/>
      <c r="L156" s="102"/>
      <c r="M156" s="102"/>
      <c r="N156" s="102"/>
      <c r="O156" s="99"/>
      <c r="P156" s="99"/>
      <c r="Q156" s="15">
        <v>30</v>
      </c>
      <c r="R156" s="15">
        <v>4</v>
      </c>
      <c r="S156" s="15"/>
      <c r="T156" s="103"/>
      <c r="U156" s="15"/>
      <c r="V156" s="15"/>
      <c r="W156" s="15"/>
      <c r="X156" s="99"/>
      <c r="Y156" s="71">
        <f ca="1">Table24[[#This Row],[End Date]]+2-TODAY()</f>
        <v>143</v>
      </c>
      <c r="Z156" s="15">
        <f>IF(ISBLANK(Table24[[#This Row],[Roster Received By]]),1,0)</f>
        <v>1</v>
      </c>
      <c r="AA156" s="15">
        <f ca="1">IF(Table24[[#This Row],[Start Date]]&gt;TODAY(),1,)</f>
        <v>1</v>
      </c>
    </row>
    <row r="157" spans="1:27" s="62" customFormat="1" x14ac:dyDescent="0.25">
      <c r="B157" s="99" t="s">
        <v>60</v>
      </c>
      <c r="C157" s="100" t="s">
        <v>211</v>
      </c>
      <c r="D157" s="100" t="s">
        <v>212</v>
      </c>
      <c r="E157" s="99"/>
      <c r="F157" s="102">
        <v>45698</v>
      </c>
      <c r="G157" s="102">
        <v>45701</v>
      </c>
      <c r="H157" s="102"/>
      <c r="I157" s="101"/>
      <c r="J157" s="101"/>
      <c r="K157" s="101"/>
      <c r="L157" s="166">
        <v>0.33333333333333331</v>
      </c>
      <c r="M157" s="101"/>
      <c r="N157" s="101"/>
      <c r="O157" s="99"/>
      <c r="P157" s="99"/>
      <c r="Q157" s="15">
        <v>30</v>
      </c>
      <c r="R157" s="15">
        <v>4</v>
      </c>
      <c r="S157" s="15"/>
      <c r="T157" s="103"/>
      <c r="U157" s="15"/>
      <c r="V157" s="15"/>
      <c r="W157" s="15"/>
      <c r="X157" s="99"/>
      <c r="Y157" s="71">
        <f ca="1">Table24[[#This Row],[End Date]]+2-TODAY()</f>
        <v>171</v>
      </c>
      <c r="Z157" s="15">
        <f>IF(ISBLANK(Table24[[#This Row],[Roster Received By]]),1,0)</f>
        <v>1</v>
      </c>
      <c r="AA157" s="15">
        <f ca="1">IF(Table24[[#This Row],[Start Date]]&gt;TODAY(),1,)</f>
        <v>1</v>
      </c>
    </row>
    <row r="158" spans="1:27" s="62" customFormat="1" x14ac:dyDescent="0.25">
      <c r="B158" s="99" t="s">
        <v>60</v>
      </c>
      <c r="C158" s="100" t="s">
        <v>211</v>
      </c>
      <c r="D158" s="100" t="s">
        <v>212</v>
      </c>
      <c r="E158" s="99"/>
      <c r="F158" s="102">
        <v>45733</v>
      </c>
      <c r="G158" s="102">
        <v>45736</v>
      </c>
      <c r="H158" s="102"/>
      <c r="I158" s="101"/>
      <c r="J158" s="101"/>
      <c r="K158" s="101"/>
      <c r="L158" s="101"/>
      <c r="M158" s="166">
        <v>0.33333333333333331</v>
      </c>
      <c r="N158" s="101"/>
      <c r="O158" s="99"/>
      <c r="P158" s="99"/>
      <c r="Q158" s="15">
        <v>30</v>
      </c>
      <c r="R158" s="15">
        <v>4</v>
      </c>
      <c r="S158" s="15"/>
      <c r="T158" s="103"/>
      <c r="U158" s="15"/>
      <c r="V158" s="15"/>
      <c r="W158" s="15"/>
      <c r="X158" s="99"/>
      <c r="Y158" s="71">
        <f ca="1">Table24[[#This Row],[End Date]]+2-TODAY()</f>
        <v>206</v>
      </c>
      <c r="Z158" s="15">
        <f>IF(ISBLANK(Table24[[#This Row],[Roster Received By]]),1,0)</f>
        <v>1</v>
      </c>
      <c r="AA158" s="15">
        <f ca="1">IF(Table24[[#This Row],[Start Date]]&gt;TODAY(),1,)</f>
        <v>1</v>
      </c>
    </row>
    <row r="159" spans="1:27" s="62" customFormat="1" x14ac:dyDescent="0.25">
      <c r="A159" s="65"/>
      <c r="B159" s="99" t="s">
        <v>60</v>
      </c>
      <c r="C159" s="100" t="s">
        <v>211</v>
      </c>
      <c r="D159" s="100" t="s">
        <v>212</v>
      </c>
      <c r="E159" s="99"/>
      <c r="F159" s="102">
        <v>45754</v>
      </c>
      <c r="G159" s="102">
        <v>45757</v>
      </c>
      <c r="H159" s="105"/>
      <c r="I159" s="105"/>
      <c r="J159" s="102"/>
      <c r="K159" s="102"/>
      <c r="L159" s="102"/>
      <c r="M159" s="102"/>
      <c r="N159" s="166">
        <v>0.33333333333333331</v>
      </c>
      <c r="O159" s="99"/>
      <c r="P159" s="99"/>
      <c r="Q159" s="15">
        <v>30</v>
      </c>
      <c r="R159" s="15">
        <v>4</v>
      </c>
      <c r="S159" s="103"/>
      <c r="T159" s="103"/>
      <c r="U159" s="15"/>
      <c r="V159" s="15"/>
      <c r="W159" s="100"/>
      <c r="X159" s="99"/>
      <c r="Y159" s="109">
        <f ca="1">Table24[[#This Row],[End Date]]+2-TODAY()</f>
        <v>227</v>
      </c>
      <c r="Z159" s="15">
        <f>IF(ISBLANK(Table24[[#This Row],[Roster Received By]]),1,0)</f>
        <v>1</v>
      </c>
      <c r="AA159" s="100">
        <f ca="1">IF(Table24[[#This Row],[Start Date]]&gt;TODAY(),1,)</f>
        <v>1</v>
      </c>
    </row>
    <row r="160" spans="1:27" s="62" customFormat="1" x14ac:dyDescent="0.25">
      <c r="A160" s="100"/>
      <c r="B160" s="99" t="s">
        <v>60</v>
      </c>
      <c r="C160" s="100" t="s">
        <v>211</v>
      </c>
      <c r="D160" s="100" t="s">
        <v>212</v>
      </c>
      <c r="E160" s="99"/>
      <c r="F160" s="102">
        <v>45796</v>
      </c>
      <c r="G160" s="102">
        <v>45799</v>
      </c>
      <c r="H160" s="108"/>
      <c r="I160" s="166">
        <v>0.33333333333333331</v>
      </c>
      <c r="J160" s="102"/>
      <c r="K160" s="102"/>
      <c r="L160" s="102"/>
      <c r="M160" s="102"/>
      <c r="N160" s="102"/>
      <c r="O160" s="99"/>
      <c r="P160" s="99"/>
      <c r="Q160" s="15">
        <v>30</v>
      </c>
      <c r="R160" s="15">
        <v>4</v>
      </c>
      <c r="S160" s="107"/>
      <c r="T160" s="103"/>
      <c r="U160" s="15"/>
      <c r="V160" s="15"/>
      <c r="W160" s="15"/>
      <c r="X160" s="99"/>
      <c r="Y160" s="71">
        <f ca="1">Table24[[#This Row],[End Date]]+2-TODAY()</f>
        <v>269</v>
      </c>
      <c r="Z160" s="15">
        <f>IF(ISBLANK(Table24[[#This Row],[Roster Received By]]),1,0)</f>
        <v>1</v>
      </c>
      <c r="AA160" s="15">
        <f ca="1">IF(Table24[[#This Row],[Start Date]]&gt;TODAY(),1,)</f>
        <v>1</v>
      </c>
    </row>
    <row r="161" spans="1:27" s="62" customFormat="1" ht="15" customHeight="1" x14ac:dyDescent="0.25">
      <c r="B161" s="99" t="s">
        <v>60</v>
      </c>
      <c r="C161" s="100" t="s">
        <v>211</v>
      </c>
      <c r="D161" s="100" t="s">
        <v>212</v>
      </c>
      <c r="E161" s="99"/>
      <c r="F161" s="102">
        <v>45810</v>
      </c>
      <c r="G161" s="102">
        <v>45813</v>
      </c>
      <c r="H161" s="108"/>
      <c r="I161" s="108"/>
      <c r="J161" s="166">
        <v>0.33333333333333331</v>
      </c>
      <c r="K161" s="102"/>
      <c r="L161" s="102"/>
      <c r="M161" s="102"/>
      <c r="N161" s="102"/>
      <c r="O161" s="99"/>
      <c r="P161" s="99"/>
      <c r="Q161" s="15">
        <v>30</v>
      </c>
      <c r="R161" s="15">
        <v>4</v>
      </c>
      <c r="S161" s="15"/>
      <c r="T161" s="103"/>
      <c r="U161" s="15"/>
      <c r="V161" s="15"/>
      <c r="W161" s="15"/>
      <c r="X161" s="99"/>
      <c r="Y161" s="71">
        <f ca="1">Table24[[#This Row],[End Date]]+2-TODAY()</f>
        <v>283</v>
      </c>
      <c r="Z161" s="15">
        <f>IF(ISBLANK(Table24[[#This Row],[Roster Received By]]),1,0)</f>
        <v>1</v>
      </c>
      <c r="AA161" s="15">
        <f ca="1">IF(Table24[[#This Row],[Start Date]]&gt;TODAY(),1,)</f>
        <v>1</v>
      </c>
    </row>
    <row r="162" spans="1:27" s="62" customFormat="1" x14ac:dyDescent="0.25">
      <c r="B162" s="99" t="s">
        <v>60</v>
      </c>
      <c r="C162" s="100" t="s">
        <v>211</v>
      </c>
      <c r="D162" s="100" t="s">
        <v>212</v>
      </c>
      <c r="E162" s="99"/>
      <c r="F162" s="102">
        <v>45859</v>
      </c>
      <c r="G162" s="102">
        <v>45862</v>
      </c>
      <c r="H162" s="105"/>
      <c r="I162" s="105"/>
      <c r="J162" s="102"/>
      <c r="K162" s="102"/>
      <c r="L162" s="102"/>
      <c r="M162" s="166">
        <v>0.33333333333333331</v>
      </c>
      <c r="N162" s="102"/>
      <c r="O162" s="99"/>
      <c r="P162" s="99"/>
      <c r="Q162" s="15">
        <v>30</v>
      </c>
      <c r="R162" s="15">
        <v>4</v>
      </c>
      <c r="S162" s="15"/>
      <c r="T162" s="103"/>
      <c r="U162" s="15"/>
      <c r="V162" s="15"/>
      <c r="W162" s="15"/>
      <c r="X162" s="99"/>
      <c r="Y162" s="71">
        <f ca="1">Table24[[#This Row],[End Date]]+2-TODAY()</f>
        <v>332</v>
      </c>
      <c r="Z162" s="15">
        <f>IF(ISBLANK(Table24[[#This Row],[Roster Received By]]),1,0)</f>
        <v>1</v>
      </c>
      <c r="AA162" s="15">
        <f ca="1">IF(Table24[[#This Row],[Start Date]]&gt;TODAY(),1,)</f>
        <v>1</v>
      </c>
    </row>
    <row r="163" spans="1:27" s="62" customFormat="1" x14ac:dyDescent="0.25">
      <c r="B163" s="99" t="s">
        <v>60</v>
      </c>
      <c r="C163" s="100" t="s">
        <v>211</v>
      </c>
      <c r="D163" s="100" t="s">
        <v>212</v>
      </c>
      <c r="E163" s="99"/>
      <c r="F163" s="102">
        <v>45887</v>
      </c>
      <c r="G163" s="102">
        <v>45890</v>
      </c>
      <c r="H163" s="105"/>
      <c r="I163" s="166">
        <v>0.33333333333333331</v>
      </c>
      <c r="J163" s="102"/>
      <c r="K163" s="102"/>
      <c r="L163" s="102"/>
      <c r="M163" s="102"/>
      <c r="N163" s="102"/>
      <c r="O163" s="99"/>
      <c r="P163" s="99"/>
      <c r="Q163" s="15">
        <v>30</v>
      </c>
      <c r="R163" s="15">
        <v>4</v>
      </c>
      <c r="S163" s="103"/>
      <c r="T163" s="103"/>
      <c r="U163" s="15"/>
      <c r="V163" s="15"/>
      <c r="W163" s="15"/>
      <c r="X163" s="99"/>
      <c r="Y163" s="71">
        <f ca="1">Table24[[#This Row],[End Date]]+2-TODAY()</f>
        <v>360</v>
      </c>
      <c r="Z163" s="15">
        <f>IF(ISBLANK(Table24[[#This Row],[Roster Received By]]),1,0)</f>
        <v>1</v>
      </c>
      <c r="AA163" s="15">
        <f ca="1">IF(Table24[[#This Row],[Start Date]]&gt;TODAY(),1,)</f>
        <v>1</v>
      </c>
    </row>
    <row r="164" spans="1:27" s="62" customFormat="1" x14ac:dyDescent="0.25">
      <c r="B164" s="99" t="s">
        <v>60</v>
      </c>
      <c r="C164" s="100" t="s">
        <v>211</v>
      </c>
      <c r="D164" s="100" t="s">
        <v>212</v>
      </c>
      <c r="E164" s="99"/>
      <c r="F164" s="102">
        <v>45915</v>
      </c>
      <c r="G164" s="102">
        <v>45918</v>
      </c>
      <c r="H164" s="105"/>
      <c r="I164" s="105"/>
      <c r="J164" s="102"/>
      <c r="K164" s="102"/>
      <c r="L164" s="166">
        <v>0.33333333333333331</v>
      </c>
      <c r="M164" s="102"/>
      <c r="N164" s="102"/>
      <c r="O164" s="99"/>
      <c r="P164" s="99"/>
      <c r="Q164" s="15">
        <v>30</v>
      </c>
      <c r="R164" s="15">
        <v>4</v>
      </c>
      <c r="S164" s="15"/>
      <c r="T164" s="103"/>
      <c r="U164" s="15"/>
      <c r="V164" s="15"/>
      <c r="W164" s="15"/>
      <c r="X164" s="99"/>
      <c r="Y164" s="71">
        <f ca="1">Table24[[#This Row],[End Date]]+2-TODAY()</f>
        <v>388</v>
      </c>
      <c r="Z164" s="15">
        <f>IF(ISBLANK(Table24[[#This Row],[Roster Received By]]),1,0)</f>
        <v>1</v>
      </c>
      <c r="AA164" s="15">
        <f ca="1">IF(Table24[[#This Row],[Start Date]]&gt;TODAY(),1,)</f>
        <v>1</v>
      </c>
    </row>
    <row r="165" spans="1:27" s="62" customFormat="1" x14ac:dyDescent="0.25">
      <c r="B165" s="99"/>
      <c r="C165" s="100"/>
      <c r="D165" s="100"/>
      <c r="E165" s="141"/>
      <c r="F165" s="102"/>
      <c r="G165" s="102"/>
      <c r="H165" s="105"/>
      <c r="I165" s="101"/>
      <c r="J165" s="101"/>
      <c r="K165" s="101"/>
      <c r="L165" s="101"/>
      <c r="M165" s="101"/>
      <c r="N165" s="101"/>
      <c r="O165" s="99"/>
      <c r="P165" s="99"/>
      <c r="Q165" s="15" t="e">
        <v>#N/A</v>
      </c>
      <c r="R165" s="15" t="e">
        <v>#N/A</v>
      </c>
      <c r="S165" s="15"/>
      <c r="T165" s="103"/>
      <c r="U165" s="15"/>
      <c r="V165" s="15"/>
      <c r="W165" s="15"/>
      <c r="X165" s="99"/>
      <c r="Y165" s="71">
        <f ca="1">Table24[[#This Row],[End Date]]+2-TODAY()</f>
        <v>-45530</v>
      </c>
      <c r="Z165" s="15">
        <f>IF(ISBLANK(Table24[[#This Row],[Roster Received By]]),1,0)</f>
        <v>1</v>
      </c>
      <c r="AA165" s="15">
        <f ca="1">IF(Table24[[#This Row],[Start Date]]&gt;TODAY(),1,)</f>
        <v>0</v>
      </c>
    </row>
    <row r="166" spans="1:27" s="62" customFormat="1" x14ac:dyDescent="0.25">
      <c r="A166" s="99"/>
      <c r="B166" s="99"/>
      <c r="C166" s="100"/>
      <c r="D166" s="100"/>
      <c r="E166" s="65"/>
      <c r="F166" s="67"/>
      <c r="G166" s="67"/>
      <c r="H166" s="105"/>
      <c r="I166" s="105"/>
      <c r="J166" s="102"/>
      <c r="K166" s="102"/>
      <c r="L166" s="102"/>
      <c r="M166" s="102"/>
      <c r="N166" s="102"/>
      <c r="O166" s="99"/>
      <c r="P166" s="99"/>
      <c r="Q166" s="15" t="e">
        <v>#N/A</v>
      </c>
      <c r="R166" s="15" t="e">
        <v>#N/A</v>
      </c>
      <c r="S166" s="15"/>
      <c r="T166" s="103"/>
      <c r="U166" s="15"/>
      <c r="V166" s="15"/>
      <c r="W166" s="15"/>
      <c r="X166" s="99"/>
      <c r="Y166" s="71">
        <f ca="1">Table24[[#This Row],[End Date]]+2-TODAY()</f>
        <v>-45530</v>
      </c>
      <c r="Z166" s="15">
        <f>IF(ISBLANK(Table24[[#This Row],[Roster Received By]]),1,0)</f>
        <v>1</v>
      </c>
      <c r="AA166" s="15">
        <f ca="1">IF(Table24[[#This Row],[Start Date]]&gt;TODAY(),1,)</f>
        <v>0</v>
      </c>
    </row>
    <row r="167" spans="1:27" s="62" customFormat="1" x14ac:dyDescent="0.25">
      <c r="B167" s="99"/>
      <c r="C167" s="100"/>
      <c r="D167" s="100"/>
      <c r="E167" s="99"/>
      <c r="F167" s="102"/>
      <c r="G167" s="102"/>
      <c r="H167" s="102"/>
      <c r="I167" s="101"/>
      <c r="J167" s="101"/>
      <c r="K167" s="101"/>
      <c r="L167" s="101"/>
      <c r="M167" s="101"/>
      <c r="N167" s="101"/>
      <c r="O167" s="99"/>
      <c r="P167" s="99"/>
      <c r="Q167" s="15" t="e">
        <v>#N/A</v>
      </c>
      <c r="R167" s="15" t="e">
        <v>#N/A</v>
      </c>
      <c r="S167" s="15"/>
      <c r="T167" s="103"/>
      <c r="U167" s="15"/>
      <c r="V167" s="15"/>
      <c r="W167" s="15"/>
      <c r="X167" s="99"/>
      <c r="Y167" s="71">
        <f ca="1">Table24[[#This Row],[End Date]]+2-TODAY()</f>
        <v>-45530</v>
      </c>
      <c r="Z167" s="15">
        <f>IF(ISBLANK(Table24[[#This Row],[Roster Received By]]),1,0)</f>
        <v>1</v>
      </c>
      <c r="AA167" s="15">
        <f ca="1">IF(Table24[[#This Row],[Start Date]]&gt;TODAY(),1,)</f>
        <v>0</v>
      </c>
    </row>
    <row r="168" spans="1:27" s="62" customFormat="1" x14ac:dyDescent="0.25">
      <c r="B168" s="99"/>
      <c r="C168" s="100"/>
      <c r="D168" s="100"/>
      <c r="E168" s="99"/>
      <c r="F168" s="102"/>
      <c r="G168" s="102"/>
      <c r="H168" s="102"/>
      <c r="I168" s="101"/>
      <c r="J168" s="101"/>
      <c r="K168" s="101"/>
      <c r="L168" s="101"/>
      <c r="M168" s="101"/>
      <c r="N168" s="101"/>
      <c r="O168" s="99"/>
      <c r="P168" s="99"/>
      <c r="Q168" s="15" t="e">
        <v>#N/A</v>
      </c>
      <c r="R168" s="15" t="e">
        <v>#N/A</v>
      </c>
      <c r="S168" s="15"/>
      <c r="T168" s="103"/>
      <c r="U168" s="15"/>
      <c r="V168" s="15"/>
      <c r="W168" s="100"/>
      <c r="X168" s="99"/>
      <c r="Y168" s="71">
        <f ca="1">Table24[[#This Row],[End Date]]+2-TODAY()</f>
        <v>-45530</v>
      </c>
      <c r="Z168" s="15">
        <f>IF(ISBLANK(Table24[[#This Row],[Roster Received By]]),1,0)</f>
        <v>1</v>
      </c>
      <c r="AA168" s="15">
        <f ca="1">IF(Table24[[#This Row],[Start Date]]&gt;TODAY(),1,)</f>
        <v>0</v>
      </c>
    </row>
    <row r="169" spans="1:27" s="62" customFormat="1" x14ac:dyDescent="0.25">
      <c r="B169" s="99"/>
      <c r="C169" s="100"/>
      <c r="D169" s="100"/>
      <c r="E169" s="99"/>
      <c r="F169" s="110"/>
      <c r="G169" s="110"/>
      <c r="H169" s="105"/>
      <c r="I169" s="101"/>
      <c r="J169" s="101"/>
      <c r="K169" s="101"/>
      <c r="L169" s="101"/>
      <c r="M169" s="101"/>
      <c r="N169" s="101"/>
      <c r="O169" s="99"/>
      <c r="P169" s="99"/>
      <c r="Q169" s="15" t="e">
        <v>#N/A</v>
      </c>
      <c r="R169" s="15" t="e">
        <v>#N/A</v>
      </c>
      <c r="S169" s="103"/>
      <c r="T169" s="103"/>
      <c r="U169" s="15"/>
      <c r="V169" s="15"/>
      <c r="W169" s="100"/>
      <c r="X169" s="99"/>
      <c r="Y169" s="71">
        <f ca="1">Table24[[#This Row],[End Date]]+2-TODAY()</f>
        <v>-45530</v>
      </c>
      <c r="Z169" s="15">
        <f>IF(ISBLANK(Table24[[#This Row],[Roster Received By]]),1,0)</f>
        <v>1</v>
      </c>
      <c r="AA169" s="15">
        <f ca="1">IF(Table24[[#This Row],[Start Date]]&gt;TODAY(),1,)</f>
        <v>0</v>
      </c>
    </row>
    <row r="170" spans="1:27" s="62" customFormat="1" x14ac:dyDescent="0.25">
      <c r="B170" s="99"/>
      <c r="C170" s="100"/>
      <c r="D170" s="100"/>
      <c r="E170" s="124"/>
      <c r="F170" s="98"/>
      <c r="G170" s="98"/>
      <c r="H170" s="101"/>
      <c r="I170" s="101"/>
      <c r="J170" s="101"/>
      <c r="K170" s="101"/>
      <c r="L170" s="101"/>
      <c r="M170" s="101"/>
      <c r="N170" s="101"/>
      <c r="O170" s="99"/>
      <c r="P170" s="99"/>
      <c r="Q170" s="15" t="e">
        <v>#N/A</v>
      </c>
      <c r="R170" s="15" t="e">
        <v>#N/A</v>
      </c>
      <c r="S170" s="15"/>
      <c r="T170" s="103"/>
      <c r="U170" s="15"/>
      <c r="V170" s="15"/>
      <c r="W170" s="15"/>
      <c r="X170" s="99"/>
      <c r="Y170" s="71">
        <f ca="1">Table24[[#This Row],[End Date]]+2-TODAY()</f>
        <v>-45530</v>
      </c>
      <c r="Z170" s="15">
        <f>IF(ISBLANK(Table24[[#This Row],[Roster Received By]]),1,0)</f>
        <v>1</v>
      </c>
      <c r="AA170" s="15">
        <f ca="1">IF(Table24[[#This Row],[Start Date]]&gt;TODAY(),1,)</f>
        <v>0</v>
      </c>
    </row>
    <row r="171" spans="1:27" s="62" customFormat="1" x14ac:dyDescent="0.25">
      <c r="B171" s="99"/>
      <c r="C171" s="100"/>
      <c r="D171" s="100"/>
      <c r="E171"/>
      <c r="F171" s="110"/>
      <c r="G171" s="110"/>
      <c r="H171" s="105"/>
      <c r="I171" s="105"/>
      <c r="J171" s="102"/>
      <c r="K171" s="102"/>
      <c r="L171" s="102"/>
      <c r="M171" s="102"/>
      <c r="N171" s="102"/>
      <c r="O171" s="99"/>
      <c r="P171" s="99"/>
      <c r="Q171" s="15" t="e">
        <v>#N/A</v>
      </c>
      <c r="R171" s="15" t="e">
        <v>#N/A</v>
      </c>
      <c r="S171" s="15"/>
      <c r="T171" s="103"/>
      <c r="U171" s="15"/>
      <c r="V171" s="15"/>
      <c r="W171" s="15"/>
      <c r="X171" s="99"/>
      <c r="Y171" s="71">
        <f ca="1">Table24[[#This Row],[End Date]]+2-TODAY()</f>
        <v>-45530</v>
      </c>
      <c r="Z171" s="15">
        <f>IF(ISBLANK(Table24[[#This Row],[Roster Received By]]),1,0)</f>
        <v>1</v>
      </c>
      <c r="AA171" s="15">
        <f ca="1">IF(Table24[[#This Row],[Start Date]]&gt;TODAY(),1,)</f>
        <v>0</v>
      </c>
    </row>
    <row r="172" spans="1:27" s="62" customFormat="1" x14ac:dyDescent="0.25">
      <c r="B172" s="99"/>
      <c r="C172" s="100"/>
      <c r="D172" s="100"/>
      <c r="E172" s="99"/>
      <c r="F172" s="110"/>
      <c r="G172" s="110"/>
      <c r="H172" s="102"/>
      <c r="I172" s="101"/>
      <c r="J172" s="101"/>
      <c r="K172" s="101"/>
      <c r="L172" s="101"/>
      <c r="M172" s="101"/>
      <c r="N172" s="101"/>
      <c r="O172" s="99"/>
      <c r="P172" s="99"/>
      <c r="Q172" s="15" t="e">
        <v>#N/A</v>
      </c>
      <c r="R172" s="15" t="e">
        <v>#N/A</v>
      </c>
      <c r="S172" s="15"/>
      <c r="T172" s="103"/>
      <c r="U172" s="15"/>
      <c r="V172" s="15"/>
      <c r="W172" s="15"/>
      <c r="X172" s="99"/>
      <c r="Y172" s="71">
        <f ca="1">Table24[[#This Row],[End Date]]+2-TODAY()</f>
        <v>-45530</v>
      </c>
      <c r="Z172" s="15">
        <f>IF(ISBLANK(Table24[[#This Row],[Roster Received By]]),1,0)</f>
        <v>1</v>
      </c>
      <c r="AA172" s="15">
        <f ca="1">IF(Table24[[#This Row],[Start Date]]&gt;TODAY(),1,)</f>
        <v>0</v>
      </c>
    </row>
    <row r="173" spans="1:27" s="62" customFormat="1" x14ac:dyDescent="0.25">
      <c r="B173" s="99"/>
      <c r="C173" s="100"/>
      <c r="D173" s="100"/>
      <c r="E173" s="99"/>
      <c r="F173" s="102"/>
      <c r="G173" s="102"/>
      <c r="H173" s="102"/>
      <c r="I173" s="101"/>
      <c r="J173" s="101"/>
      <c r="K173" s="101"/>
      <c r="L173" s="101"/>
      <c r="M173" s="101"/>
      <c r="N173" s="101"/>
      <c r="O173" s="99"/>
      <c r="P173" s="99"/>
      <c r="Q173" s="15" t="e">
        <v>#N/A</v>
      </c>
      <c r="R173" s="15" t="e">
        <v>#N/A</v>
      </c>
      <c r="S173" s="15"/>
      <c r="T173" s="103"/>
      <c r="U173" s="15"/>
      <c r="V173" s="15"/>
      <c r="W173" s="15"/>
      <c r="X173" s="99"/>
      <c r="Y173" s="71">
        <f ca="1">Table24[[#This Row],[End Date]]+2-TODAY()</f>
        <v>-45530</v>
      </c>
      <c r="Z173" s="15">
        <f>IF(ISBLANK(Table24[[#This Row],[Roster Received By]]),1,0)</f>
        <v>1</v>
      </c>
      <c r="AA173" s="15">
        <f ca="1">IF(Table24[[#This Row],[Start Date]]&gt;TODAY(),1,)</f>
        <v>0</v>
      </c>
    </row>
    <row r="174" spans="1:27" s="62" customFormat="1" x14ac:dyDescent="0.25">
      <c r="B174" s="99"/>
      <c r="C174" s="100"/>
      <c r="D174" s="100"/>
      <c r="E174" s="99"/>
      <c r="F174" s="110"/>
      <c r="G174" s="110"/>
      <c r="H174" s="102"/>
      <c r="I174" s="101"/>
      <c r="J174" s="101"/>
      <c r="K174" s="101"/>
      <c r="L174" s="101"/>
      <c r="M174" s="101"/>
      <c r="N174" s="101"/>
      <c r="O174" s="99"/>
      <c r="P174" s="99"/>
      <c r="Q174" s="15" t="e">
        <v>#N/A</v>
      </c>
      <c r="R174" s="15" t="e">
        <v>#N/A</v>
      </c>
      <c r="S174" s="15"/>
      <c r="T174" s="103"/>
      <c r="U174" s="15"/>
      <c r="V174" s="15"/>
      <c r="W174" s="15"/>
      <c r="X174" s="99"/>
      <c r="Y174" s="71">
        <f ca="1">Table24[[#This Row],[End Date]]+2-TODAY()</f>
        <v>-45530</v>
      </c>
      <c r="Z174" s="15">
        <f>IF(ISBLANK(Table24[[#This Row],[Roster Received By]]),1,0)</f>
        <v>1</v>
      </c>
      <c r="AA174" s="15">
        <f ca="1">IF(Table24[[#This Row],[Start Date]]&gt;TODAY(),1,)</f>
        <v>0</v>
      </c>
    </row>
    <row r="175" spans="1:27" s="62" customFormat="1" x14ac:dyDescent="0.25">
      <c r="B175" s="99"/>
      <c r="C175" s="100"/>
      <c r="D175" s="100"/>
      <c r="E175" s="99"/>
      <c r="F175" s="110"/>
      <c r="G175" s="110"/>
      <c r="H175" s="102"/>
      <c r="I175" s="101"/>
      <c r="J175" s="101"/>
      <c r="K175" s="101"/>
      <c r="L175" s="101"/>
      <c r="M175" s="101"/>
      <c r="N175" s="101"/>
      <c r="O175" s="99"/>
      <c r="P175" s="99"/>
      <c r="Q175" s="15" t="e">
        <v>#N/A</v>
      </c>
      <c r="R175" s="15" t="e">
        <v>#N/A</v>
      </c>
      <c r="S175" s="15"/>
      <c r="T175" s="103"/>
      <c r="U175" s="15"/>
      <c r="V175" s="15"/>
      <c r="W175" s="15"/>
      <c r="X175" s="99"/>
      <c r="Y175" s="71">
        <f ca="1">Table24[[#This Row],[End Date]]+2-TODAY()</f>
        <v>-45530</v>
      </c>
      <c r="Z175" s="15">
        <f>IF(ISBLANK(Table24[[#This Row],[Roster Received By]]),1,0)</f>
        <v>1</v>
      </c>
      <c r="AA175" s="15">
        <f ca="1">IF(Table24[[#This Row],[Start Date]]&gt;TODAY(),1,)</f>
        <v>0</v>
      </c>
    </row>
    <row r="176" spans="1:27" s="62" customFormat="1" x14ac:dyDescent="0.25">
      <c r="B176" s="99"/>
      <c r="C176" s="100"/>
      <c r="D176" s="100"/>
      <c r="E176" s="99"/>
      <c r="F176" s="110"/>
      <c r="G176" s="110"/>
      <c r="H176" s="102"/>
      <c r="I176" s="101"/>
      <c r="J176" s="101"/>
      <c r="K176" s="101"/>
      <c r="L176" s="101"/>
      <c r="M176" s="101"/>
      <c r="N176" s="101"/>
      <c r="O176" s="99"/>
      <c r="P176" s="99"/>
      <c r="Q176" s="15" t="e">
        <v>#N/A</v>
      </c>
      <c r="R176" s="15" t="e">
        <v>#N/A</v>
      </c>
      <c r="S176" s="15"/>
      <c r="T176" s="103"/>
      <c r="U176" s="15"/>
      <c r="V176" s="15"/>
      <c r="W176" s="15"/>
      <c r="X176" s="99"/>
      <c r="Y176" s="71">
        <f ca="1">Table24[[#This Row],[End Date]]+2-TODAY()</f>
        <v>-45530</v>
      </c>
      <c r="Z176" s="15">
        <f>IF(ISBLANK(Table24[[#This Row],[Roster Received By]]),1,0)</f>
        <v>1</v>
      </c>
      <c r="AA176" s="15">
        <f ca="1">IF(Table24[[#This Row],[Start Date]]&gt;TODAY(),1,)</f>
        <v>0</v>
      </c>
    </row>
    <row r="177" spans="1:27" s="62" customFormat="1" x14ac:dyDescent="0.25">
      <c r="B177" s="99"/>
      <c r="C177" s="100"/>
      <c r="D177" s="100"/>
      <c r="E177" s="99"/>
      <c r="F177" s="110"/>
      <c r="G177" s="110"/>
      <c r="H177" s="102"/>
      <c r="I177" s="101"/>
      <c r="J177" s="101"/>
      <c r="K177" s="101"/>
      <c r="L177" s="101"/>
      <c r="M177" s="101"/>
      <c r="N177" s="101"/>
      <c r="O177" s="99"/>
      <c r="P177" s="99"/>
      <c r="Q177" s="15" t="e">
        <v>#N/A</v>
      </c>
      <c r="R177" s="15" t="e">
        <v>#N/A</v>
      </c>
      <c r="S177" s="15"/>
      <c r="T177" s="103"/>
      <c r="U177" s="15"/>
      <c r="V177" s="15"/>
      <c r="W177" s="100"/>
      <c r="X177" s="99"/>
      <c r="Y177" s="71">
        <f ca="1">Table24[[#This Row],[End Date]]+2-TODAY()</f>
        <v>-45530</v>
      </c>
      <c r="Z177" s="15">
        <f>IF(ISBLANK(Table24[[#This Row],[Roster Received By]]),1,0)</f>
        <v>1</v>
      </c>
      <c r="AA177" s="15">
        <f ca="1">IF(Table24[[#This Row],[Start Date]]&gt;TODAY(),1,)</f>
        <v>0</v>
      </c>
    </row>
    <row r="178" spans="1:27" s="62" customFormat="1" x14ac:dyDescent="0.25">
      <c r="B178" s="99"/>
      <c r="C178" s="100"/>
      <c r="D178" s="100"/>
      <c r="E178" s="99"/>
      <c r="F178" s="110"/>
      <c r="G178" s="110"/>
      <c r="H178" s="102"/>
      <c r="I178" s="101"/>
      <c r="J178" s="101"/>
      <c r="K178" s="101"/>
      <c r="L178" s="101"/>
      <c r="M178" s="101"/>
      <c r="N178" s="101"/>
      <c r="O178" s="99"/>
      <c r="P178" s="99"/>
      <c r="Q178" s="15" t="e">
        <v>#N/A</v>
      </c>
      <c r="R178" s="15" t="e">
        <v>#N/A</v>
      </c>
      <c r="S178" s="15"/>
      <c r="T178" s="103"/>
      <c r="U178" s="15"/>
      <c r="V178" s="15"/>
      <c r="W178" s="15"/>
      <c r="X178" s="99"/>
      <c r="Y178" s="71">
        <f ca="1">Table24[[#This Row],[End Date]]+2-TODAY()</f>
        <v>-45530</v>
      </c>
      <c r="Z178" s="15">
        <f>IF(ISBLANK(Table24[[#This Row],[Roster Received By]]),1,0)</f>
        <v>1</v>
      </c>
      <c r="AA178" s="15">
        <f ca="1">IF(Table24[[#This Row],[Start Date]]&gt;TODAY(),1,)</f>
        <v>0</v>
      </c>
    </row>
    <row r="179" spans="1:27" s="62" customFormat="1" x14ac:dyDescent="0.25">
      <c r="B179" s="99"/>
      <c r="C179" s="100"/>
      <c r="D179" s="100"/>
      <c r="E179" s="99"/>
      <c r="F179" s="110"/>
      <c r="G179" s="110"/>
      <c r="H179" s="102"/>
      <c r="I179" s="101"/>
      <c r="J179" s="101"/>
      <c r="K179" s="101"/>
      <c r="L179" s="101"/>
      <c r="M179" s="101"/>
      <c r="N179" s="101"/>
      <c r="O179" s="99"/>
      <c r="P179" s="99"/>
      <c r="Q179" s="15" t="e">
        <v>#N/A</v>
      </c>
      <c r="R179" s="15" t="e">
        <v>#N/A</v>
      </c>
      <c r="S179" s="15"/>
      <c r="T179" s="103"/>
      <c r="U179" s="15"/>
      <c r="V179" s="15"/>
      <c r="W179" s="15"/>
      <c r="X179" s="99"/>
      <c r="Y179" s="71">
        <f ca="1">Table24[[#This Row],[End Date]]+2-TODAY()</f>
        <v>-45530</v>
      </c>
      <c r="Z179" s="15">
        <f>IF(ISBLANK(Table24[[#This Row],[Roster Received By]]),1,0)</f>
        <v>1</v>
      </c>
      <c r="AA179" s="15">
        <f ca="1">IF(Table24[[#This Row],[Start Date]]&gt;TODAY(),1,)</f>
        <v>0</v>
      </c>
    </row>
    <row r="180" spans="1:27" s="62" customFormat="1" x14ac:dyDescent="0.25">
      <c r="B180" s="99"/>
      <c r="C180" s="100"/>
      <c r="D180" s="100"/>
      <c r="E180" s="99"/>
      <c r="F180" s="110"/>
      <c r="G180" s="110"/>
      <c r="H180" s="105"/>
      <c r="I180" s="105"/>
      <c r="J180" s="105"/>
      <c r="K180" s="105"/>
      <c r="L180" s="105"/>
      <c r="M180" s="105"/>
      <c r="N180" s="102"/>
      <c r="O180" s="99"/>
      <c r="P180" s="99"/>
      <c r="Q180" s="15" t="e">
        <v>#N/A</v>
      </c>
      <c r="R180" s="15" t="e">
        <v>#N/A</v>
      </c>
      <c r="S180" s="15"/>
      <c r="T180" s="103"/>
      <c r="U180" s="15"/>
      <c r="V180" s="15"/>
      <c r="W180" s="15"/>
      <c r="X180" s="99"/>
      <c r="Y180" s="71">
        <f ca="1">Table24[[#This Row],[End Date]]+2-TODAY()</f>
        <v>-45530</v>
      </c>
      <c r="Z180" s="15">
        <f>IF(ISBLANK(Table24[[#This Row],[Roster Received By]]),1,0)</f>
        <v>1</v>
      </c>
      <c r="AA180" s="15">
        <f ca="1">IF(Table24[[#This Row],[Start Date]]&gt;TODAY(),1,)</f>
        <v>0</v>
      </c>
    </row>
    <row r="181" spans="1:27" s="62" customFormat="1" x14ac:dyDescent="0.25">
      <c r="B181" s="99"/>
      <c r="C181" s="100"/>
      <c r="D181" s="100"/>
      <c r="E181" s="99"/>
      <c r="F181" s="102"/>
      <c r="G181" s="102"/>
      <c r="H181" s="102"/>
      <c r="I181" s="101"/>
      <c r="J181" s="101"/>
      <c r="K181" s="101"/>
      <c r="L181" s="101"/>
      <c r="M181" s="101"/>
      <c r="N181" s="101"/>
      <c r="O181" s="99"/>
      <c r="P181" s="99"/>
      <c r="Q181" s="15" t="e">
        <v>#N/A</v>
      </c>
      <c r="R181" s="15" t="e">
        <v>#N/A</v>
      </c>
      <c r="S181" s="15"/>
      <c r="T181" s="103"/>
      <c r="U181" s="15"/>
      <c r="V181" s="15"/>
      <c r="W181" s="15"/>
      <c r="X181" s="99"/>
      <c r="Y181" s="71">
        <f ca="1">Table24[[#This Row],[End Date]]+2-TODAY()</f>
        <v>-45530</v>
      </c>
      <c r="Z181" s="15">
        <f>IF(ISBLANK(Table24[[#This Row],[Roster Received By]]),1,0)</f>
        <v>1</v>
      </c>
      <c r="AA181" s="15">
        <f ca="1">IF(Table24[[#This Row],[Start Date]]&gt;TODAY(),1,)</f>
        <v>0</v>
      </c>
    </row>
    <row r="182" spans="1:27" s="16" customFormat="1" ht="14.25" customHeight="1" x14ac:dyDescent="0.25">
      <c r="A182" s="62"/>
      <c r="B182" s="99"/>
      <c r="C182" s="100"/>
      <c r="D182" s="100"/>
      <c r="E182" s="99"/>
      <c r="F182" s="102"/>
      <c r="G182" s="102"/>
      <c r="H182" s="105"/>
      <c r="I182" s="105"/>
      <c r="J182" s="102"/>
      <c r="K182" s="102"/>
      <c r="L182" s="102"/>
      <c r="M182" s="102"/>
      <c r="N182" s="102"/>
      <c r="O182" s="99"/>
      <c r="P182" s="99"/>
      <c r="Q182" s="15" t="e">
        <v>#N/A</v>
      </c>
      <c r="R182" s="15" t="e">
        <v>#N/A</v>
      </c>
      <c r="S182" s="15"/>
      <c r="T182" s="103"/>
      <c r="U182" s="15"/>
      <c r="V182" s="15"/>
      <c r="W182" s="15"/>
      <c r="X182" s="99"/>
      <c r="Y182" s="71">
        <f ca="1">Table24[[#This Row],[End Date]]+2-TODAY()</f>
        <v>-45530</v>
      </c>
      <c r="Z182" s="15">
        <f>IF(ISBLANK(Table24[[#This Row],[Roster Received By]]),1,0)</f>
        <v>1</v>
      </c>
      <c r="AA182" s="15">
        <f ca="1">IF(Table24[[#This Row],[Start Date]]&gt;TODAY(),1,)</f>
        <v>0</v>
      </c>
    </row>
    <row r="183" spans="1:27" s="62" customFormat="1" ht="15" customHeight="1" x14ac:dyDescent="0.25">
      <c r="B183" s="99"/>
      <c r="C183" s="100"/>
      <c r="D183" s="100"/>
      <c r="E183" s="99"/>
      <c r="F183" s="110"/>
      <c r="G183" s="110"/>
      <c r="H183" s="105"/>
      <c r="I183" s="105"/>
      <c r="J183" s="102"/>
      <c r="K183" s="102"/>
      <c r="L183" s="102"/>
      <c r="M183" s="102"/>
      <c r="N183" s="102"/>
      <c r="O183" s="99"/>
      <c r="P183" s="99"/>
      <c r="Q183" s="15" t="e">
        <v>#N/A</v>
      </c>
      <c r="R183" s="15" t="e">
        <v>#N/A</v>
      </c>
      <c r="S183" s="15"/>
      <c r="T183" s="103"/>
      <c r="U183" s="15"/>
      <c r="V183" s="15"/>
      <c r="W183" s="15"/>
      <c r="X183" s="99"/>
      <c r="Y183" s="71">
        <f ca="1">Table24[[#This Row],[End Date]]+2-TODAY()</f>
        <v>-45530</v>
      </c>
      <c r="Z183" s="15">
        <f>IF(ISBLANK(Table24[[#This Row],[Roster Received By]]),1,0)</f>
        <v>1</v>
      </c>
      <c r="AA183" s="15">
        <f ca="1">IF(Table24[[#This Row],[Start Date]]&gt;TODAY(),1,)</f>
        <v>0</v>
      </c>
    </row>
    <row r="184" spans="1:27" s="62" customFormat="1" x14ac:dyDescent="0.25">
      <c r="B184" s="99"/>
      <c r="C184" s="100"/>
      <c r="D184" s="100"/>
      <c r="E184" s="99"/>
      <c r="F184" s="110"/>
      <c r="G184" s="110"/>
      <c r="H184" s="102"/>
      <c r="I184" s="101"/>
      <c r="J184" s="101"/>
      <c r="K184" s="101"/>
      <c r="L184" s="101"/>
      <c r="M184" s="101"/>
      <c r="N184" s="101"/>
      <c r="O184" s="99"/>
      <c r="P184" s="99"/>
      <c r="Q184" s="15" t="e">
        <v>#N/A</v>
      </c>
      <c r="R184" s="15" t="e">
        <v>#N/A</v>
      </c>
      <c r="S184" s="15"/>
      <c r="T184" s="103"/>
      <c r="U184" s="15"/>
      <c r="V184" s="15"/>
      <c r="W184" s="15"/>
      <c r="X184" s="99"/>
      <c r="Y184" s="71">
        <f ca="1">Table24[[#This Row],[End Date]]+2-TODAY()</f>
        <v>-45530</v>
      </c>
      <c r="Z184" s="15">
        <f>IF(ISBLANK(Table24[[#This Row],[Roster Received By]]),1,0)</f>
        <v>1</v>
      </c>
      <c r="AA184" s="15">
        <f ca="1">IF(Table24[[#This Row],[Start Date]]&gt;TODAY(),1,)</f>
        <v>0</v>
      </c>
    </row>
    <row r="185" spans="1:27" s="62" customFormat="1" x14ac:dyDescent="0.25">
      <c r="B185" s="99"/>
      <c r="C185" s="100"/>
      <c r="D185" s="100"/>
      <c r="E185" s="99"/>
      <c r="F185" s="102"/>
      <c r="G185" s="102"/>
      <c r="H185" s="105"/>
      <c r="I185" s="105"/>
      <c r="J185" s="102"/>
      <c r="K185" s="102"/>
      <c r="L185" s="102"/>
      <c r="M185" s="102"/>
      <c r="N185" s="102"/>
      <c r="O185" s="99"/>
      <c r="P185" s="99"/>
      <c r="Q185" s="15" t="e">
        <v>#N/A</v>
      </c>
      <c r="R185" s="15" t="e">
        <v>#N/A</v>
      </c>
      <c r="S185" s="103"/>
      <c r="T185" s="103"/>
      <c r="U185" s="15"/>
      <c r="V185" s="15"/>
      <c r="W185" s="15"/>
      <c r="X185" s="99"/>
      <c r="Y185" s="71">
        <f ca="1">Table24[[#This Row],[End Date]]+2-TODAY()</f>
        <v>-45530</v>
      </c>
      <c r="Z185" s="15">
        <f>IF(ISBLANK(Table24[[#This Row],[Roster Received By]]),1,0)</f>
        <v>1</v>
      </c>
      <c r="AA185" s="15">
        <f ca="1">IF(Table24[[#This Row],[Start Date]]&gt;TODAY(),1,)</f>
        <v>0</v>
      </c>
    </row>
    <row r="186" spans="1:27" s="62" customFormat="1" x14ac:dyDescent="0.25">
      <c r="B186" s="99"/>
      <c r="C186" s="100"/>
      <c r="D186" s="100"/>
      <c r="E186" s="99"/>
      <c r="F186" s="102"/>
      <c r="G186" s="102"/>
      <c r="H186" s="102"/>
      <c r="I186" s="101"/>
      <c r="J186" s="101"/>
      <c r="K186" s="101"/>
      <c r="L186" s="101"/>
      <c r="M186" s="101"/>
      <c r="N186" s="101"/>
      <c r="O186" s="99"/>
      <c r="P186" s="99"/>
      <c r="Q186" s="15" t="e">
        <v>#N/A</v>
      </c>
      <c r="R186" s="15" t="e">
        <v>#N/A</v>
      </c>
      <c r="S186" s="15"/>
      <c r="T186" s="103"/>
      <c r="U186" s="15"/>
      <c r="V186" s="15"/>
      <c r="W186" s="107"/>
      <c r="X186" s="99"/>
      <c r="Y186" s="71">
        <f ca="1">Table24[[#This Row],[End Date]]+2-TODAY()</f>
        <v>-45530</v>
      </c>
      <c r="Z186" s="15">
        <f>IF(ISBLANK(Table24[[#This Row],[Roster Received By]]),1,0)</f>
        <v>1</v>
      </c>
      <c r="AA186" s="15">
        <f ca="1">IF(Table24[[#This Row],[Start Date]]&gt;TODAY(),1,)</f>
        <v>0</v>
      </c>
    </row>
    <row r="187" spans="1:27" s="62" customFormat="1" x14ac:dyDescent="0.25">
      <c r="B187" s="99"/>
      <c r="C187" s="100"/>
      <c r="D187" s="100"/>
      <c r="E187" s="99"/>
      <c r="F187" s="102"/>
      <c r="G187" s="102"/>
      <c r="H187" s="102"/>
      <c r="I187" s="101"/>
      <c r="J187" s="101"/>
      <c r="K187" s="101"/>
      <c r="L187" s="101"/>
      <c r="M187" s="101"/>
      <c r="N187" s="101"/>
      <c r="O187" s="99"/>
      <c r="P187" s="99"/>
      <c r="Q187" s="15" t="e">
        <v>#N/A</v>
      </c>
      <c r="R187" s="15" t="e">
        <v>#N/A</v>
      </c>
      <c r="S187" s="15"/>
      <c r="T187" s="103"/>
      <c r="U187" s="15"/>
      <c r="V187" s="15"/>
      <c r="W187" s="103"/>
      <c r="X187" s="99"/>
      <c r="Y187" s="71">
        <f ca="1">Table24[[#This Row],[End Date]]+2-TODAY()</f>
        <v>-45530</v>
      </c>
      <c r="Z187" s="15">
        <f>IF(ISBLANK(Table24[[#This Row],[Roster Received By]]),1,0)</f>
        <v>1</v>
      </c>
      <c r="AA187" s="15">
        <f ca="1">IF(Table24[[#This Row],[Start Date]]&gt;TODAY(),1,)</f>
        <v>0</v>
      </c>
    </row>
    <row r="188" spans="1:27" s="62" customFormat="1" x14ac:dyDescent="0.25">
      <c r="A188" s="65"/>
      <c r="B188" s="99"/>
      <c r="C188" s="100"/>
      <c r="D188" s="100"/>
      <c r="E188" s="99"/>
      <c r="F188" s="102"/>
      <c r="G188" s="102"/>
      <c r="H188" s="108"/>
      <c r="I188" s="108"/>
      <c r="J188" s="102"/>
      <c r="K188" s="102"/>
      <c r="L188" s="102"/>
      <c r="M188" s="102"/>
      <c r="N188" s="102"/>
      <c r="O188" s="99"/>
      <c r="P188" s="99"/>
      <c r="Q188" s="15" t="e">
        <v>#N/A</v>
      </c>
      <c r="R188" s="15" t="e">
        <v>#N/A</v>
      </c>
      <c r="S188" s="15"/>
      <c r="T188" s="103"/>
      <c r="U188" s="15"/>
      <c r="V188" s="15"/>
      <c r="W188" s="15"/>
      <c r="X188" s="99"/>
      <c r="Y188" s="71">
        <f ca="1">Table24[[#This Row],[End Date]]+2-TODAY()</f>
        <v>-45530</v>
      </c>
      <c r="Z188" s="15">
        <f>IF(ISBLANK(Table24[[#This Row],[Roster Received By]]),1,0)</f>
        <v>1</v>
      </c>
      <c r="AA188" s="15">
        <f ca="1">IF(Table24[[#This Row],[Start Date]]&gt;TODAY(),1,)</f>
        <v>0</v>
      </c>
    </row>
    <row r="189" spans="1:27" s="62" customFormat="1" x14ac:dyDescent="0.25">
      <c r="B189" s="99"/>
      <c r="C189" s="100"/>
      <c r="D189" s="100"/>
      <c r="E189" s="99"/>
      <c r="F189" s="102"/>
      <c r="G189" s="102"/>
      <c r="H189" s="105"/>
      <c r="I189" s="108"/>
      <c r="J189" s="102"/>
      <c r="K189" s="102"/>
      <c r="L189" s="102"/>
      <c r="M189" s="102"/>
      <c r="N189" s="102"/>
      <c r="O189" s="99"/>
      <c r="P189" s="99"/>
      <c r="Q189" s="15" t="e">
        <v>#N/A</v>
      </c>
      <c r="R189" s="15" t="e">
        <v>#N/A</v>
      </c>
      <c r="S189" s="103"/>
      <c r="T189" s="103"/>
      <c r="U189" s="15"/>
      <c r="V189" s="15"/>
      <c r="W189" s="15"/>
      <c r="X189" s="99"/>
      <c r="Y189" s="71">
        <f ca="1">Table24[[#This Row],[End Date]]+2-TODAY()</f>
        <v>-45530</v>
      </c>
      <c r="Z189" s="15">
        <f>IF(ISBLANK(Table24[[#This Row],[Roster Received By]]),1,0)</f>
        <v>1</v>
      </c>
      <c r="AA189" s="15">
        <f ca="1">IF(Table24[[#This Row],[Start Date]]&gt;TODAY(),1,)</f>
        <v>0</v>
      </c>
    </row>
    <row r="190" spans="1:27" s="62" customFormat="1" x14ac:dyDescent="0.25">
      <c r="B190" s="99"/>
      <c r="C190" s="100"/>
      <c r="D190" s="100"/>
      <c r="E190" s="124"/>
      <c r="F190" s="67"/>
      <c r="G190" s="67"/>
      <c r="H190" s="101"/>
      <c r="I190" s="101"/>
      <c r="J190" s="101"/>
      <c r="K190" s="101"/>
      <c r="L190" s="101"/>
      <c r="M190" s="101"/>
      <c r="N190" s="101"/>
      <c r="O190" s="99"/>
      <c r="P190" s="99"/>
      <c r="Q190" s="15" t="e">
        <v>#N/A</v>
      </c>
      <c r="R190" s="15" t="e">
        <v>#N/A</v>
      </c>
      <c r="S190" s="15"/>
      <c r="T190" s="103"/>
      <c r="U190" s="15"/>
      <c r="V190" s="15"/>
      <c r="W190" s="15"/>
      <c r="X190" s="99"/>
      <c r="Y190" s="71">
        <f ca="1">Table24[[#This Row],[End Date]]+2-TODAY()</f>
        <v>-45530</v>
      </c>
      <c r="Z190" s="15">
        <f>IF(ISBLANK(Table24[[#This Row],[Roster Received By]]),1,0)</f>
        <v>1</v>
      </c>
      <c r="AA190" s="15">
        <f ca="1">IF(Table24[[#This Row],[Start Date]]&gt;TODAY(),1,)</f>
        <v>0</v>
      </c>
    </row>
    <row r="191" spans="1:27" s="62" customFormat="1" x14ac:dyDescent="0.25">
      <c r="A191" s="99"/>
      <c r="B191" s="99"/>
      <c r="C191" s="100"/>
      <c r="D191" s="100"/>
      <c r="E191" s="99"/>
      <c r="F191" s="102"/>
      <c r="G191" s="102"/>
      <c r="H191" s="105"/>
      <c r="I191" s="105"/>
      <c r="J191" s="102"/>
      <c r="K191" s="102"/>
      <c r="L191" s="102"/>
      <c r="M191" s="102"/>
      <c r="N191" s="102"/>
      <c r="O191" s="99"/>
      <c r="P191" s="99"/>
      <c r="Q191" s="15" t="e">
        <v>#N/A</v>
      </c>
      <c r="R191" s="15" t="e">
        <v>#N/A</v>
      </c>
      <c r="S191" s="15"/>
      <c r="T191" s="103"/>
      <c r="U191" s="15"/>
      <c r="V191" s="15"/>
      <c r="W191" s="15"/>
      <c r="X191" s="99"/>
      <c r="Y191" s="71">
        <f ca="1">Table24[[#This Row],[End Date]]+2-TODAY()</f>
        <v>-45530</v>
      </c>
      <c r="Z191" s="15">
        <f>IF(ISBLANK(Table24[[#This Row],[Roster Received By]]),1,0)</f>
        <v>1</v>
      </c>
      <c r="AA191" s="15">
        <f ca="1">IF(Table24[[#This Row],[Start Date]]&gt;TODAY(),1,)</f>
        <v>0</v>
      </c>
    </row>
    <row r="192" spans="1:27" s="62" customFormat="1" x14ac:dyDescent="0.25">
      <c r="A192" s="100"/>
      <c r="B192" s="99"/>
      <c r="C192" s="100"/>
      <c r="D192" s="100"/>
      <c r="E192" s="99"/>
      <c r="F192" s="102"/>
      <c r="G192" s="102"/>
      <c r="H192" s="105"/>
      <c r="I192" s="105"/>
      <c r="J192" s="102"/>
      <c r="K192" s="102"/>
      <c r="L192" s="102"/>
      <c r="M192" s="102"/>
      <c r="N192" s="102"/>
      <c r="O192" s="99"/>
      <c r="P192" s="99"/>
      <c r="Q192" s="15" t="e">
        <v>#N/A</v>
      </c>
      <c r="R192" s="15" t="e">
        <v>#N/A</v>
      </c>
      <c r="S192" s="107"/>
      <c r="T192" s="103"/>
      <c r="U192" s="15"/>
      <c r="V192" s="15"/>
      <c r="W192" s="15"/>
      <c r="X192" s="99"/>
      <c r="Y192" s="71">
        <f ca="1">Table24[[#This Row],[End Date]]+2-TODAY()</f>
        <v>-45530</v>
      </c>
      <c r="Z192" s="15">
        <f>IF(ISBLANK(Table24[[#This Row],[Roster Received By]]),1,0)</f>
        <v>1</v>
      </c>
      <c r="AA192" s="15">
        <f ca="1">IF(Table24[[#This Row],[Start Date]]&gt;TODAY(),1,)</f>
        <v>0</v>
      </c>
    </row>
    <row r="193" spans="1:27" s="62" customFormat="1" x14ac:dyDescent="0.25">
      <c r="B193" s="99"/>
      <c r="C193" s="100"/>
      <c r="D193" s="100"/>
      <c r="E193" s="99"/>
      <c r="F193" s="102"/>
      <c r="G193" s="102"/>
      <c r="H193" s="105"/>
      <c r="I193" s="105"/>
      <c r="J193" s="102"/>
      <c r="K193" s="102"/>
      <c r="L193" s="102"/>
      <c r="M193" s="102"/>
      <c r="N193" s="102"/>
      <c r="O193" s="99"/>
      <c r="P193" s="99"/>
      <c r="Q193" s="15" t="e">
        <v>#N/A</v>
      </c>
      <c r="R193" s="15" t="e">
        <v>#N/A</v>
      </c>
      <c r="S193" s="15"/>
      <c r="T193" s="103"/>
      <c r="U193" s="15"/>
      <c r="V193" s="15"/>
      <c r="W193" s="15"/>
      <c r="X193" s="99"/>
      <c r="Y193" s="71">
        <f ca="1">Table24[[#This Row],[End Date]]+2-TODAY()</f>
        <v>-45530</v>
      </c>
      <c r="Z193" s="15">
        <f>IF(ISBLANK(Table24[[#This Row],[Roster Received By]]),1,0)</f>
        <v>1</v>
      </c>
      <c r="AA193" s="15">
        <f ca="1">IF(Table24[[#This Row],[Start Date]]&gt;TODAY(),1,)</f>
        <v>0</v>
      </c>
    </row>
    <row r="194" spans="1:27" s="62" customFormat="1" x14ac:dyDescent="0.25">
      <c r="B194" s="99"/>
      <c r="C194" s="100"/>
      <c r="D194" s="100"/>
      <c r="E194" s="99"/>
      <c r="F194" s="102"/>
      <c r="G194" s="102"/>
      <c r="H194" s="102"/>
      <c r="I194" s="101"/>
      <c r="J194" s="101"/>
      <c r="K194" s="101"/>
      <c r="L194" s="101"/>
      <c r="M194" s="101"/>
      <c r="N194" s="101"/>
      <c r="O194" s="99"/>
      <c r="P194" s="99"/>
      <c r="Q194" s="15" t="e">
        <v>#N/A</v>
      </c>
      <c r="R194" s="15" t="e">
        <v>#N/A</v>
      </c>
      <c r="S194" s="15"/>
      <c r="T194" s="103"/>
      <c r="U194" s="15"/>
      <c r="V194" s="15"/>
      <c r="W194" s="15"/>
      <c r="X194" s="99"/>
      <c r="Y194" s="71">
        <f ca="1">Table24[[#This Row],[End Date]]+2-TODAY()</f>
        <v>-45530</v>
      </c>
      <c r="Z194" s="15">
        <f>IF(ISBLANK(Table24[[#This Row],[Roster Received By]]),1,0)</f>
        <v>1</v>
      </c>
      <c r="AA194" s="15">
        <f ca="1">IF(Table24[[#This Row],[Start Date]]&gt;TODAY(),1,)</f>
        <v>0</v>
      </c>
    </row>
    <row r="195" spans="1:27" s="62" customFormat="1" x14ac:dyDescent="0.25">
      <c r="B195" s="65"/>
      <c r="C195" s="100"/>
      <c r="D195" s="100"/>
      <c r="E195" s="65"/>
      <c r="F195" s="67"/>
      <c r="G195" s="67"/>
      <c r="H195" s="101"/>
      <c r="I195" s="101"/>
      <c r="J195" s="102"/>
      <c r="K195" s="102"/>
      <c r="L195" s="102"/>
      <c r="M195" s="102"/>
      <c r="N195" s="102"/>
      <c r="O195" s="99"/>
      <c r="P195" s="99"/>
      <c r="Q195" s="15" t="e">
        <v>#N/A</v>
      </c>
      <c r="R195" s="15" t="e">
        <v>#N/A</v>
      </c>
      <c r="S195" s="15"/>
      <c r="T195" s="103"/>
      <c r="U195" s="15"/>
      <c r="V195" s="15"/>
      <c r="W195" s="15"/>
      <c r="X195" s="99"/>
      <c r="Y195" s="71">
        <f ca="1">Table24[[#This Row],[End Date]]+2-TODAY()</f>
        <v>-45530</v>
      </c>
      <c r="Z195" s="15">
        <f>IF(ISBLANK(Table24[[#This Row],[Roster Received By]]),1,0)</f>
        <v>1</v>
      </c>
      <c r="AA195" s="15">
        <f ca="1">IF(Table24[[#This Row],[Start Date]]&gt;TODAY(),1,)</f>
        <v>0</v>
      </c>
    </row>
    <row r="196" spans="1:27" s="62" customFormat="1" x14ac:dyDescent="0.25">
      <c r="B196" s="99"/>
      <c r="C196" s="100"/>
      <c r="D196" s="100"/>
      <c r="E196" s="99"/>
      <c r="F196" s="102"/>
      <c r="G196" s="102"/>
      <c r="H196" s="102"/>
      <c r="I196" s="101"/>
      <c r="J196" s="101"/>
      <c r="K196" s="101"/>
      <c r="L196" s="101"/>
      <c r="M196" s="101"/>
      <c r="N196" s="101"/>
      <c r="O196" s="99"/>
      <c r="P196" s="99"/>
      <c r="Q196" s="15" t="e">
        <v>#N/A</v>
      </c>
      <c r="R196" s="15" t="e">
        <v>#N/A</v>
      </c>
      <c r="S196" s="15"/>
      <c r="T196" s="103"/>
      <c r="U196" s="15"/>
      <c r="V196" s="15"/>
      <c r="W196" s="15"/>
      <c r="X196" s="99"/>
      <c r="Y196" s="71">
        <f ca="1">Table24[[#This Row],[End Date]]+2-TODAY()</f>
        <v>-45530</v>
      </c>
      <c r="Z196" s="15">
        <f>IF(ISBLANK(Table24[[#This Row],[Roster Received By]]),1,0)</f>
        <v>1</v>
      </c>
      <c r="AA196" s="15">
        <f ca="1">IF(Table24[[#This Row],[Start Date]]&gt;TODAY(),1,)</f>
        <v>0</v>
      </c>
    </row>
    <row r="197" spans="1:27" s="62" customFormat="1" x14ac:dyDescent="0.25">
      <c r="B197" s="99"/>
      <c r="C197" s="100"/>
      <c r="D197" s="100"/>
      <c r="E197" s="99"/>
      <c r="F197" s="102"/>
      <c r="G197" s="102"/>
      <c r="H197" s="102"/>
      <c r="I197" s="101"/>
      <c r="J197" s="101"/>
      <c r="K197" s="101"/>
      <c r="L197" s="101"/>
      <c r="M197" s="101"/>
      <c r="N197" s="101"/>
      <c r="O197" s="99"/>
      <c r="P197" s="99"/>
      <c r="Q197" s="15" t="e">
        <v>#N/A</v>
      </c>
      <c r="R197" s="15" t="e">
        <v>#N/A</v>
      </c>
      <c r="S197" s="15"/>
      <c r="T197" s="103"/>
      <c r="U197" s="15"/>
      <c r="V197" s="15"/>
      <c r="W197" s="15"/>
      <c r="X197" s="99"/>
      <c r="Y197" s="71">
        <f ca="1">Table24[[#This Row],[End Date]]+2-TODAY()</f>
        <v>-45530</v>
      </c>
      <c r="Z197" s="15">
        <f>IF(ISBLANK(Table24[[#This Row],[Roster Received By]]),1,0)</f>
        <v>1</v>
      </c>
      <c r="AA197" s="15">
        <f ca="1">IF(Table24[[#This Row],[Start Date]]&gt;TODAY(),1,)</f>
        <v>0</v>
      </c>
    </row>
    <row r="198" spans="1:27" s="62" customFormat="1" x14ac:dyDescent="0.25">
      <c r="B198" s="99"/>
      <c r="C198" s="100"/>
      <c r="D198" s="100"/>
      <c r="E198" s="99"/>
      <c r="F198" s="102"/>
      <c r="G198" s="102"/>
      <c r="H198" s="102"/>
      <c r="I198" s="101"/>
      <c r="J198" s="101"/>
      <c r="K198" s="101"/>
      <c r="L198" s="101"/>
      <c r="M198" s="101"/>
      <c r="N198" s="101"/>
      <c r="O198" s="99"/>
      <c r="P198" s="99"/>
      <c r="Q198" s="15" t="e">
        <v>#N/A</v>
      </c>
      <c r="R198" s="15" t="e">
        <v>#N/A</v>
      </c>
      <c r="S198" s="15"/>
      <c r="T198" s="103"/>
      <c r="U198" s="15"/>
      <c r="V198" s="15"/>
      <c r="W198" s="15"/>
      <c r="X198" s="99"/>
      <c r="Y198" s="71">
        <f ca="1">Table24[[#This Row],[End Date]]+2-TODAY()</f>
        <v>-45530</v>
      </c>
      <c r="Z198" s="15">
        <f>IF(ISBLANK(Table24[[#This Row],[Roster Received By]]),1,0)</f>
        <v>1</v>
      </c>
      <c r="AA198" s="15">
        <f ca="1">IF(Table24[[#This Row],[Start Date]]&gt;TODAY(),1,)</f>
        <v>0</v>
      </c>
    </row>
    <row r="199" spans="1:27" s="62" customFormat="1" x14ac:dyDescent="0.25">
      <c r="A199" s="99"/>
      <c r="B199" s="99"/>
      <c r="C199" s="100"/>
      <c r="D199" s="100"/>
      <c r="E199" s="65"/>
      <c r="F199" s="102"/>
      <c r="G199" s="102"/>
      <c r="H199" s="105"/>
      <c r="I199" s="105"/>
      <c r="J199" s="102"/>
      <c r="K199" s="102"/>
      <c r="L199" s="102"/>
      <c r="M199" s="102"/>
      <c r="N199" s="102"/>
      <c r="O199" s="99"/>
      <c r="P199" s="99"/>
      <c r="Q199" s="15" t="e">
        <v>#N/A</v>
      </c>
      <c r="R199" s="15" t="e">
        <v>#N/A</v>
      </c>
      <c r="S199" s="15"/>
      <c r="T199" s="103"/>
      <c r="U199" s="15"/>
      <c r="V199" s="15"/>
      <c r="W199" s="15"/>
      <c r="X199" s="99"/>
      <c r="Y199" s="71">
        <f ca="1">Table24[[#This Row],[End Date]]+2-TODAY()</f>
        <v>-45530</v>
      </c>
      <c r="Z199" s="15">
        <f>IF(ISBLANK(Table24[[#This Row],[Roster Received By]]),1,0)</f>
        <v>1</v>
      </c>
      <c r="AA199" s="15">
        <f ca="1">IF(Table24[[#This Row],[Start Date]]&gt;TODAY(),1,)</f>
        <v>0</v>
      </c>
    </row>
    <row r="200" spans="1:27" s="62" customFormat="1" x14ac:dyDescent="0.25">
      <c r="B200" s="99"/>
      <c r="C200" s="100"/>
      <c r="D200" s="100"/>
      <c r="E200" s="99"/>
      <c r="F200" s="110"/>
      <c r="G200" s="110"/>
      <c r="H200" s="102"/>
      <c r="I200" s="101"/>
      <c r="J200" s="101"/>
      <c r="K200" s="101"/>
      <c r="L200" s="101"/>
      <c r="M200" s="101"/>
      <c r="N200" s="101"/>
      <c r="O200" s="99"/>
      <c r="P200" s="99"/>
      <c r="Q200" s="15" t="e">
        <v>#N/A</v>
      </c>
      <c r="R200" s="15" t="e">
        <v>#N/A</v>
      </c>
      <c r="S200" s="15"/>
      <c r="T200" s="103"/>
      <c r="U200" s="15"/>
      <c r="V200" s="15"/>
      <c r="W200" s="15"/>
      <c r="X200" s="99"/>
      <c r="Y200" s="71">
        <f ca="1">Table24[[#This Row],[End Date]]+2-TODAY()</f>
        <v>-45530</v>
      </c>
      <c r="Z200" s="15">
        <f>IF(ISBLANK(Table24[[#This Row],[Roster Received By]]),1,0)</f>
        <v>1</v>
      </c>
      <c r="AA200" s="15">
        <f ca="1">IF(Table24[[#This Row],[Start Date]]&gt;TODAY(),1,)</f>
        <v>0</v>
      </c>
    </row>
    <row r="201" spans="1:27" s="62" customFormat="1" x14ac:dyDescent="0.25">
      <c r="B201" s="99"/>
      <c r="C201" s="100"/>
      <c r="D201" s="100"/>
      <c r="E201" s="65"/>
      <c r="F201" s="67"/>
      <c r="G201" s="67"/>
      <c r="H201" s="101"/>
      <c r="I201" s="101"/>
      <c r="J201" s="102"/>
      <c r="K201" s="102"/>
      <c r="L201" s="102"/>
      <c r="M201" s="102"/>
      <c r="N201" s="102"/>
      <c r="O201" s="99"/>
      <c r="P201" s="99"/>
      <c r="Q201" s="15" t="e">
        <v>#N/A</v>
      </c>
      <c r="R201" s="15" t="e">
        <v>#N/A</v>
      </c>
      <c r="S201" s="15"/>
      <c r="T201" s="103"/>
      <c r="U201" s="15"/>
      <c r="V201" s="15"/>
      <c r="W201" s="15"/>
      <c r="X201" s="99"/>
      <c r="Y201" s="71">
        <f ca="1">Table24[[#This Row],[End Date]]+2-TODAY()</f>
        <v>-45530</v>
      </c>
      <c r="Z201" s="15">
        <f>IF(ISBLANK(Table24[[#This Row],[Roster Received By]]),1,0)</f>
        <v>1</v>
      </c>
      <c r="AA201" s="15">
        <f ca="1">IF(Table24[[#This Row],[Start Date]]&gt;TODAY(),1,)</f>
        <v>0</v>
      </c>
    </row>
    <row r="202" spans="1:27" s="62" customFormat="1" x14ac:dyDescent="0.25">
      <c r="B202" s="99"/>
      <c r="C202" s="100"/>
      <c r="D202" s="100"/>
      <c r="E202" s="99"/>
      <c r="F202" s="67"/>
      <c r="G202" s="102"/>
      <c r="H202" s="102"/>
      <c r="I202" s="101"/>
      <c r="J202" s="101"/>
      <c r="K202" s="101"/>
      <c r="L202" s="101"/>
      <c r="M202" s="101"/>
      <c r="N202" s="101"/>
      <c r="O202" s="99"/>
      <c r="P202" s="99"/>
      <c r="Q202" s="15" t="e">
        <v>#N/A</v>
      </c>
      <c r="R202" s="15" t="e">
        <v>#N/A</v>
      </c>
      <c r="S202" s="15"/>
      <c r="T202" s="103"/>
      <c r="U202" s="15"/>
      <c r="V202" s="15"/>
      <c r="W202" s="15"/>
      <c r="X202" s="99"/>
      <c r="Y202" s="71">
        <f ca="1">Table24[[#This Row],[End Date]]+2-TODAY()</f>
        <v>-45530</v>
      </c>
      <c r="Z202" s="15">
        <f>IF(ISBLANK(Table24[[#This Row],[Roster Received By]]),1,0)</f>
        <v>1</v>
      </c>
      <c r="AA202" s="15">
        <f ca="1">IF(Table24[[#This Row],[Start Date]]&gt;TODAY(),1,)</f>
        <v>0</v>
      </c>
    </row>
    <row r="203" spans="1:27" s="62" customFormat="1" x14ac:dyDescent="0.25">
      <c r="B203" s="99"/>
      <c r="C203" s="100"/>
      <c r="D203" s="100"/>
      <c r="E203" s="99"/>
      <c r="F203" s="102"/>
      <c r="G203" s="102"/>
      <c r="H203" s="105"/>
      <c r="I203" s="105"/>
      <c r="J203" s="102"/>
      <c r="K203" s="102"/>
      <c r="L203" s="102"/>
      <c r="M203" s="102"/>
      <c r="N203" s="102"/>
      <c r="O203" s="99"/>
      <c r="P203" s="99"/>
      <c r="Q203" s="15" t="e">
        <v>#N/A</v>
      </c>
      <c r="R203" s="15" t="e">
        <v>#N/A</v>
      </c>
      <c r="S203" s="15"/>
      <c r="T203" s="103"/>
      <c r="U203" s="15"/>
      <c r="V203" s="15"/>
      <c r="W203" s="15"/>
      <c r="X203" s="99"/>
      <c r="Y203" s="71">
        <f ca="1">Table24[[#This Row],[End Date]]+2-TODAY()</f>
        <v>-45530</v>
      </c>
      <c r="Z203" s="15">
        <f>IF(ISBLANK(Table24[[#This Row],[Roster Received By]]),1,0)</f>
        <v>1</v>
      </c>
      <c r="AA203" s="15">
        <f ca="1">IF(Table24[[#This Row],[Start Date]]&gt;TODAY(),1,)</f>
        <v>0</v>
      </c>
    </row>
    <row r="204" spans="1:27" s="62" customFormat="1" x14ac:dyDescent="0.25">
      <c r="B204" s="99"/>
      <c r="C204" s="100"/>
      <c r="D204" s="100"/>
      <c r="E204" s="65"/>
      <c r="F204" s="67"/>
      <c r="G204" s="102"/>
      <c r="H204" s="105"/>
      <c r="I204" s="105"/>
      <c r="J204" s="102"/>
      <c r="K204" s="102"/>
      <c r="L204" s="102"/>
      <c r="M204" s="102"/>
      <c r="N204" s="102"/>
      <c r="O204" s="99"/>
      <c r="P204" s="99"/>
      <c r="Q204" s="15" t="e">
        <v>#N/A</v>
      </c>
      <c r="R204" s="15" t="e">
        <v>#N/A</v>
      </c>
      <c r="S204" s="15"/>
      <c r="T204" s="103"/>
      <c r="U204" s="15"/>
      <c r="V204" s="15"/>
      <c r="W204" s="15"/>
      <c r="X204" s="99"/>
      <c r="Y204" s="71">
        <f ca="1">Table24[[#This Row],[End Date]]+2-TODAY()</f>
        <v>-45530</v>
      </c>
      <c r="Z204" s="15">
        <f>IF(ISBLANK(Table24[[#This Row],[Roster Received By]]),1,0)</f>
        <v>1</v>
      </c>
      <c r="AA204" s="15">
        <f ca="1">IF(Table24[[#This Row],[Start Date]]&gt;TODAY(),1,)</f>
        <v>0</v>
      </c>
    </row>
    <row r="205" spans="1:27" s="62" customFormat="1" x14ac:dyDescent="0.25">
      <c r="B205" s="99"/>
      <c r="C205" s="100"/>
      <c r="D205" s="100"/>
      <c r="E205" s="99"/>
      <c r="F205" s="67"/>
      <c r="G205" s="67"/>
      <c r="H205" s="67"/>
      <c r="I205" s="101"/>
      <c r="J205" s="101"/>
      <c r="K205" s="101"/>
      <c r="L205" s="101"/>
      <c r="M205" s="101"/>
      <c r="N205" s="101"/>
      <c r="O205" s="99"/>
      <c r="P205" s="99"/>
      <c r="Q205" s="15" t="e">
        <v>#N/A</v>
      </c>
      <c r="R205" s="15" t="e">
        <v>#N/A</v>
      </c>
      <c r="S205" s="15"/>
      <c r="T205" s="103"/>
      <c r="U205" s="15"/>
      <c r="V205" s="15"/>
      <c r="W205" s="15"/>
      <c r="X205" s="99"/>
      <c r="Y205" s="71">
        <f ca="1">Table24[[#This Row],[End Date]]+2-TODAY()</f>
        <v>-45530</v>
      </c>
      <c r="Z205" s="15">
        <f>IF(ISBLANK(Table24[[#This Row],[Roster Received By]]),1,0)</f>
        <v>1</v>
      </c>
      <c r="AA205" s="15">
        <f ca="1">IF(Table24[[#This Row],[Start Date]]&gt;TODAY(),1,)</f>
        <v>0</v>
      </c>
    </row>
    <row r="206" spans="1:27" s="62" customFormat="1" x14ac:dyDescent="0.25">
      <c r="B206" s="99"/>
      <c r="C206" s="100"/>
      <c r="D206" s="100"/>
      <c r="E206" s="99"/>
      <c r="F206" s="102"/>
      <c r="G206" s="102"/>
      <c r="H206" s="105"/>
      <c r="I206" s="105"/>
      <c r="J206" s="105"/>
      <c r="K206" s="105"/>
      <c r="L206" s="105"/>
      <c r="M206" s="105"/>
      <c r="N206" s="105"/>
      <c r="O206" s="99"/>
      <c r="P206" s="99"/>
      <c r="Q206" s="15" t="e">
        <v>#N/A</v>
      </c>
      <c r="R206" s="15" t="e">
        <v>#N/A</v>
      </c>
      <c r="S206" s="15"/>
      <c r="T206" s="103"/>
      <c r="U206" s="15"/>
      <c r="V206" s="15"/>
      <c r="W206" s="15"/>
      <c r="X206" s="99"/>
      <c r="Y206" s="71">
        <f ca="1">Table24[[#This Row],[End Date]]+2-TODAY()</f>
        <v>-45530</v>
      </c>
      <c r="Z206" s="15">
        <f>IF(ISBLANK(Table24[[#This Row],[Roster Received By]]),1,0)</f>
        <v>1</v>
      </c>
      <c r="AA206" s="15">
        <f ca="1">IF(Table24[[#This Row],[Start Date]]&gt;TODAY(),1,)</f>
        <v>0</v>
      </c>
    </row>
    <row r="207" spans="1:27" s="62" customFormat="1" x14ac:dyDescent="0.25">
      <c r="B207" s="99"/>
      <c r="C207" s="100"/>
      <c r="D207" s="100"/>
      <c r="E207" s="99"/>
      <c r="F207" s="102"/>
      <c r="G207" s="102"/>
      <c r="H207" s="105"/>
      <c r="I207" s="105"/>
      <c r="J207" s="102"/>
      <c r="K207" s="102"/>
      <c r="L207" s="102"/>
      <c r="M207" s="102"/>
      <c r="N207" s="102"/>
      <c r="O207" s="99"/>
      <c r="P207" s="99"/>
      <c r="Q207" s="15" t="e">
        <v>#N/A</v>
      </c>
      <c r="R207" s="15" t="e">
        <v>#N/A</v>
      </c>
      <c r="S207" s="15"/>
      <c r="T207" s="103"/>
      <c r="U207" s="15"/>
      <c r="V207" s="15"/>
      <c r="W207" s="15"/>
      <c r="X207" s="99"/>
      <c r="Y207" s="71">
        <f ca="1">Table24[[#This Row],[End Date]]+2-TODAY()</f>
        <v>-45530</v>
      </c>
      <c r="Z207" s="15">
        <f>IF(ISBLANK(Table24[[#This Row],[Roster Received By]]),1,0)</f>
        <v>1</v>
      </c>
      <c r="AA207" s="15">
        <f ca="1">IF(Table24[[#This Row],[Start Date]]&gt;TODAY(),1,)</f>
        <v>0</v>
      </c>
    </row>
    <row r="208" spans="1:27" s="62" customFormat="1" x14ac:dyDescent="0.25">
      <c r="B208" s="99"/>
      <c r="C208" s="100"/>
      <c r="D208" s="100"/>
      <c r="E208" s="65"/>
      <c r="F208" s="102"/>
      <c r="G208" s="102"/>
      <c r="H208" s="105"/>
      <c r="I208" s="105"/>
      <c r="J208" s="102"/>
      <c r="K208" s="102"/>
      <c r="L208" s="102"/>
      <c r="M208" s="102"/>
      <c r="N208" s="102"/>
      <c r="O208" s="99"/>
      <c r="P208" s="99"/>
      <c r="Q208" s="15" t="e">
        <v>#N/A</v>
      </c>
      <c r="R208" s="15" t="e">
        <v>#N/A</v>
      </c>
      <c r="S208" s="15"/>
      <c r="T208" s="103"/>
      <c r="U208" s="15"/>
      <c r="V208" s="15"/>
      <c r="W208" s="100"/>
      <c r="X208" s="99"/>
      <c r="Y208" s="71">
        <f ca="1">Table24[[#This Row],[End Date]]+2-TODAY()</f>
        <v>-45530</v>
      </c>
      <c r="Z208" s="15">
        <f>IF(ISBLANK(Table24[[#This Row],[Roster Received By]]),1,0)</f>
        <v>1</v>
      </c>
      <c r="AA208" s="15">
        <f ca="1">IF(Table24[[#This Row],[Start Date]]&gt;TODAY(),1,)</f>
        <v>0</v>
      </c>
    </row>
    <row r="209" spans="2:27" s="62" customFormat="1" x14ac:dyDescent="0.25">
      <c r="B209" s="99"/>
      <c r="C209" s="100"/>
      <c r="D209" s="100"/>
      <c r="E209" s="65"/>
      <c r="F209" s="102"/>
      <c r="G209" s="102"/>
      <c r="H209" s="105"/>
      <c r="I209" s="105"/>
      <c r="J209" s="102"/>
      <c r="K209" s="102"/>
      <c r="L209" s="102"/>
      <c r="M209" s="102"/>
      <c r="N209" s="102"/>
      <c r="O209" s="99"/>
      <c r="P209" s="99"/>
      <c r="Q209" s="15" t="e">
        <v>#N/A</v>
      </c>
      <c r="R209" s="15" t="e">
        <v>#N/A</v>
      </c>
      <c r="S209" s="15"/>
      <c r="T209" s="103"/>
      <c r="U209" s="15"/>
      <c r="V209" s="15"/>
      <c r="W209" s="15"/>
      <c r="X209" s="99"/>
      <c r="Y209" s="71">
        <f ca="1">Table24[[#This Row],[End Date]]+2-TODAY()</f>
        <v>-45530</v>
      </c>
      <c r="Z209" s="15">
        <f>IF(ISBLANK(Table24[[#This Row],[Roster Received By]]),1,0)</f>
        <v>1</v>
      </c>
      <c r="AA209" s="15">
        <f ca="1">IF(Table24[[#This Row],[Start Date]]&gt;TODAY(),1,)</f>
        <v>0</v>
      </c>
    </row>
    <row r="210" spans="2:27" s="62" customFormat="1" x14ac:dyDescent="0.25">
      <c r="B210" s="99"/>
      <c r="C210" s="100" t="e">
        <v>#N/A</v>
      </c>
      <c r="D210" s="100" t="e">
        <v>#N/A</v>
      </c>
      <c r="E210" s="65"/>
      <c r="F210" s="102"/>
      <c r="G210" s="102"/>
      <c r="H210" s="105"/>
      <c r="I210" s="105"/>
      <c r="J210" s="102"/>
      <c r="K210" s="102"/>
      <c r="L210" s="102"/>
      <c r="M210" s="102"/>
      <c r="N210" s="102"/>
      <c r="O210" s="99"/>
      <c r="P210" s="99"/>
      <c r="Q210" s="15" t="e">
        <v>#N/A</v>
      </c>
      <c r="R210" s="15" t="e">
        <v>#N/A</v>
      </c>
      <c r="S210" s="15"/>
      <c r="T210" s="103"/>
      <c r="U210" s="15"/>
      <c r="V210" s="15"/>
      <c r="W210" s="15"/>
      <c r="X210" s="99"/>
      <c r="Y210" s="71">
        <f ca="1">Table24[[#This Row],[End Date]]+2-TODAY()</f>
        <v>-45530</v>
      </c>
      <c r="Z210" s="15">
        <f>IF(ISBLANK(Table24[[#This Row],[Roster Received By]]),1,0)</f>
        <v>1</v>
      </c>
      <c r="AA210" s="15">
        <f ca="1">IF(Table24[[#This Row],[Start Date]]&gt;TODAY(),1,)</f>
        <v>0</v>
      </c>
    </row>
    <row r="211" spans="2:27" s="62" customFormat="1" x14ac:dyDescent="0.25">
      <c r="B211" s="99"/>
      <c r="C211" s="100" t="e">
        <v>#N/A</v>
      </c>
      <c r="D211" s="100" t="e">
        <v>#N/A</v>
      </c>
      <c r="E211" s="99"/>
      <c r="F211" s="102"/>
      <c r="G211" s="102"/>
      <c r="H211" s="105"/>
      <c r="I211" s="105"/>
      <c r="J211" s="102"/>
      <c r="K211" s="102"/>
      <c r="L211" s="102"/>
      <c r="M211" s="102"/>
      <c r="N211" s="102"/>
      <c r="O211" s="99"/>
      <c r="P211" s="99"/>
      <c r="Q211" s="15" t="e">
        <v>#N/A</v>
      </c>
      <c r="R211" s="15" t="e">
        <v>#N/A</v>
      </c>
      <c r="S211" s="15"/>
      <c r="T211" s="103"/>
      <c r="U211" s="15"/>
      <c r="V211" s="15"/>
      <c r="W211" s="15"/>
      <c r="X211" s="99"/>
      <c r="Y211" s="71">
        <f ca="1">Table24[[#This Row],[End Date]]+2-TODAY()</f>
        <v>-45530</v>
      </c>
      <c r="Z211" s="15">
        <f>IF(ISBLANK(Table24[[#This Row],[Roster Received By]]),1,0)</f>
        <v>1</v>
      </c>
      <c r="AA211" s="15">
        <f ca="1">IF(Table24[[#This Row],[Start Date]]&gt;TODAY(),1,)</f>
        <v>0</v>
      </c>
    </row>
    <row r="212" spans="2:27" s="62" customFormat="1" x14ac:dyDescent="0.25">
      <c r="B212" s="99"/>
      <c r="C212" s="100" t="e">
        <v>#N/A</v>
      </c>
      <c r="D212" s="100" t="e">
        <v>#N/A</v>
      </c>
      <c r="E212" s="99"/>
      <c r="F212" s="102"/>
      <c r="G212" s="102"/>
      <c r="H212" s="105"/>
      <c r="I212" s="105"/>
      <c r="J212" s="102"/>
      <c r="K212" s="102"/>
      <c r="L212" s="102"/>
      <c r="M212" s="102"/>
      <c r="N212" s="102"/>
      <c r="O212" s="99"/>
      <c r="P212" s="99"/>
      <c r="Q212" s="15" t="e">
        <v>#N/A</v>
      </c>
      <c r="R212" s="15" t="e">
        <v>#N/A</v>
      </c>
      <c r="S212" s="15"/>
      <c r="T212" s="103"/>
      <c r="U212" s="15"/>
      <c r="V212" s="15"/>
      <c r="W212" s="15"/>
      <c r="X212" s="99"/>
      <c r="Y212" s="71">
        <f ca="1">Table24[[#This Row],[End Date]]+2-TODAY()</f>
        <v>-45530</v>
      </c>
      <c r="Z212" s="15">
        <f>IF(ISBLANK(Table24[[#This Row],[Roster Received By]]),1,0)</f>
        <v>1</v>
      </c>
      <c r="AA212" s="15">
        <f ca="1">IF(Table24[[#This Row],[Start Date]]&gt;TODAY(),1,)</f>
        <v>0</v>
      </c>
    </row>
    <row r="213" spans="2:27" s="62" customFormat="1" x14ac:dyDescent="0.25">
      <c r="B213" s="99"/>
      <c r="C213" s="100" t="e">
        <v>#N/A</v>
      </c>
      <c r="D213" s="100" t="e">
        <v>#N/A</v>
      </c>
      <c r="E213" s="99"/>
      <c r="F213" s="102"/>
      <c r="G213" s="102"/>
      <c r="H213" s="105"/>
      <c r="I213" s="105"/>
      <c r="J213" s="102"/>
      <c r="K213" s="102"/>
      <c r="L213" s="102"/>
      <c r="M213" s="102"/>
      <c r="N213" s="102"/>
      <c r="O213" s="99"/>
      <c r="P213" s="99"/>
      <c r="Q213" s="15" t="e">
        <v>#N/A</v>
      </c>
      <c r="R213" s="15" t="e">
        <v>#N/A</v>
      </c>
      <c r="S213" s="103"/>
      <c r="T213" s="103"/>
      <c r="U213" s="15"/>
      <c r="V213" s="15"/>
      <c r="W213" s="15"/>
      <c r="X213" s="99"/>
      <c r="Y213" s="71">
        <f ca="1">Table24[[#This Row],[End Date]]+2-TODAY()</f>
        <v>-45530</v>
      </c>
      <c r="Z213" s="15">
        <f>IF(ISBLANK(Table24[[#This Row],[Roster Received By]]),1,0)</f>
        <v>1</v>
      </c>
      <c r="AA213" s="15">
        <f ca="1">IF(Table24[[#This Row],[Start Date]]&gt;TODAY(),1,)</f>
        <v>0</v>
      </c>
    </row>
    <row r="214" spans="2:27" s="62" customFormat="1" x14ac:dyDescent="0.25">
      <c r="B214" s="99"/>
      <c r="C214" s="100" t="e">
        <v>#N/A</v>
      </c>
      <c r="D214" s="100" t="e">
        <v>#N/A</v>
      </c>
      <c r="E214" s="99"/>
      <c r="F214" s="102"/>
      <c r="G214" s="102"/>
      <c r="H214" s="105"/>
      <c r="I214" s="105"/>
      <c r="J214" s="105"/>
      <c r="K214" s="105"/>
      <c r="L214" s="105"/>
      <c r="M214" s="105"/>
      <c r="N214" s="102"/>
      <c r="O214" s="99"/>
      <c r="P214" s="99"/>
      <c r="Q214" s="15" t="e">
        <v>#N/A</v>
      </c>
      <c r="R214" s="15" t="e">
        <v>#N/A</v>
      </c>
      <c r="S214" s="15"/>
      <c r="T214" s="103"/>
      <c r="U214" s="15"/>
      <c r="V214" s="15"/>
      <c r="W214" s="15"/>
      <c r="X214" s="99"/>
      <c r="Y214" s="71">
        <f ca="1">Table24[[#This Row],[End Date]]+2-TODAY()</f>
        <v>-45530</v>
      </c>
      <c r="Z214" s="15">
        <f>IF(ISBLANK(Table24[[#This Row],[Roster Received By]]),1,0)</f>
        <v>1</v>
      </c>
      <c r="AA214" s="15">
        <f ca="1">IF(Table24[[#This Row],[Start Date]]&gt;TODAY(),1,)</f>
        <v>0</v>
      </c>
    </row>
    <row r="215" spans="2:27" s="62" customFormat="1" x14ac:dyDescent="0.25">
      <c r="B215" s="99"/>
      <c r="C215" s="100" t="e">
        <v>#N/A</v>
      </c>
      <c r="D215" s="100" t="e">
        <v>#N/A</v>
      </c>
      <c r="E215" s="99"/>
      <c r="F215" s="102"/>
      <c r="G215" s="102"/>
      <c r="H215" s="102"/>
      <c r="I215" s="101"/>
      <c r="J215" s="101"/>
      <c r="K215" s="101"/>
      <c r="L215" s="101"/>
      <c r="M215" s="101"/>
      <c r="N215" s="101"/>
      <c r="O215" s="99"/>
      <c r="P215" s="99"/>
      <c r="Q215" s="15" t="e">
        <v>#N/A</v>
      </c>
      <c r="R215" s="15" t="e">
        <v>#N/A</v>
      </c>
      <c r="S215" s="15"/>
      <c r="T215" s="103"/>
      <c r="U215" s="15"/>
      <c r="V215" s="15"/>
      <c r="W215" s="15"/>
      <c r="X215" s="99"/>
      <c r="Y215" s="71">
        <f ca="1">Table24[[#This Row],[End Date]]+2-TODAY()</f>
        <v>-45530</v>
      </c>
      <c r="Z215" s="15">
        <f>IF(ISBLANK(Table24[[#This Row],[Roster Received By]]),1,0)</f>
        <v>1</v>
      </c>
      <c r="AA215" s="15">
        <f ca="1">IF(Table24[[#This Row],[Start Date]]&gt;TODAY(),1,)</f>
        <v>0</v>
      </c>
    </row>
    <row r="216" spans="2:27" s="62" customFormat="1" x14ac:dyDescent="0.25">
      <c r="B216" s="99"/>
      <c r="C216" s="100" t="e">
        <v>#N/A</v>
      </c>
      <c r="D216" s="100" t="e">
        <v>#N/A</v>
      </c>
      <c r="E216" s="65"/>
      <c r="F216" s="102"/>
      <c r="G216" s="102"/>
      <c r="H216" s="105"/>
      <c r="I216" s="105"/>
      <c r="J216" s="102"/>
      <c r="K216" s="102"/>
      <c r="L216" s="102"/>
      <c r="M216" s="102"/>
      <c r="N216" s="102"/>
      <c r="O216" s="99"/>
      <c r="P216" s="99"/>
      <c r="Q216" s="15" t="e">
        <v>#N/A</v>
      </c>
      <c r="R216" s="15" t="e">
        <v>#N/A</v>
      </c>
      <c r="S216" s="15"/>
      <c r="T216" s="103"/>
      <c r="U216" s="15"/>
      <c r="V216" s="15"/>
      <c r="W216" s="15"/>
      <c r="X216" s="99"/>
      <c r="Y216" s="71">
        <f ca="1">Table24[[#This Row],[End Date]]+2-TODAY()</f>
        <v>-45530</v>
      </c>
      <c r="Z216" s="15">
        <f>IF(ISBLANK(Table24[[#This Row],[Roster Received By]]),1,0)</f>
        <v>1</v>
      </c>
      <c r="AA216" s="15">
        <f ca="1">IF(Table24[[#This Row],[Start Date]]&gt;TODAY(),1,)</f>
        <v>0</v>
      </c>
    </row>
    <row r="217" spans="2:27" s="62" customFormat="1" x14ac:dyDescent="0.25">
      <c r="B217" s="99"/>
      <c r="C217" s="100" t="e">
        <v>#N/A</v>
      </c>
      <c r="D217" s="100" t="e">
        <v>#N/A</v>
      </c>
      <c r="E217" s="99"/>
      <c r="F217" s="102"/>
      <c r="G217" s="102"/>
      <c r="H217" s="105"/>
      <c r="I217" s="105"/>
      <c r="J217" s="134"/>
      <c r="K217" s="134"/>
      <c r="L217" s="134"/>
      <c r="M217" s="134"/>
      <c r="N217" s="102"/>
      <c r="O217" s="99"/>
      <c r="P217" s="99"/>
      <c r="Q217" s="15" t="e">
        <v>#N/A</v>
      </c>
      <c r="R217" s="15" t="e">
        <v>#N/A</v>
      </c>
      <c r="S217" s="15"/>
      <c r="T217" s="103"/>
      <c r="U217" s="15"/>
      <c r="V217" s="15"/>
      <c r="W217" s="107"/>
      <c r="X217" s="99"/>
      <c r="Y217" s="71">
        <f ca="1">Table24[[#This Row],[End Date]]+2-TODAY()</f>
        <v>-45530</v>
      </c>
      <c r="Z217" s="15">
        <f>IF(ISBLANK(Table24[[#This Row],[Roster Received By]]),1,0)</f>
        <v>1</v>
      </c>
      <c r="AA217" s="15">
        <f ca="1">IF(Table24[[#This Row],[Start Date]]&gt;TODAY(),1,)</f>
        <v>0</v>
      </c>
    </row>
    <row r="218" spans="2:27" s="62" customFormat="1" x14ac:dyDescent="0.25">
      <c r="B218" s="99"/>
      <c r="C218" s="100" t="e">
        <v>#N/A</v>
      </c>
      <c r="D218" s="100" t="e">
        <v>#N/A</v>
      </c>
      <c r="E218" s="99"/>
      <c r="F218" s="102"/>
      <c r="G218" s="102"/>
      <c r="H218" s="102"/>
      <c r="I218" s="101"/>
      <c r="J218" s="101"/>
      <c r="K218" s="101"/>
      <c r="L218" s="101"/>
      <c r="M218" s="101"/>
      <c r="N218" s="101"/>
      <c r="O218" s="99"/>
      <c r="P218" s="99"/>
      <c r="Q218" s="15" t="e">
        <v>#N/A</v>
      </c>
      <c r="R218" s="15" t="e">
        <v>#N/A</v>
      </c>
      <c r="S218" s="15"/>
      <c r="T218" s="103"/>
      <c r="U218" s="15"/>
      <c r="V218" s="15"/>
      <c r="W218" s="15"/>
      <c r="X218" s="99"/>
      <c r="Y218" s="71">
        <f ca="1">Table24[[#This Row],[End Date]]+2-TODAY()</f>
        <v>-45530</v>
      </c>
      <c r="Z218" s="15">
        <f>IF(ISBLANK(Table24[[#This Row],[Roster Received By]]),1,0)</f>
        <v>1</v>
      </c>
      <c r="AA218" s="15">
        <f ca="1">IF(Table24[[#This Row],[Start Date]]&gt;TODAY(),1,)</f>
        <v>0</v>
      </c>
    </row>
    <row r="219" spans="2:27" s="62" customFormat="1" x14ac:dyDescent="0.25">
      <c r="B219" s="99"/>
      <c r="C219" s="100" t="e">
        <v>#N/A</v>
      </c>
      <c r="D219" s="100" t="e">
        <v>#N/A</v>
      </c>
      <c r="E219" s="99"/>
      <c r="F219" s="102"/>
      <c r="G219" s="102"/>
      <c r="H219" s="102"/>
      <c r="I219" s="101"/>
      <c r="J219" s="101"/>
      <c r="K219" s="101"/>
      <c r="L219" s="101"/>
      <c r="M219" s="101"/>
      <c r="N219" s="101"/>
      <c r="O219" s="99"/>
      <c r="P219" s="99"/>
      <c r="Q219" s="15" t="e">
        <v>#N/A</v>
      </c>
      <c r="R219" s="15" t="e">
        <v>#N/A</v>
      </c>
      <c r="S219" s="15"/>
      <c r="T219" s="103"/>
      <c r="U219" s="15"/>
      <c r="V219" s="15"/>
      <c r="W219" s="15"/>
      <c r="X219" s="99"/>
      <c r="Y219" s="71">
        <f ca="1">Table24[[#This Row],[End Date]]+2-TODAY()</f>
        <v>-45530</v>
      </c>
      <c r="Z219" s="15">
        <f>IF(ISBLANK(Table24[[#This Row],[Roster Received By]]),1,0)</f>
        <v>1</v>
      </c>
      <c r="AA219" s="15">
        <f ca="1">IF(Table24[[#This Row],[Start Date]]&gt;TODAY(),1,)</f>
        <v>0</v>
      </c>
    </row>
    <row r="220" spans="2:27" s="62" customFormat="1" x14ac:dyDescent="0.25">
      <c r="B220" s="99"/>
      <c r="C220" s="100" t="e">
        <v>#N/A</v>
      </c>
      <c r="D220" s="100" t="e">
        <v>#N/A</v>
      </c>
      <c r="E220" s="99"/>
      <c r="F220" s="102"/>
      <c r="G220" s="102"/>
      <c r="H220" s="102"/>
      <c r="I220" s="101"/>
      <c r="J220" s="101"/>
      <c r="K220" s="101"/>
      <c r="L220" s="101"/>
      <c r="M220" s="101"/>
      <c r="N220" s="101"/>
      <c r="O220" s="99"/>
      <c r="P220" s="99"/>
      <c r="Q220" s="15" t="e">
        <v>#N/A</v>
      </c>
      <c r="R220" s="15" t="e">
        <v>#N/A</v>
      </c>
      <c r="S220" s="15"/>
      <c r="T220" s="103"/>
      <c r="U220" s="15"/>
      <c r="V220" s="15"/>
      <c r="W220" s="15"/>
      <c r="X220" s="99"/>
      <c r="Y220" s="71">
        <f ca="1">Table24[[#This Row],[End Date]]+2-TODAY()</f>
        <v>-45530</v>
      </c>
      <c r="Z220" s="15">
        <f>IF(ISBLANK(Table24[[#This Row],[Roster Received By]]),1,0)</f>
        <v>1</v>
      </c>
      <c r="AA220" s="15">
        <f ca="1">IF(Table24[[#This Row],[Start Date]]&gt;TODAY(),1,)</f>
        <v>0</v>
      </c>
    </row>
    <row r="221" spans="2:27" s="62" customFormat="1" x14ac:dyDescent="0.25">
      <c r="B221" s="99"/>
      <c r="C221" s="100" t="e">
        <v>#N/A</v>
      </c>
      <c r="D221" s="100" t="e">
        <v>#N/A</v>
      </c>
      <c r="E221" s="65"/>
      <c r="F221" s="102"/>
      <c r="G221" s="102"/>
      <c r="H221" s="108"/>
      <c r="I221" s="108"/>
      <c r="J221" s="102"/>
      <c r="K221" s="102"/>
      <c r="L221" s="102"/>
      <c r="M221" s="102"/>
      <c r="N221" s="102"/>
      <c r="O221" s="99"/>
      <c r="P221" s="99"/>
      <c r="Q221" s="15" t="e">
        <v>#N/A</v>
      </c>
      <c r="R221" s="15" t="e">
        <v>#N/A</v>
      </c>
      <c r="S221" s="15"/>
      <c r="T221" s="103"/>
      <c r="U221" s="15"/>
      <c r="V221" s="15"/>
      <c r="W221" s="103"/>
      <c r="X221" s="99"/>
      <c r="Y221" s="71">
        <f ca="1">Table24[[#This Row],[End Date]]+2-TODAY()</f>
        <v>-45530</v>
      </c>
      <c r="Z221" s="15">
        <f>IF(ISBLANK(Table24[[#This Row],[Roster Received By]]),1,0)</f>
        <v>1</v>
      </c>
      <c r="AA221" s="15">
        <f ca="1">IF(Table24[[#This Row],[Start Date]]&gt;TODAY(),1,)</f>
        <v>0</v>
      </c>
    </row>
    <row r="222" spans="2:27" s="62" customFormat="1" x14ac:dyDescent="0.25">
      <c r="B222" s="99"/>
      <c r="C222" s="100" t="e">
        <v>#N/A</v>
      </c>
      <c r="D222" s="100" t="e">
        <v>#N/A</v>
      </c>
      <c r="E222" s="99"/>
      <c r="F222" s="102"/>
      <c r="G222" s="102"/>
      <c r="H222" s="102"/>
      <c r="I222" s="101"/>
      <c r="J222" s="101"/>
      <c r="K222" s="101"/>
      <c r="L222" s="101"/>
      <c r="M222" s="101"/>
      <c r="N222" s="101"/>
      <c r="O222" s="99"/>
      <c r="P222" s="99"/>
      <c r="Q222" s="15" t="e">
        <v>#N/A</v>
      </c>
      <c r="R222" s="15" t="e">
        <v>#N/A</v>
      </c>
      <c r="S222" s="15"/>
      <c r="T222" s="103"/>
      <c r="U222" s="15"/>
      <c r="V222" s="15"/>
      <c r="W222" s="15"/>
      <c r="X222" s="99"/>
      <c r="Y222" s="71">
        <f ca="1">Table24[[#This Row],[End Date]]+2-TODAY()</f>
        <v>-45530</v>
      </c>
      <c r="Z222" s="15">
        <f>IF(ISBLANK(Table24[[#This Row],[Roster Received By]]),1,0)</f>
        <v>1</v>
      </c>
      <c r="AA222" s="15">
        <f ca="1">IF(Table24[[#This Row],[Start Date]]&gt;TODAY(),1,)</f>
        <v>0</v>
      </c>
    </row>
    <row r="223" spans="2:27" s="62" customFormat="1" x14ac:dyDescent="0.25">
      <c r="B223" s="99"/>
      <c r="C223" s="100" t="e">
        <v>#N/A</v>
      </c>
      <c r="D223" s="100" t="e">
        <v>#N/A</v>
      </c>
      <c r="E223" s="99"/>
      <c r="F223" s="102"/>
      <c r="G223" s="102"/>
      <c r="H223" s="102"/>
      <c r="I223" s="101"/>
      <c r="J223" s="101"/>
      <c r="K223" s="101"/>
      <c r="L223" s="101"/>
      <c r="M223" s="101"/>
      <c r="N223" s="101"/>
      <c r="O223" s="99"/>
      <c r="P223" s="99"/>
      <c r="Q223" s="15" t="e">
        <v>#N/A</v>
      </c>
      <c r="R223" s="15" t="e">
        <v>#N/A</v>
      </c>
      <c r="S223" s="15"/>
      <c r="T223" s="103"/>
      <c r="U223" s="15"/>
      <c r="V223" s="15"/>
      <c r="W223" s="104"/>
      <c r="X223" s="99"/>
      <c r="Y223" s="71">
        <f ca="1">Table24[[#This Row],[End Date]]+2-TODAY()</f>
        <v>-45530</v>
      </c>
      <c r="Z223" s="15">
        <f>IF(ISBLANK(Table24[[#This Row],[Roster Received By]]),1,0)</f>
        <v>1</v>
      </c>
      <c r="AA223" s="15">
        <f ca="1">IF(Table24[[#This Row],[Start Date]]&gt;TODAY(),1,)</f>
        <v>0</v>
      </c>
    </row>
    <row r="224" spans="2:27" s="62" customFormat="1" x14ac:dyDescent="0.25">
      <c r="B224" s="99"/>
      <c r="C224" s="100" t="e">
        <v>#N/A</v>
      </c>
      <c r="D224" s="100" t="e">
        <v>#N/A</v>
      </c>
      <c r="E224" s="65"/>
      <c r="F224" s="102"/>
      <c r="G224" s="102"/>
      <c r="H224" s="105"/>
      <c r="I224" s="105"/>
      <c r="J224" s="102"/>
      <c r="K224" s="102"/>
      <c r="L224" s="102"/>
      <c r="M224" s="102"/>
      <c r="N224" s="102"/>
      <c r="O224" s="99"/>
      <c r="P224" s="99"/>
      <c r="Q224" s="15" t="e">
        <v>#N/A</v>
      </c>
      <c r="R224" s="15" t="e">
        <v>#N/A</v>
      </c>
      <c r="S224" s="15"/>
      <c r="T224" s="103"/>
      <c r="U224" s="15"/>
      <c r="V224" s="15"/>
      <c r="W224" s="100"/>
      <c r="X224" s="99"/>
      <c r="Y224" s="71">
        <f ca="1">Table24[[#This Row],[End Date]]+2-TODAY()</f>
        <v>-45530</v>
      </c>
      <c r="Z224" s="15">
        <f>IF(ISBLANK(Table24[[#This Row],[Roster Received By]]),1,0)</f>
        <v>1</v>
      </c>
      <c r="AA224" s="15">
        <f ca="1">IF(Table24[[#This Row],[Start Date]]&gt;TODAY(),1,)</f>
        <v>0</v>
      </c>
    </row>
    <row r="225" spans="1:27" s="113" customFormat="1" x14ac:dyDescent="0.25">
      <c r="A225" s="62"/>
      <c r="B225" s="99"/>
      <c r="C225" s="100" t="e">
        <v>#N/A</v>
      </c>
      <c r="D225" s="100" t="e">
        <v>#N/A</v>
      </c>
      <c r="E225" s="99"/>
      <c r="F225" s="102"/>
      <c r="G225" s="102"/>
      <c r="H225" s="102"/>
      <c r="I225" s="101"/>
      <c r="J225" s="101"/>
      <c r="K225" s="101"/>
      <c r="L225" s="101"/>
      <c r="M225" s="101"/>
      <c r="N225" s="101"/>
      <c r="O225" s="99"/>
      <c r="P225" s="99"/>
      <c r="Q225" s="15" t="e">
        <v>#N/A</v>
      </c>
      <c r="R225" s="15" t="e">
        <v>#N/A</v>
      </c>
      <c r="S225" s="15"/>
      <c r="T225" s="103"/>
      <c r="U225" s="15"/>
      <c r="V225" s="15"/>
      <c r="W225" s="15"/>
      <c r="X225" s="99"/>
      <c r="Y225" s="71">
        <f ca="1">Table24[[#This Row],[End Date]]+2-TODAY()</f>
        <v>-45530</v>
      </c>
      <c r="Z225" s="15">
        <f>IF(ISBLANK(Table24[[#This Row],[Roster Received By]]),1,0)</f>
        <v>1</v>
      </c>
      <c r="AA225" s="15">
        <f ca="1">IF(Table24[[#This Row],[Start Date]]&gt;TODAY(),1,)</f>
        <v>0</v>
      </c>
    </row>
    <row r="226" spans="1:27" s="62" customFormat="1" x14ac:dyDescent="0.25">
      <c r="A226" s="99"/>
      <c r="B226" s="99"/>
      <c r="C226" s="100" t="e">
        <v>#N/A</v>
      </c>
      <c r="D226" s="100" t="e">
        <v>#N/A</v>
      </c>
      <c r="E226" s="65"/>
      <c r="F226" s="102"/>
      <c r="G226" s="102"/>
      <c r="H226" s="105"/>
      <c r="I226" s="105"/>
      <c r="J226" s="102"/>
      <c r="K226" s="102"/>
      <c r="L226" s="102"/>
      <c r="M226" s="102"/>
      <c r="N226" s="102"/>
      <c r="O226" s="99"/>
      <c r="P226" s="99"/>
      <c r="Q226" s="15" t="e">
        <v>#N/A</v>
      </c>
      <c r="R226" s="15" t="e">
        <v>#N/A</v>
      </c>
      <c r="S226" s="15"/>
      <c r="T226" s="103"/>
      <c r="U226" s="15"/>
      <c r="V226" s="15"/>
      <c r="W226" s="100"/>
      <c r="X226" s="99"/>
      <c r="Y226" s="71">
        <f ca="1">Table24[[#This Row],[End Date]]+2-TODAY()</f>
        <v>-45530</v>
      </c>
      <c r="Z226" s="15">
        <f>IF(ISBLANK(Table24[[#This Row],[Roster Received By]]),1,0)</f>
        <v>1</v>
      </c>
      <c r="AA226" s="15">
        <f ca="1">IF(Table24[[#This Row],[Start Date]]&gt;TODAY(),1,)</f>
        <v>0</v>
      </c>
    </row>
    <row r="227" spans="1:27" s="62" customFormat="1" x14ac:dyDescent="0.25">
      <c r="B227" s="99"/>
      <c r="C227" s="100" t="e">
        <v>#N/A</v>
      </c>
      <c r="D227" s="100" t="e">
        <v>#N/A</v>
      </c>
      <c r="E227" s="99"/>
      <c r="F227" s="102"/>
      <c r="G227" s="102"/>
      <c r="H227" s="105"/>
      <c r="I227" s="105"/>
      <c r="J227" s="102"/>
      <c r="K227" s="102"/>
      <c r="L227" s="102"/>
      <c r="M227" s="102"/>
      <c r="N227" s="102"/>
      <c r="O227" s="99"/>
      <c r="P227" s="99"/>
      <c r="Q227" s="15" t="e">
        <v>#N/A</v>
      </c>
      <c r="R227" s="15" t="e">
        <v>#N/A</v>
      </c>
      <c r="S227" s="15"/>
      <c r="T227" s="103"/>
      <c r="U227" s="15"/>
      <c r="V227" s="15"/>
      <c r="W227" s="100"/>
      <c r="X227" s="99"/>
      <c r="Y227" s="71">
        <f ca="1">Table24[[#This Row],[End Date]]+2-TODAY()</f>
        <v>-45530</v>
      </c>
      <c r="Z227" s="15">
        <f>IF(ISBLANK(Table24[[#This Row],[Roster Received By]]),1,0)</f>
        <v>1</v>
      </c>
      <c r="AA227" s="15">
        <f ca="1">IF(Table24[[#This Row],[Start Date]]&gt;TODAY(),1,)</f>
        <v>0</v>
      </c>
    </row>
    <row r="228" spans="1:27" s="62" customFormat="1" x14ac:dyDescent="0.25">
      <c r="B228" s="99"/>
      <c r="C228" s="100" t="e">
        <v>#N/A</v>
      </c>
      <c r="D228" s="100" t="e">
        <v>#N/A</v>
      </c>
      <c r="E228" s="99"/>
      <c r="F228" s="102"/>
      <c r="G228" s="102"/>
      <c r="H228" s="102"/>
      <c r="I228" s="101"/>
      <c r="J228" s="101"/>
      <c r="K228" s="101"/>
      <c r="L228" s="101"/>
      <c r="M228" s="101"/>
      <c r="N228" s="101"/>
      <c r="O228" s="99"/>
      <c r="P228" s="99"/>
      <c r="Q228" s="15" t="e">
        <v>#N/A</v>
      </c>
      <c r="R228" s="15" t="e">
        <v>#N/A</v>
      </c>
      <c r="S228" s="15"/>
      <c r="T228" s="103"/>
      <c r="U228" s="15"/>
      <c r="V228" s="15"/>
      <c r="W228" s="15"/>
      <c r="X228" s="99"/>
      <c r="Y228" s="71">
        <f ca="1">Table24[[#This Row],[End Date]]+2-TODAY()</f>
        <v>-45530</v>
      </c>
      <c r="Z228" s="15">
        <f>IF(ISBLANK(Table24[[#This Row],[Roster Received By]]),1,0)</f>
        <v>1</v>
      </c>
      <c r="AA228" s="15">
        <f ca="1">IF(Table24[[#This Row],[Start Date]]&gt;TODAY(),1,)</f>
        <v>0</v>
      </c>
    </row>
    <row r="229" spans="1:27" s="62" customFormat="1" x14ac:dyDescent="0.25">
      <c r="B229" s="99"/>
      <c r="C229" s="100" t="e">
        <v>#N/A</v>
      </c>
      <c r="D229" s="100" t="e">
        <v>#N/A</v>
      </c>
      <c r="E229" s="99"/>
      <c r="F229" s="102"/>
      <c r="G229" s="102"/>
      <c r="H229" s="105"/>
      <c r="I229" s="105"/>
      <c r="J229" s="105"/>
      <c r="K229" s="105"/>
      <c r="L229" s="105"/>
      <c r="M229" s="105"/>
      <c r="N229" s="102"/>
      <c r="O229" s="99"/>
      <c r="P229" s="99"/>
      <c r="Q229" s="15" t="e">
        <v>#N/A</v>
      </c>
      <c r="R229" s="15" t="e">
        <v>#N/A</v>
      </c>
      <c r="S229" s="15"/>
      <c r="T229" s="103"/>
      <c r="U229" s="15"/>
      <c r="V229" s="15"/>
      <c r="W229" s="15"/>
      <c r="X229" s="99"/>
      <c r="Y229" s="71">
        <f ca="1">Table24[[#This Row],[End Date]]+2-TODAY()</f>
        <v>-45530</v>
      </c>
      <c r="Z229" s="15">
        <f>IF(ISBLANK(Table24[[#This Row],[Roster Received By]]),1,0)</f>
        <v>1</v>
      </c>
      <c r="AA229" s="15">
        <f ca="1">IF(Table24[[#This Row],[Start Date]]&gt;TODAY(),1,)</f>
        <v>0</v>
      </c>
    </row>
    <row r="230" spans="1:27" s="62" customFormat="1" x14ac:dyDescent="0.25">
      <c r="B230" s="99"/>
      <c r="C230" s="100" t="e">
        <v>#N/A</v>
      </c>
      <c r="D230" s="100" t="e">
        <v>#N/A</v>
      </c>
      <c r="E230" s="99"/>
      <c r="F230" s="102"/>
      <c r="G230" s="102"/>
      <c r="H230" s="105"/>
      <c r="I230" s="105"/>
      <c r="J230" s="105"/>
      <c r="K230" s="105"/>
      <c r="L230" s="105"/>
      <c r="M230" s="105"/>
      <c r="N230" s="102"/>
      <c r="O230" s="99"/>
      <c r="P230" s="99"/>
      <c r="Q230" s="15" t="e">
        <v>#N/A</v>
      </c>
      <c r="R230" s="15" t="e">
        <v>#N/A</v>
      </c>
      <c r="S230" s="15"/>
      <c r="T230" s="103"/>
      <c r="U230" s="15"/>
      <c r="V230" s="15"/>
      <c r="W230" s="15"/>
      <c r="X230" s="99"/>
      <c r="Y230" s="71">
        <f ca="1">Table24[[#This Row],[End Date]]+2-TODAY()</f>
        <v>-45530</v>
      </c>
      <c r="Z230" s="15">
        <f>IF(ISBLANK(Table24[[#This Row],[Roster Received By]]),1,0)</f>
        <v>1</v>
      </c>
      <c r="AA230" s="15">
        <f ca="1">IF(Table24[[#This Row],[Start Date]]&gt;TODAY(),1,)</f>
        <v>0</v>
      </c>
    </row>
    <row r="231" spans="1:27" s="62" customFormat="1" x14ac:dyDescent="0.25">
      <c r="B231" s="99"/>
      <c r="C231" s="100" t="e">
        <v>#N/A</v>
      </c>
      <c r="D231" s="100" t="e">
        <v>#N/A</v>
      </c>
      <c r="E231" s="99"/>
      <c r="F231" s="102"/>
      <c r="G231" s="102"/>
      <c r="H231" s="102"/>
      <c r="I231" s="101"/>
      <c r="J231" s="101"/>
      <c r="K231" s="101"/>
      <c r="L231" s="101"/>
      <c r="M231" s="101"/>
      <c r="N231" s="101"/>
      <c r="O231" s="99"/>
      <c r="P231" s="99"/>
      <c r="Q231" s="15" t="e">
        <v>#N/A</v>
      </c>
      <c r="R231" s="15" t="e">
        <v>#N/A</v>
      </c>
      <c r="S231" s="15"/>
      <c r="T231" s="103"/>
      <c r="U231" s="15"/>
      <c r="V231" s="15"/>
      <c r="W231" s="15"/>
      <c r="X231" s="99"/>
      <c r="Y231" s="71">
        <f ca="1">Table24[[#This Row],[End Date]]+2-TODAY()</f>
        <v>-45530</v>
      </c>
      <c r="Z231" s="15">
        <f>IF(ISBLANK(Table24[[#This Row],[Roster Received By]]),1,0)</f>
        <v>1</v>
      </c>
      <c r="AA231" s="15">
        <f ca="1">IF(Table24[[#This Row],[Start Date]]&gt;TODAY(),1,)</f>
        <v>0</v>
      </c>
    </row>
    <row r="232" spans="1:27" s="62" customFormat="1" x14ac:dyDescent="0.25">
      <c r="B232" s="99"/>
      <c r="C232" s="100" t="e">
        <v>#N/A</v>
      </c>
      <c r="D232" s="100" t="e">
        <v>#N/A</v>
      </c>
      <c r="E232" s="99"/>
      <c r="F232" s="102"/>
      <c r="G232" s="102"/>
      <c r="H232" s="102"/>
      <c r="I232" s="101"/>
      <c r="J232" s="101"/>
      <c r="K232" s="101"/>
      <c r="L232" s="101"/>
      <c r="M232" s="101"/>
      <c r="N232" s="101"/>
      <c r="O232" s="99"/>
      <c r="P232" s="99"/>
      <c r="Q232" s="15" t="e">
        <v>#N/A</v>
      </c>
      <c r="R232" s="15" t="e">
        <v>#N/A</v>
      </c>
      <c r="S232" s="15"/>
      <c r="T232" s="103"/>
      <c r="U232" s="15"/>
      <c r="V232" s="15"/>
      <c r="W232" s="15"/>
      <c r="X232" s="99"/>
      <c r="Y232" s="71">
        <f ca="1">Table24[[#This Row],[End Date]]+2-TODAY()</f>
        <v>-45530</v>
      </c>
      <c r="Z232" s="15">
        <f>IF(ISBLANK(Table24[[#This Row],[Roster Received By]]),1,0)</f>
        <v>1</v>
      </c>
      <c r="AA232" s="15">
        <f ca="1">IF(Table24[[#This Row],[Start Date]]&gt;TODAY(),1,)</f>
        <v>0</v>
      </c>
    </row>
    <row r="233" spans="1:27" s="62" customFormat="1" x14ac:dyDescent="0.25">
      <c r="B233" s="99"/>
      <c r="C233" s="100" t="e">
        <v>#N/A</v>
      </c>
      <c r="D233" s="100" t="e">
        <v>#N/A</v>
      </c>
      <c r="E233" s="99"/>
      <c r="F233" s="102"/>
      <c r="G233" s="102"/>
      <c r="H233" s="102"/>
      <c r="I233" s="101"/>
      <c r="J233" s="101"/>
      <c r="K233" s="101"/>
      <c r="L233" s="101"/>
      <c r="M233" s="101"/>
      <c r="N233" s="101"/>
      <c r="O233" s="99"/>
      <c r="P233" s="99"/>
      <c r="Q233" s="15" t="e">
        <v>#N/A</v>
      </c>
      <c r="R233" s="15" t="e">
        <v>#N/A</v>
      </c>
      <c r="S233" s="15"/>
      <c r="T233" s="103"/>
      <c r="U233" s="15"/>
      <c r="V233" s="15"/>
      <c r="W233" s="15"/>
      <c r="X233" s="99"/>
      <c r="Y233" s="71">
        <f ca="1">Table24[[#This Row],[End Date]]+2-TODAY()</f>
        <v>-45530</v>
      </c>
      <c r="Z233" s="15">
        <f>IF(ISBLANK(Table24[[#This Row],[Roster Received By]]),1,0)</f>
        <v>1</v>
      </c>
      <c r="AA233" s="15">
        <f ca="1">IF(Table24[[#This Row],[Start Date]]&gt;TODAY(),1,)</f>
        <v>0</v>
      </c>
    </row>
    <row r="234" spans="1:27" s="62" customFormat="1" x14ac:dyDescent="0.25">
      <c r="B234" s="99"/>
      <c r="C234" s="100" t="e">
        <v>#N/A</v>
      </c>
      <c r="D234" s="100" t="e">
        <v>#N/A</v>
      </c>
      <c r="E234" s="99"/>
      <c r="F234" s="102"/>
      <c r="G234" s="102"/>
      <c r="H234" s="102"/>
      <c r="I234" s="101"/>
      <c r="J234" s="101"/>
      <c r="K234" s="101"/>
      <c r="L234" s="101"/>
      <c r="M234" s="101"/>
      <c r="N234" s="101"/>
      <c r="O234" s="99"/>
      <c r="P234" s="99"/>
      <c r="Q234" s="15" t="e">
        <v>#N/A</v>
      </c>
      <c r="R234" s="15" t="e">
        <v>#N/A</v>
      </c>
      <c r="S234" s="15"/>
      <c r="T234" s="103"/>
      <c r="U234" s="15"/>
      <c r="V234" s="15"/>
      <c r="W234" s="15"/>
      <c r="X234" s="99"/>
      <c r="Y234" s="71">
        <f ca="1">Table24[[#This Row],[End Date]]+2-TODAY()</f>
        <v>-45530</v>
      </c>
      <c r="Z234" s="15">
        <f>IF(ISBLANK(Table24[[#This Row],[Roster Received By]]),1,0)</f>
        <v>1</v>
      </c>
      <c r="AA234" s="15">
        <f ca="1">IF(Table24[[#This Row],[Start Date]]&gt;TODAY(),1,)</f>
        <v>0</v>
      </c>
    </row>
    <row r="235" spans="1:27" s="62" customFormat="1" x14ac:dyDescent="0.25">
      <c r="B235" s="99"/>
      <c r="C235" s="100" t="e">
        <v>#N/A</v>
      </c>
      <c r="D235" s="100" t="e">
        <v>#N/A</v>
      </c>
      <c r="E235" s="99"/>
      <c r="F235" s="102"/>
      <c r="G235" s="102"/>
      <c r="H235" s="102"/>
      <c r="I235" s="101"/>
      <c r="J235" s="101"/>
      <c r="K235" s="101"/>
      <c r="L235" s="101"/>
      <c r="M235" s="101"/>
      <c r="N235" s="101"/>
      <c r="O235" s="99"/>
      <c r="P235" s="99"/>
      <c r="Q235" s="15" t="e">
        <v>#N/A</v>
      </c>
      <c r="R235" s="15" t="e">
        <v>#N/A</v>
      </c>
      <c r="S235" s="15"/>
      <c r="T235" s="103"/>
      <c r="U235" s="15"/>
      <c r="V235" s="15"/>
      <c r="W235" s="15"/>
      <c r="X235" s="99"/>
      <c r="Y235" s="71">
        <f ca="1">Table24[[#This Row],[End Date]]+2-TODAY()</f>
        <v>-45530</v>
      </c>
      <c r="Z235" s="15">
        <f>IF(ISBLANK(Table24[[#This Row],[Roster Received By]]),1,0)</f>
        <v>1</v>
      </c>
      <c r="AA235" s="15">
        <f ca="1">IF(Table24[[#This Row],[Start Date]]&gt;TODAY(),1,)</f>
        <v>0</v>
      </c>
    </row>
    <row r="236" spans="1:27" s="62" customFormat="1" x14ac:dyDescent="0.25">
      <c r="B236" s="99"/>
      <c r="C236" s="100" t="e">
        <v>#N/A</v>
      </c>
      <c r="D236" s="100" t="e">
        <v>#N/A</v>
      </c>
      <c r="E236" s="99"/>
      <c r="F236" s="102"/>
      <c r="G236" s="102"/>
      <c r="H236" s="108"/>
      <c r="I236" s="105"/>
      <c r="J236" s="102"/>
      <c r="K236" s="102"/>
      <c r="L236" s="102"/>
      <c r="M236" s="102"/>
      <c r="N236" s="102"/>
      <c r="O236" s="99"/>
      <c r="P236" s="99"/>
      <c r="Q236" s="15" t="e">
        <v>#N/A</v>
      </c>
      <c r="R236" s="15" t="e">
        <v>#N/A</v>
      </c>
      <c r="S236" s="103"/>
      <c r="T236" s="103"/>
      <c r="U236" s="15"/>
      <c r="V236" s="15"/>
      <c r="W236" s="15"/>
      <c r="X236" s="99"/>
      <c r="Y236" s="71">
        <f ca="1">Table24[[#This Row],[End Date]]+2-TODAY()</f>
        <v>-45530</v>
      </c>
      <c r="Z236" s="15">
        <f>IF(ISBLANK(Table24[[#This Row],[Roster Received By]]),1,0)</f>
        <v>1</v>
      </c>
      <c r="AA236" s="15">
        <f ca="1">IF(Table24[[#This Row],[Start Date]]&gt;TODAY(),1,)</f>
        <v>0</v>
      </c>
    </row>
    <row r="237" spans="1:27" s="62" customFormat="1" x14ac:dyDescent="0.25">
      <c r="B237" s="116"/>
      <c r="C237" s="100" t="e">
        <v>#N/A</v>
      </c>
      <c r="D237" s="100" t="e">
        <v>#N/A</v>
      </c>
      <c r="E237" s="99"/>
      <c r="F237" s="102"/>
      <c r="G237" s="102"/>
      <c r="H237" s="102"/>
      <c r="I237" s="101"/>
      <c r="J237" s="101"/>
      <c r="K237" s="101"/>
      <c r="L237" s="101"/>
      <c r="M237" s="101"/>
      <c r="N237" s="101"/>
      <c r="O237" s="99"/>
      <c r="P237" s="99"/>
      <c r="Q237" s="15" t="e">
        <v>#N/A</v>
      </c>
      <c r="R237" s="15" t="e">
        <v>#N/A</v>
      </c>
      <c r="S237" s="15"/>
      <c r="T237" s="103"/>
      <c r="U237" s="15"/>
      <c r="V237" s="15"/>
      <c r="W237" s="15"/>
      <c r="X237" s="99"/>
      <c r="Y237" s="71">
        <f ca="1">Table24[[#This Row],[End Date]]+2-TODAY()</f>
        <v>-45530</v>
      </c>
      <c r="Z237" s="15">
        <f>IF(ISBLANK(Table24[[#This Row],[Roster Received By]]),1,0)</f>
        <v>1</v>
      </c>
      <c r="AA237" s="15">
        <f ca="1">IF(Table24[[#This Row],[Start Date]]&gt;TODAY(),1,)</f>
        <v>0</v>
      </c>
    </row>
    <row r="238" spans="1:27" s="62" customFormat="1" x14ac:dyDescent="0.25">
      <c r="B238" s="99"/>
      <c r="C238" s="100" t="e">
        <v>#N/A</v>
      </c>
      <c r="D238" s="100" t="e">
        <v>#N/A</v>
      </c>
      <c r="E238" s="99"/>
      <c r="F238" s="102"/>
      <c r="G238" s="102"/>
      <c r="H238" s="105"/>
      <c r="I238" s="105"/>
      <c r="J238" s="102"/>
      <c r="K238" s="102"/>
      <c r="L238" s="102"/>
      <c r="M238" s="102"/>
      <c r="N238" s="102"/>
      <c r="O238" s="99"/>
      <c r="P238" s="99"/>
      <c r="Q238" s="15" t="e">
        <v>#N/A</v>
      </c>
      <c r="R238" s="15" t="e">
        <v>#N/A</v>
      </c>
      <c r="S238" s="15"/>
      <c r="T238" s="103"/>
      <c r="U238" s="15"/>
      <c r="V238" s="15"/>
      <c r="W238" s="104"/>
      <c r="X238" s="99"/>
      <c r="Y238" s="71">
        <f ca="1">Table24[[#This Row],[End Date]]+2-TODAY()</f>
        <v>-45530</v>
      </c>
      <c r="Z238" s="15">
        <f>IF(ISBLANK(Table24[[#This Row],[Roster Received By]]),1,0)</f>
        <v>1</v>
      </c>
      <c r="AA238" s="15">
        <f ca="1">IF(Table24[[#This Row],[Start Date]]&gt;TODAY(),1,)</f>
        <v>0</v>
      </c>
    </row>
    <row r="239" spans="1:27" s="62" customFormat="1" x14ac:dyDescent="0.25">
      <c r="B239" s="116"/>
      <c r="C239" s="100" t="e">
        <v>#N/A</v>
      </c>
      <c r="D239" s="100" t="e">
        <v>#N/A</v>
      </c>
      <c r="E239" s="99"/>
      <c r="F239" s="102"/>
      <c r="G239" s="102"/>
      <c r="H239" s="105"/>
      <c r="I239" s="105"/>
      <c r="J239" s="105"/>
      <c r="K239" s="105"/>
      <c r="L239" s="105"/>
      <c r="M239" s="105"/>
      <c r="N239" s="102"/>
      <c r="O239" s="99"/>
      <c r="P239" s="99"/>
      <c r="Q239" s="15" t="e">
        <v>#N/A</v>
      </c>
      <c r="R239" s="15" t="e">
        <v>#N/A</v>
      </c>
      <c r="S239" s="15"/>
      <c r="T239" s="103"/>
      <c r="U239" s="15"/>
      <c r="V239" s="15"/>
      <c r="W239" s="15"/>
      <c r="X239" s="99"/>
      <c r="Y239" s="71">
        <f ca="1">Table24[[#This Row],[End Date]]+2-TODAY()</f>
        <v>-45530</v>
      </c>
      <c r="Z239" s="15">
        <f>IF(ISBLANK(Table24[[#This Row],[Roster Received By]]),1,0)</f>
        <v>1</v>
      </c>
      <c r="AA239" s="15">
        <f ca="1">IF(Table24[[#This Row],[Start Date]]&gt;TODAY(),1,)</f>
        <v>0</v>
      </c>
    </row>
    <row r="240" spans="1:27" s="62" customFormat="1" x14ac:dyDescent="0.25">
      <c r="B240" s="116"/>
      <c r="C240" s="100" t="e">
        <v>#N/A</v>
      </c>
      <c r="D240" s="100" t="e">
        <v>#N/A</v>
      </c>
      <c r="E240" s="99"/>
      <c r="F240" s="102"/>
      <c r="G240" s="102"/>
      <c r="H240" s="105"/>
      <c r="I240" s="105"/>
      <c r="J240" s="102"/>
      <c r="K240" s="102"/>
      <c r="L240" s="102"/>
      <c r="M240" s="102"/>
      <c r="N240" s="102"/>
      <c r="O240" s="99"/>
      <c r="P240" s="99"/>
      <c r="Q240" s="15" t="e">
        <v>#N/A</v>
      </c>
      <c r="R240" s="15" t="e">
        <v>#N/A</v>
      </c>
      <c r="S240" s="15"/>
      <c r="T240" s="103"/>
      <c r="U240" s="15"/>
      <c r="V240" s="15"/>
      <c r="W240" s="15"/>
      <c r="X240" s="99"/>
      <c r="Y240" s="71">
        <f ca="1">Table24[[#This Row],[End Date]]+2-TODAY()</f>
        <v>-45530</v>
      </c>
      <c r="Z240" s="15">
        <f>IF(ISBLANK(Table24[[#This Row],[Roster Received By]]),1,0)</f>
        <v>1</v>
      </c>
      <c r="AA240" s="15">
        <f ca="1">IF(Table24[[#This Row],[Start Date]]&gt;TODAY(),1,)</f>
        <v>0</v>
      </c>
    </row>
    <row r="241" spans="1:27" s="62" customFormat="1" x14ac:dyDescent="0.25">
      <c r="B241" s="116"/>
      <c r="C241" s="100" t="e">
        <v>#N/A</v>
      </c>
      <c r="D241" s="100" t="e">
        <v>#N/A</v>
      </c>
      <c r="E241" s="99"/>
      <c r="F241" s="102"/>
      <c r="G241" s="102"/>
      <c r="H241" s="102"/>
      <c r="I241" s="101"/>
      <c r="J241" s="101"/>
      <c r="K241" s="101"/>
      <c r="L241" s="101"/>
      <c r="M241" s="101"/>
      <c r="N241" s="101"/>
      <c r="O241" s="99"/>
      <c r="P241" s="99"/>
      <c r="Q241" s="15" t="e">
        <v>#N/A</v>
      </c>
      <c r="R241" s="15" t="e">
        <v>#N/A</v>
      </c>
      <c r="S241" s="15"/>
      <c r="T241" s="103"/>
      <c r="U241" s="15"/>
      <c r="V241" s="15"/>
      <c r="W241" s="15"/>
      <c r="X241" s="99"/>
      <c r="Y241" s="71">
        <f ca="1">Table24[[#This Row],[End Date]]+2-TODAY()</f>
        <v>-45530</v>
      </c>
      <c r="Z241" s="15">
        <f>IF(ISBLANK(Table24[[#This Row],[Roster Received By]]),1,0)</f>
        <v>1</v>
      </c>
      <c r="AA241" s="15">
        <f ca="1">IF(Table24[[#This Row],[Start Date]]&gt;TODAY(),1,)</f>
        <v>0</v>
      </c>
    </row>
    <row r="242" spans="1:27" s="62" customFormat="1" x14ac:dyDescent="0.25">
      <c r="B242" s="99"/>
      <c r="C242" s="100" t="e">
        <v>#N/A</v>
      </c>
      <c r="D242" s="100" t="e">
        <v>#N/A</v>
      </c>
      <c r="E242" s="99"/>
      <c r="F242" s="102"/>
      <c r="G242" s="102"/>
      <c r="H242" s="108"/>
      <c r="I242" s="108"/>
      <c r="J242" s="102"/>
      <c r="K242" s="102"/>
      <c r="L242" s="102"/>
      <c r="M242" s="102"/>
      <c r="N242" s="102"/>
      <c r="O242" s="99"/>
      <c r="P242" s="99"/>
      <c r="Q242" s="15" t="e">
        <v>#N/A</v>
      </c>
      <c r="R242" s="15" t="e">
        <v>#N/A</v>
      </c>
      <c r="S242" s="15"/>
      <c r="T242" s="103"/>
      <c r="U242" s="15"/>
      <c r="V242" s="15"/>
      <c r="W242" s="15"/>
      <c r="X242" s="99"/>
      <c r="Y242" s="71">
        <f ca="1">Table24[[#This Row],[End Date]]+2-TODAY()</f>
        <v>-45530</v>
      </c>
      <c r="Z242" s="15">
        <f>IF(ISBLANK(Table24[[#This Row],[Roster Received By]]),1,0)</f>
        <v>1</v>
      </c>
      <c r="AA242" s="15">
        <f ca="1">IF(Table24[[#This Row],[Start Date]]&gt;TODAY(),1,)</f>
        <v>0</v>
      </c>
    </row>
    <row r="243" spans="1:27" s="62" customFormat="1" x14ac:dyDescent="0.25">
      <c r="B243" s="99"/>
      <c r="C243" s="100" t="e">
        <v>#N/A</v>
      </c>
      <c r="D243" s="100" t="e">
        <v>#N/A</v>
      </c>
      <c r="E243" s="99"/>
      <c r="F243" s="102"/>
      <c r="G243" s="102"/>
      <c r="H243" s="102"/>
      <c r="I243" s="101"/>
      <c r="J243" s="101"/>
      <c r="K243" s="101"/>
      <c r="L243" s="101"/>
      <c r="M243" s="101"/>
      <c r="N243" s="101"/>
      <c r="O243" s="99"/>
      <c r="P243" s="99"/>
      <c r="Q243" s="15" t="e">
        <v>#N/A</v>
      </c>
      <c r="R243" s="15" t="e">
        <v>#N/A</v>
      </c>
      <c r="S243" s="15"/>
      <c r="T243" s="103"/>
      <c r="U243" s="15"/>
      <c r="V243" s="15"/>
      <c r="W243" s="15"/>
      <c r="X243" s="99"/>
      <c r="Y243" s="71">
        <f ca="1">Table24[[#This Row],[End Date]]+2-TODAY()</f>
        <v>-45530</v>
      </c>
      <c r="Z243" s="15">
        <f>IF(ISBLANK(Table24[[#This Row],[Roster Received By]]),1,0)</f>
        <v>1</v>
      </c>
      <c r="AA243" s="15">
        <f ca="1">IF(Table24[[#This Row],[Start Date]]&gt;TODAY(),1,)</f>
        <v>0</v>
      </c>
    </row>
    <row r="244" spans="1:27" s="62" customFormat="1" x14ac:dyDescent="0.25">
      <c r="B244" s="126"/>
      <c r="C244" s="100" t="e">
        <v>#N/A</v>
      </c>
      <c r="D244" s="100" t="e">
        <v>#N/A</v>
      </c>
      <c r="E244" s="99"/>
      <c r="F244" s="102"/>
      <c r="G244" s="102"/>
      <c r="H244" s="102"/>
      <c r="I244" s="101"/>
      <c r="J244" s="101"/>
      <c r="K244" s="101"/>
      <c r="L244" s="101"/>
      <c r="M244" s="101"/>
      <c r="N244" s="101"/>
      <c r="O244" s="99"/>
      <c r="P244" s="99"/>
      <c r="Q244" s="15" t="e">
        <v>#N/A</v>
      </c>
      <c r="R244" s="15" t="e">
        <v>#N/A</v>
      </c>
      <c r="S244" s="15"/>
      <c r="T244" s="103"/>
      <c r="U244" s="15"/>
      <c r="V244" s="15"/>
      <c r="W244" s="100"/>
      <c r="X244" s="99"/>
      <c r="Y244" s="71">
        <f ca="1">Table24[[#This Row],[End Date]]+2-TODAY()</f>
        <v>-45530</v>
      </c>
      <c r="Z244" s="15">
        <f>IF(ISBLANK(Table24[[#This Row],[Roster Received By]]),1,0)</f>
        <v>1</v>
      </c>
      <c r="AA244" s="15">
        <f ca="1">IF(Table24[[#This Row],[Start Date]]&gt;TODAY(),1,)</f>
        <v>0</v>
      </c>
    </row>
    <row r="245" spans="1:27" s="62" customFormat="1" x14ac:dyDescent="0.25">
      <c r="B245" s="116"/>
      <c r="C245" s="100" t="e">
        <v>#N/A</v>
      </c>
      <c r="D245" s="100" t="e">
        <v>#N/A</v>
      </c>
      <c r="E245" s="99"/>
      <c r="F245" s="102"/>
      <c r="G245" s="102"/>
      <c r="H245" s="102"/>
      <c r="I245" s="101"/>
      <c r="J245" s="101"/>
      <c r="K245" s="101"/>
      <c r="L245" s="101"/>
      <c r="M245" s="101"/>
      <c r="N245" s="101"/>
      <c r="O245" s="99"/>
      <c r="P245" s="99"/>
      <c r="Q245" s="15" t="e">
        <v>#N/A</v>
      </c>
      <c r="R245" s="15" t="e">
        <v>#N/A</v>
      </c>
      <c r="S245" s="15"/>
      <c r="T245" s="103"/>
      <c r="U245" s="15"/>
      <c r="V245" s="15"/>
      <c r="W245" s="15"/>
      <c r="X245" s="99"/>
      <c r="Y245" s="71">
        <f ca="1">Table24[[#This Row],[End Date]]+2-TODAY()</f>
        <v>-45530</v>
      </c>
      <c r="Z245" s="15">
        <f>IF(ISBLANK(Table24[[#This Row],[Roster Received By]]),1,0)</f>
        <v>1</v>
      </c>
      <c r="AA245" s="15">
        <f ca="1">IF(Table24[[#This Row],[Start Date]]&gt;TODAY(),1,)</f>
        <v>0</v>
      </c>
    </row>
    <row r="246" spans="1:27" s="62" customFormat="1" x14ac:dyDescent="0.25">
      <c r="B246" s="116"/>
      <c r="C246" s="100" t="e">
        <v>#N/A</v>
      </c>
      <c r="D246" s="100" t="e">
        <v>#N/A</v>
      </c>
      <c r="E246" s="99"/>
      <c r="F246" s="102"/>
      <c r="G246" s="102"/>
      <c r="H246" s="105"/>
      <c r="I246" s="105"/>
      <c r="J246" s="105"/>
      <c r="K246" s="105"/>
      <c r="L246" s="105"/>
      <c r="M246" s="105"/>
      <c r="N246" s="102"/>
      <c r="O246" s="99"/>
      <c r="P246" s="99"/>
      <c r="Q246" s="15" t="e">
        <v>#N/A</v>
      </c>
      <c r="R246" s="15" t="e">
        <v>#N/A</v>
      </c>
      <c r="S246" s="15"/>
      <c r="T246" s="103"/>
      <c r="U246" s="15"/>
      <c r="V246" s="15"/>
      <c r="W246" s="15"/>
      <c r="X246" s="99"/>
      <c r="Y246" s="71">
        <f ca="1">Table24[[#This Row],[End Date]]+2-TODAY()</f>
        <v>-45530</v>
      </c>
      <c r="Z246" s="15">
        <f>IF(ISBLANK(Table24[[#This Row],[Roster Received By]]),1,0)</f>
        <v>1</v>
      </c>
      <c r="AA246" s="15">
        <f ca="1">IF(Table24[[#This Row],[Start Date]]&gt;TODAY(),1,)</f>
        <v>0</v>
      </c>
    </row>
    <row r="247" spans="1:27" s="62" customFormat="1" x14ac:dyDescent="0.25">
      <c r="B247" s="116"/>
      <c r="C247" s="100" t="e">
        <v>#N/A</v>
      </c>
      <c r="D247" s="100" t="e">
        <v>#N/A</v>
      </c>
      <c r="E247" s="116"/>
      <c r="F247" s="98"/>
      <c r="G247" s="110"/>
      <c r="H247" s="102"/>
      <c r="I247" s="101"/>
      <c r="J247" s="101"/>
      <c r="K247" s="101"/>
      <c r="L247" s="101"/>
      <c r="M247" s="101"/>
      <c r="N247" s="101"/>
      <c r="O247" s="99"/>
      <c r="P247" s="99"/>
      <c r="Q247" s="15" t="e">
        <v>#N/A</v>
      </c>
      <c r="R247" s="15" t="e">
        <v>#N/A</v>
      </c>
      <c r="S247" s="15"/>
      <c r="T247" s="103"/>
      <c r="U247" s="15"/>
      <c r="V247" s="15"/>
      <c r="W247" s="15"/>
      <c r="X247" s="99"/>
      <c r="Y247" s="71">
        <f ca="1">Table24[[#This Row],[End Date]]+2-TODAY()</f>
        <v>-45530</v>
      </c>
      <c r="Z247" s="15">
        <f>IF(ISBLANK(Table24[[#This Row],[Roster Received By]]),1,0)</f>
        <v>1</v>
      </c>
      <c r="AA247" s="15">
        <f ca="1">IF(Table24[[#This Row],[Start Date]]&gt;TODAY(),1,)</f>
        <v>0</v>
      </c>
    </row>
    <row r="248" spans="1:27" s="62" customFormat="1" x14ac:dyDescent="0.25">
      <c r="B248" s="99"/>
      <c r="C248" s="100" t="e">
        <v>#N/A</v>
      </c>
      <c r="D248" s="100" t="e">
        <v>#N/A</v>
      </c>
      <c r="E248" s="99"/>
      <c r="F248" s="102"/>
      <c r="G248" s="102"/>
      <c r="H248" s="105"/>
      <c r="I248" s="105"/>
      <c r="J248" s="102"/>
      <c r="K248" s="102"/>
      <c r="L248" s="102"/>
      <c r="M248" s="102"/>
      <c r="N248" s="102"/>
      <c r="O248" s="99"/>
      <c r="P248" s="99"/>
      <c r="Q248" s="15" t="e">
        <v>#N/A</v>
      </c>
      <c r="R248" s="15" t="e">
        <v>#N/A</v>
      </c>
      <c r="S248" s="15"/>
      <c r="T248" s="103"/>
      <c r="U248" s="15"/>
      <c r="V248" s="15"/>
      <c r="W248" s="15"/>
      <c r="X248" s="99"/>
      <c r="Y248" s="71">
        <f ca="1">Table24[[#This Row],[End Date]]+2-TODAY()</f>
        <v>-45530</v>
      </c>
      <c r="Z248" s="15">
        <f>IF(ISBLANK(Table24[[#This Row],[Roster Received By]]),1,0)</f>
        <v>1</v>
      </c>
      <c r="AA248" s="15">
        <f ca="1">IF(Table24[[#This Row],[Start Date]]&gt;TODAY(),1,)</f>
        <v>0</v>
      </c>
    </row>
    <row r="249" spans="1:27" s="62" customFormat="1" x14ac:dyDescent="0.25">
      <c r="B249" s="116"/>
      <c r="C249" s="100" t="e">
        <v>#N/A</v>
      </c>
      <c r="D249" s="100" t="e">
        <v>#N/A</v>
      </c>
      <c r="E249" s="66"/>
      <c r="F249" s="98"/>
      <c r="G249" s="110"/>
      <c r="H249" s="105"/>
      <c r="I249" s="105"/>
      <c r="J249" s="102"/>
      <c r="K249" s="102"/>
      <c r="L249" s="102"/>
      <c r="M249" s="102"/>
      <c r="N249" s="102"/>
      <c r="O249" s="99"/>
      <c r="P249" s="99"/>
      <c r="Q249" s="15" t="e">
        <v>#N/A</v>
      </c>
      <c r="R249" s="15" t="e">
        <v>#N/A</v>
      </c>
      <c r="S249" s="15"/>
      <c r="T249" s="103"/>
      <c r="U249" s="15"/>
      <c r="V249" s="15"/>
      <c r="W249" s="100"/>
      <c r="X249" s="99"/>
      <c r="Y249" s="71">
        <f ca="1">Table24[[#This Row],[End Date]]+2-TODAY()</f>
        <v>-45530</v>
      </c>
      <c r="Z249" s="15">
        <f>IF(ISBLANK(Table24[[#This Row],[Roster Received By]]),1,0)</f>
        <v>1</v>
      </c>
      <c r="AA249" s="15">
        <f ca="1">IF(Table24[[#This Row],[Start Date]]&gt;TODAY(),1,)</f>
        <v>0</v>
      </c>
    </row>
    <row r="250" spans="1:27" s="62" customFormat="1" x14ac:dyDescent="0.25">
      <c r="B250" s="66"/>
      <c r="C250" s="100" t="e">
        <v>#N/A</v>
      </c>
      <c r="D250" s="100" t="e">
        <v>#N/A</v>
      </c>
      <c r="E250" s="130"/>
      <c r="F250" s="98"/>
      <c r="G250" s="98"/>
      <c r="H250" s="101"/>
      <c r="I250" s="101"/>
      <c r="J250" s="102"/>
      <c r="K250" s="102"/>
      <c r="L250" s="102"/>
      <c r="M250" s="102"/>
      <c r="N250" s="102"/>
      <c r="O250" s="99"/>
      <c r="P250" s="99"/>
      <c r="Q250" s="15" t="e">
        <v>#N/A</v>
      </c>
      <c r="R250" s="15" t="e">
        <v>#N/A</v>
      </c>
      <c r="S250" s="15"/>
      <c r="T250" s="103"/>
      <c r="U250" s="15"/>
      <c r="V250" s="15"/>
      <c r="W250" s="15"/>
      <c r="X250" s="99"/>
      <c r="Y250" s="71">
        <f ca="1">Table24[[#This Row],[End Date]]+2-TODAY()</f>
        <v>-45530</v>
      </c>
      <c r="Z250" s="15">
        <f>IF(ISBLANK(Table24[[#This Row],[Roster Received By]]),1,0)</f>
        <v>1</v>
      </c>
      <c r="AA250" s="15">
        <f ca="1">IF(Table24[[#This Row],[Start Date]]&gt;TODAY(),1,)</f>
        <v>0</v>
      </c>
    </row>
    <row r="251" spans="1:27" s="62" customFormat="1" x14ac:dyDescent="0.25">
      <c r="B251" s="116"/>
      <c r="C251" s="100" t="e">
        <v>#N/A</v>
      </c>
      <c r="D251" s="100" t="e">
        <v>#N/A</v>
      </c>
      <c r="E251" s="116"/>
      <c r="F251" s="110"/>
      <c r="G251" s="110"/>
      <c r="H251" s="102"/>
      <c r="I251" s="101"/>
      <c r="J251" s="101"/>
      <c r="K251" s="101"/>
      <c r="L251" s="101"/>
      <c r="M251" s="101"/>
      <c r="N251" s="101"/>
      <c r="O251" s="99"/>
      <c r="P251" s="99"/>
      <c r="Q251" s="15" t="e">
        <v>#N/A</v>
      </c>
      <c r="R251" s="15" t="e">
        <v>#N/A</v>
      </c>
      <c r="S251" s="15"/>
      <c r="T251" s="103"/>
      <c r="U251" s="15"/>
      <c r="V251" s="15"/>
      <c r="W251" s="15"/>
      <c r="X251" s="99"/>
      <c r="Y251" s="71">
        <f ca="1">Table24[[#This Row],[End Date]]+2-TODAY()</f>
        <v>-45530</v>
      </c>
      <c r="Z251" s="15">
        <f>IF(ISBLANK(Table24[[#This Row],[Roster Received By]]),1,0)</f>
        <v>1</v>
      </c>
      <c r="AA251" s="15">
        <f ca="1">IF(Table24[[#This Row],[Start Date]]&gt;TODAY(),1,)</f>
        <v>0</v>
      </c>
    </row>
    <row r="252" spans="1:27" s="62" customFormat="1" x14ac:dyDescent="0.25">
      <c r="B252" s="116"/>
      <c r="C252" s="100" t="e">
        <v>#N/A</v>
      </c>
      <c r="D252" s="100" t="e">
        <v>#N/A</v>
      </c>
      <c r="E252" s="116"/>
      <c r="F252" s="110"/>
      <c r="G252" s="110"/>
      <c r="H252" s="102"/>
      <c r="I252" s="101"/>
      <c r="J252" s="101"/>
      <c r="K252" s="101"/>
      <c r="L252" s="101"/>
      <c r="M252" s="101"/>
      <c r="N252" s="101"/>
      <c r="O252" s="99"/>
      <c r="P252" s="99"/>
      <c r="Q252" s="15" t="e">
        <v>#N/A</v>
      </c>
      <c r="R252" s="15" t="e">
        <v>#N/A</v>
      </c>
      <c r="S252" s="15"/>
      <c r="T252" s="103"/>
      <c r="U252" s="15"/>
      <c r="V252" s="15"/>
      <c r="W252" s="100"/>
      <c r="X252" s="99"/>
      <c r="Y252" s="71">
        <f ca="1">Table24[[#This Row],[End Date]]+2-TODAY()</f>
        <v>-45530</v>
      </c>
      <c r="Z252" s="15">
        <f>IF(ISBLANK(Table24[[#This Row],[Roster Received By]]),1,0)</f>
        <v>1</v>
      </c>
      <c r="AA252" s="15">
        <f ca="1">IF(Table24[[#This Row],[Start Date]]&gt;TODAY(),1,)</f>
        <v>0</v>
      </c>
    </row>
    <row r="253" spans="1:27" s="62" customFormat="1" x14ac:dyDescent="0.25">
      <c r="B253" s="116"/>
      <c r="C253" s="100" t="e">
        <v>#N/A</v>
      </c>
      <c r="D253" s="100" t="e">
        <v>#N/A</v>
      </c>
      <c r="E253" s="116"/>
      <c r="F253" s="110"/>
      <c r="G253" s="110"/>
      <c r="H253" s="102"/>
      <c r="I253" s="101"/>
      <c r="J253" s="101"/>
      <c r="K253" s="101"/>
      <c r="L253" s="101"/>
      <c r="M253" s="101"/>
      <c r="N253" s="101"/>
      <c r="O253" s="99"/>
      <c r="P253" s="99"/>
      <c r="Q253" s="15" t="e">
        <v>#N/A</v>
      </c>
      <c r="R253" s="15" t="e">
        <v>#N/A</v>
      </c>
      <c r="S253" s="15"/>
      <c r="T253" s="103"/>
      <c r="U253" s="15"/>
      <c r="V253" s="15"/>
      <c r="W253" s="15"/>
      <c r="X253" s="99"/>
      <c r="Y253" s="71">
        <f ca="1">Table24[[#This Row],[End Date]]+2-TODAY()</f>
        <v>-45530</v>
      </c>
      <c r="Z253" s="15">
        <f>IF(ISBLANK(Table24[[#This Row],[Roster Received By]]),1,0)</f>
        <v>1</v>
      </c>
      <c r="AA253" s="15">
        <f ca="1">IF(Table24[[#This Row],[Start Date]]&gt;TODAY(),1,)</f>
        <v>0</v>
      </c>
    </row>
    <row r="254" spans="1:27" s="62" customFormat="1" x14ac:dyDescent="0.25">
      <c r="A254" s="65"/>
      <c r="B254" s="116"/>
      <c r="C254" s="100" t="e">
        <v>#N/A</v>
      </c>
      <c r="D254" s="100" t="e">
        <v>#N/A</v>
      </c>
      <c r="E254" s="116"/>
      <c r="F254" s="110"/>
      <c r="G254" s="110"/>
      <c r="H254" s="102"/>
      <c r="I254" s="101"/>
      <c r="J254" s="101"/>
      <c r="K254" s="101"/>
      <c r="L254" s="101"/>
      <c r="M254" s="101"/>
      <c r="N254" s="101"/>
      <c r="O254" s="99"/>
      <c r="P254" s="99"/>
      <c r="Q254" s="15" t="e">
        <v>#N/A</v>
      </c>
      <c r="R254" s="15" t="e">
        <v>#N/A</v>
      </c>
      <c r="S254" s="15"/>
      <c r="T254" s="103"/>
      <c r="U254" s="15"/>
      <c r="V254" s="15"/>
      <c r="W254" s="15"/>
      <c r="X254" s="99"/>
      <c r="Y254" s="71">
        <f ca="1">Table24[[#This Row],[End Date]]+2-TODAY()</f>
        <v>-45530</v>
      </c>
      <c r="Z254" s="15">
        <f>IF(ISBLANK(Table24[[#This Row],[Roster Received By]]),1,0)</f>
        <v>1</v>
      </c>
      <c r="AA254" s="15">
        <f ca="1">IF(Table24[[#This Row],[Start Date]]&gt;TODAY(),1,)</f>
        <v>0</v>
      </c>
    </row>
    <row r="255" spans="1:27" s="62" customFormat="1" x14ac:dyDescent="0.25">
      <c r="B255" s="116"/>
      <c r="C255" s="100" t="e">
        <v>#N/A</v>
      </c>
      <c r="D255" s="100" t="e">
        <v>#N/A</v>
      </c>
      <c r="E255" s="116"/>
      <c r="F255" s="110"/>
      <c r="G255" s="110"/>
      <c r="H255" s="108"/>
      <c r="I255" s="108"/>
      <c r="J255" s="102"/>
      <c r="K255" s="102"/>
      <c r="L255" s="102"/>
      <c r="M255" s="102"/>
      <c r="N255" s="102"/>
      <c r="O255" s="99"/>
      <c r="P255" s="99"/>
      <c r="Q255" s="15" t="e">
        <v>#N/A</v>
      </c>
      <c r="R255" s="15" t="e">
        <v>#N/A</v>
      </c>
      <c r="S255" s="15"/>
      <c r="T255" s="103"/>
      <c r="U255" s="15"/>
      <c r="V255" s="15"/>
      <c r="W255" s="15"/>
      <c r="X255" s="99"/>
      <c r="Y255" s="71">
        <f ca="1">Table24[[#This Row],[End Date]]+2-TODAY()</f>
        <v>-45530</v>
      </c>
      <c r="Z255" s="15">
        <f>IF(ISBLANK(Table24[[#This Row],[Roster Received By]]),1,0)</f>
        <v>1</v>
      </c>
      <c r="AA255" s="15">
        <f ca="1">IF(Table24[[#This Row],[Start Date]]&gt;TODAY(),1,)</f>
        <v>0</v>
      </c>
    </row>
    <row r="256" spans="1:27" s="62" customFormat="1" x14ac:dyDescent="0.25">
      <c r="B256" s="116"/>
      <c r="C256" s="100" t="e">
        <v>#N/A</v>
      </c>
      <c r="D256" s="100" t="e">
        <v>#N/A</v>
      </c>
      <c r="E256" s="116"/>
      <c r="F256" s="110"/>
      <c r="G256" s="110"/>
      <c r="H256" s="101"/>
      <c r="I256" s="105"/>
      <c r="J256" s="102"/>
      <c r="K256" s="102"/>
      <c r="L256" s="102"/>
      <c r="M256" s="102"/>
      <c r="N256" s="102"/>
      <c r="O256" s="99"/>
      <c r="P256" s="99"/>
      <c r="Q256" s="15" t="e">
        <v>#N/A</v>
      </c>
      <c r="R256" s="15" t="e">
        <v>#N/A</v>
      </c>
      <c r="S256" s="103"/>
      <c r="T256" s="103"/>
      <c r="U256" s="15"/>
      <c r="V256" s="15"/>
      <c r="W256" s="15"/>
      <c r="X256" s="99"/>
      <c r="Y256" s="71">
        <f ca="1">Table24[[#This Row],[End Date]]+2-TODAY()</f>
        <v>-45530</v>
      </c>
      <c r="Z256" s="15">
        <f>IF(ISBLANK(Table24[[#This Row],[Roster Received By]]),1,0)</f>
        <v>1</v>
      </c>
      <c r="AA256" s="15">
        <f ca="1">IF(Table24[[#This Row],[Start Date]]&gt;TODAY(),1,)</f>
        <v>0</v>
      </c>
    </row>
    <row r="257" spans="1:27" s="62" customFormat="1" x14ac:dyDescent="0.25">
      <c r="B257" s="116"/>
      <c r="C257" s="100" t="e">
        <v>#N/A</v>
      </c>
      <c r="D257" s="100" t="e">
        <v>#N/A</v>
      </c>
      <c r="E257" s="116"/>
      <c r="F257" s="110"/>
      <c r="G257" s="110"/>
      <c r="H257" s="105"/>
      <c r="I257" s="105"/>
      <c r="J257" s="105"/>
      <c r="K257" s="105"/>
      <c r="L257" s="105"/>
      <c r="M257" s="105"/>
      <c r="N257" s="105"/>
      <c r="O257" s="99"/>
      <c r="P257" s="99"/>
      <c r="Q257" s="15" t="e">
        <v>#N/A</v>
      </c>
      <c r="R257" s="15" t="e">
        <v>#N/A</v>
      </c>
      <c r="S257" s="103"/>
      <c r="T257" s="103"/>
      <c r="U257" s="15"/>
      <c r="V257" s="15"/>
      <c r="W257" s="15"/>
      <c r="X257" s="99"/>
      <c r="Y257" s="71">
        <f ca="1">Table24[[#This Row],[End Date]]+2-TODAY()</f>
        <v>-45530</v>
      </c>
      <c r="Z257" s="15">
        <f>IF(ISBLANK(Table24[[#This Row],[Roster Received By]]),1,0)</f>
        <v>1</v>
      </c>
      <c r="AA257" s="15">
        <f ca="1">IF(Table24[[#This Row],[Start Date]]&gt;TODAY(),1,)</f>
        <v>0</v>
      </c>
    </row>
    <row r="258" spans="1:27" s="62" customFormat="1" x14ac:dyDescent="0.25">
      <c r="B258" s="116"/>
      <c r="C258" s="100" t="e">
        <v>#N/A</v>
      </c>
      <c r="D258" s="100" t="e">
        <v>#N/A</v>
      </c>
      <c r="E258" s="130"/>
      <c r="F258" s="98"/>
      <c r="G258" s="98"/>
      <c r="H258" s="101"/>
      <c r="I258" s="101"/>
      <c r="J258" s="102"/>
      <c r="K258" s="102"/>
      <c r="L258" s="102"/>
      <c r="M258" s="102"/>
      <c r="N258" s="102"/>
      <c r="O258" s="99"/>
      <c r="P258" s="99"/>
      <c r="Q258" s="15" t="e">
        <v>#N/A</v>
      </c>
      <c r="R258" s="15" t="e">
        <v>#N/A</v>
      </c>
      <c r="S258" s="15"/>
      <c r="T258" s="103"/>
      <c r="U258" s="15"/>
      <c r="V258" s="15"/>
      <c r="W258" s="103"/>
      <c r="X258" s="99"/>
      <c r="Y258" s="71">
        <f ca="1">Table24[[#This Row],[End Date]]+2-TODAY()</f>
        <v>-45530</v>
      </c>
      <c r="Z258" s="15">
        <f>IF(ISBLANK(Table24[[#This Row],[Roster Received By]]),1,0)</f>
        <v>1</v>
      </c>
      <c r="AA258" s="15">
        <f ca="1">IF(Table24[[#This Row],[Start Date]]&gt;TODAY(),1,)</f>
        <v>0</v>
      </c>
    </row>
    <row r="259" spans="1:27" s="62" customFormat="1" x14ac:dyDescent="0.25">
      <c r="B259" s="116"/>
      <c r="C259" s="100" t="e">
        <v>#N/A</v>
      </c>
      <c r="D259" s="100" t="e">
        <v>#N/A</v>
      </c>
      <c r="E259" s="99"/>
      <c r="F259" s="102"/>
      <c r="G259" s="102"/>
      <c r="H259" s="105"/>
      <c r="I259" s="105"/>
      <c r="J259" s="105"/>
      <c r="K259" s="105"/>
      <c r="L259" s="105"/>
      <c r="M259" s="105"/>
      <c r="N259" s="105"/>
      <c r="O259" s="99"/>
      <c r="P259" s="99"/>
      <c r="Q259" s="15" t="e">
        <v>#N/A</v>
      </c>
      <c r="R259" s="15" t="e">
        <v>#N/A</v>
      </c>
      <c r="S259" s="15"/>
      <c r="T259" s="103"/>
      <c r="U259" s="15"/>
      <c r="V259" s="15"/>
      <c r="W259" s="15"/>
      <c r="X259" s="99"/>
      <c r="Y259" s="71">
        <f ca="1">Table24[[#This Row],[End Date]]+2-TODAY()</f>
        <v>-45530</v>
      </c>
      <c r="Z259" s="15">
        <f>IF(ISBLANK(Table24[[#This Row],[Roster Received By]]),1,0)</f>
        <v>1</v>
      </c>
      <c r="AA259" s="15">
        <f ca="1">IF(Table24[[#This Row],[Start Date]]&gt;TODAY(),1,)</f>
        <v>0</v>
      </c>
    </row>
    <row r="260" spans="1:27" s="62" customFormat="1" x14ac:dyDescent="0.25">
      <c r="B260" s="117"/>
      <c r="C260" s="100" t="e">
        <v>#N/A</v>
      </c>
      <c r="D260" s="100" t="e">
        <v>#N/A</v>
      </c>
      <c r="E260" s="99"/>
      <c r="F260" s="102"/>
      <c r="G260" s="102"/>
      <c r="H260" s="102"/>
      <c r="I260" s="101"/>
      <c r="J260" s="101"/>
      <c r="K260" s="101"/>
      <c r="L260" s="101"/>
      <c r="M260" s="101"/>
      <c r="N260" s="101"/>
      <c r="O260" s="99"/>
      <c r="P260" s="99"/>
      <c r="Q260" s="15" t="e">
        <v>#N/A</v>
      </c>
      <c r="R260" s="15" t="e">
        <v>#N/A</v>
      </c>
      <c r="S260" s="15"/>
      <c r="T260" s="103"/>
      <c r="U260" s="15"/>
      <c r="V260" s="15"/>
      <c r="W260" s="15"/>
      <c r="X260" s="99"/>
      <c r="Y260" s="71">
        <f ca="1">Table24[[#This Row],[End Date]]+2-TODAY()</f>
        <v>-45530</v>
      </c>
      <c r="Z260" s="15">
        <f>IF(ISBLANK(Table24[[#This Row],[Roster Received By]]),1,0)</f>
        <v>1</v>
      </c>
      <c r="AA260" s="15">
        <f ca="1">IF(Table24[[#This Row],[Start Date]]&gt;TODAY(),1,)</f>
        <v>0</v>
      </c>
    </row>
    <row r="261" spans="1:27" s="62" customFormat="1" x14ac:dyDescent="0.25">
      <c r="B261" s="117"/>
      <c r="C261" s="100" t="e">
        <v>#N/A</v>
      </c>
      <c r="D261" s="100" t="e">
        <v>#N/A</v>
      </c>
      <c r="E261" s="99"/>
      <c r="F261" s="102"/>
      <c r="G261" s="102"/>
      <c r="H261" s="102"/>
      <c r="I261" s="101"/>
      <c r="J261" s="101"/>
      <c r="K261" s="101"/>
      <c r="L261" s="101"/>
      <c r="M261" s="101"/>
      <c r="N261" s="101"/>
      <c r="O261" s="99"/>
      <c r="P261" s="99"/>
      <c r="Q261" s="15" t="e">
        <v>#N/A</v>
      </c>
      <c r="R261" s="15" t="e">
        <v>#N/A</v>
      </c>
      <c r="S261" s="15"/>
      <c r="T261" s="103"/>
      <c r="U261" s="15"/>
      <c r="V261" s="15"/>
      <c r="W261" s="15"/>
      <c r="X261" s="99"/>
      <c r="Y261" s="71">
        <f ca="1">Table24[[#This Row],[End Date]]+2-TODAY()</f>
        <v>-45530</v>
      </c>
      <c r="Z261" s="15">
        <f>IF(ISBLANK(Table24[[#This Row],[Roster Received By]]),1,0)</f>
        <v>1</v>
      </c>
      <c r="AA261" s="15">
        <f ca="1">IF(Table24[[#This Row],[Start Date]]&gt;TODAY(),1,)</f>
        <v>0</v>
      </c>
    </row>
    <row r="262" spans="1:27" s="62" customFormat="1" x14ac:dyDescent="0.25">
      <c r="B262" s="116"/>
      <c r="C262" s="100" t="e">
        <v>#N/A</v>
      </c>
      <c r="D262" s="100" t="e">
        <v>#N/A</v>
      </c>
      <c r="E262" s="99"/>
      <c r="F262" s="102"/>
      <c r="G262" s="102"/>
      <c r="H262" s="102"/>
      <c r="I262" s="101"/>
      <c r="J262" s="101"/>
      <c r="K262" s="101"/>
      <c r="L262" s="101"/>
      <c r="M262" s="101"/>
      <c r="N262" s="101"/>
      <c r="O262" s="99"/>
      <c r="P262" s="99"/>
      <c r="Q262" s="15" t="e">
        <v>#N/A</v>
      </c>
      <c r="R262" s="15" t="e">
        <v>#N/A</v>
      </c>
      <c r="S262" s="15"/>
      <c r="T262" s="103"/>
      <c r="U262" s="15"/>
      <c r="V262" s="15"/>
      <c r="W262" s="15"/>
      <c r="X262" s="99"/>
      <c r="Y262" s="71">
        <f ca="1">Table24[[#This Row],[End Date]]+2-TODAY()</f>
        <v>-45530</v>
      </c>
      <c r="Z262" s="15">
        <f>IF(ISBLANK(Table24[[#This Row],[Roster Received By]]),1,0)</f>
        <v>1</v>
      </c>
      <c r="AA262" s="15">
        <f ca="1">IF(Table24[[#This Row],[Start Date]]&gt;TODAY(),1,)</f>
        <v>0</v>
      </c>
    </row>
    <row r="263" spans="1:27" s="62" customFormat="1" x14ac:dyDescent="0.25">
      <c r="B263" s="116"/>
      <c r="C263" s="100" t="e">
        <v>#N/A</v>
      </c>
      <c r="D263" s="100" t="e">
        <v>#N/A</v>
      </c>
      <c r="E263" s="99"/>
      <c r="F263" s="102"/>
      <c r="G263" s="102"/>
      <c r="H263" s="102"/>
      <c r="I263" s="101"/>
      <c r="J263" s="101"/>
      <c r="K263" s="101"/>
      <c r="L263" s="101"/>
      <c r="M263" s="101"/>
      <c r="N263" s="101"/>
      <c r="O263" s="99"/>
      <c r="P263" s="99"/>
      <c r="Q263" s="15" t="e">
        <v>#N/A</v>
      </c>
      <c r="R263" s="15" t="e">
        <v>#N/A</v>
      </c>
      <c r="S263" s="15"/>
      <c r="T263" s="103"/>
      <c r="U263" s="15"/>
      <c r="V263" s="15"/>
      <c r="W263" s="15"/>
      <c r="X263" s="99"/>
      <c r="Y263" s="71">
        <f ca="1">Table24[[#This Row],[End Date]]+2-TODAY()</f>
        <v>-45530</v>
      </c>
      <c r="Z263" s="15">
        <f>IF(ISBLANK(Table24[[#This Row],[Roster Received By]]),1,0)</f>
        <v>1</v>
      </c>
      <c r="AA263" s="15">
        <f ca="1">IF(Table24[[#This Row],[Start Date]]&gt;TODAY(),1,)</f>
        <v>0</v>
      </c>
    </row>
    <row r="264" spans="1:27" s="62" customFormat="1" x14ac:dyDescent="0.25">
      <c r="B264" s="116"/>
      <c r="C264" s="100" t="e">
        <v>#N/A</v>
      </c>
      <c r="D264" s="100" t="e">
        <v>#N/A</v>
      </c>
      <c r="E264" s="99"/>
      <c r="F264" s="102"/>
      <c r="G264" s="102"/>
      <c r="H264" s="102"/>
      <c r="I264" s="101"/>
      <c r="J264" s="101"/>
      <c r="K264" s="101"/>
      <c r="L264" s="101"/>
      <c r="M264" s="101"/>
      <c r="N264" s="101"/>
      <c r="O264" s="99"/>
      <c r="P264" s="99"/>
      <c r="Q264" s="15" t="e">
        <v>#N/A</v>
      </c>
      <c r="R264" s="15" t="e">
        <v>#N/A</v>
      </c>
      <c r="S264" s="15"/>
      <c r="T264" s="103"/>
      <c r="U264" s="15"/>
      <c r="V264" s="15"/>
      <c r="W264" s="15"/>
      <c r="X264" s="99"/>
      <c r="Y264" s="71">
        <f ca="1">Table24[[#This Row],[End Date]]+2-TODAY()</f>
        <v>-45530</v>
      </c>
      <c r="Z264" s="15">
        <f>IF(ISBLANK(Table24[[#This Row],[Roster Received By]]),1,0)</f>
        <v>1</v>
      </c>
      <c r="AA264" s="15">
        <f ca="1">IF(Table24[[#This Row],[Start Date]]&gt;TODAY(),1,)</f>
        <v>0</v>
      </c>
    </row>
    <row r="265" spans="1:27" s="62" customFormat="1" x14ac:dyDescent="0.25">
      <c r="B265" s="116"/>
      <c r="C265" s="100" t="e">
        <v>#N/A</v>
      </c>
      <c r="D265" s="100" t="e">
        <v>#N/A</v>
      </c>
      <c r="E265" s="65"/>
      <c r="F265" s="102"/>
      <c r="G265" s="102"/>
      <c r="H265" s="105"/>
      <c r="I265" s="105"/>
      <c r="J265" s="102"/>
      <c r="K265" s="102"/>
      <c r="L265" s="102"/>
      <c r="M265" s="102"/>
      <c r="N265" s="102"/>
      <c r="O265" s="99"/>
      <c r="P265" s="99"/>
      <c r="Q265" s="15" t="e">
        <v>#N/A</v>
      </c>
      <c r="R265" s="15" t="e">
        <v>#N/A</v>
      </c>
      <c r="S265" s="15"/>
      <c r="T265" s="103"/>
      <c r="U265" s="15"/>
      <c r="V265" s="15"/>
      <c r="W265" s="15"/>
      <c r="X265" s="99"/>
      <c r="Y265" s="71">
        <f ca="1">Table24[[#This Row],[End Date]]+2-TODAY()</f>
        <v>-45530</v>
      </c>
      <c r="Z265" s="15">
        <f>IF(ISBLANK(Table24[[#This Row],[Roster Received By]]),1,0)</f>
        <v>1</v>
      </c>
      <c r="AA265" s="15">
        <f ca="1">IF(Table24[[#This Row],[Start Date]]&gt;TODAY(),1,)</f>
        <v>0</v>
      </c>
    </row>
    <row r="266" spans="1:27" s="62" customFormat="1" x14ac:dyDescent="0.25">
      <c r="B266" s="116"/>
      <c r="C266" s="100" t="e">
        <v>#N/A</v>
      </c>
      <c r="D266" s="100" t="e">
        <v>#N/A</v>
      </c>
      <c r="E266" s="99"/>
      <c r="F266" s="102"/>
      <c r="G266" s="102"/>
      <c r="H266" s="102"/>
      <c r="I266" s="101"/>
      <c r="J266" s="101"/>
      <c r="K266" s="101"/>
      <c r="L266" s="101"/>
      <c r="M266" s="101"/>
      <c r="N266" s="101"/>
      <c r="O266" s="99"/>
      <c r="P266" s="99"/>
      <c r="Q266" s="15" t="e">
        <v>#N/A</v>
      </c>
      <c r="R266" s="15" t="e">
        <v>#N/A</v>
      </c>
      <c r="S266" s="15"/>
      <c r="T266" s="103"/>
      <c r="U266" s="15"/>
      <c r="V266" s="15"/>
      <c r="W266" s="15"/>
      <c r="X266" s="99"/>
      <c r="Y266" s="71">
        <f ca="1">Table24[[#This Row],[End Date]]+2-TODAY()</f>
        <v>-45530</v>
      </c>
      <c r="Z266" s="15">
        <f>IF(ISBLANK(Table24[[#This Row],[Roster Received By]]),1,0)</f>
        <v>1</v>
      </c>
      <c r="AA266" s="15">
        <f ca="1">IF(Table24[[#This Row],[Start Date]]&gt;TODAY(),1,)</f>
        <v>0</v>
      </c>
    </row>
    <row r="267" spans="1:27" s="106" customFormat="1" ht="15.75" customHeight="1" x14ac:dyDescent="0.25">
      <c r="A267" s="62"/>
      <c r="B267" s="116"/>
      <c r="C267" s="100" t="e">
        <v>#N/A</v>
      </c>
      <c r="D267" s="100" t="e">
        <v>#N/A</v>
      </c>
      <c r="E267" s="99"/>
      <c r="F267" s="102"/>
      <c r="G267" s="102"/>
      <c r="H267" s="102"/>
      <c r="I267" s="101"/>
      <c r="J267" s="101"/>
      <c r="K267" s="101"/>
      <c r="L267" s="101"/>
      <c r="M267" s="101"/>
      <c r="N267" s="101"/>
      <c r="O267" s="99"/>
      <c r="P267" s="99"/>
      <c r="Q267" s="15" t="e">
        <v>#N/A</v>
      </c>
      <c r="R267" s="15" t="e">
        <v>#N/A</v>
      </c>
      <c r="S267" s="15"/>
      <c r="T267" s="103"/>
      <c r="U267" s="15"/>
      <c r="V267" s="15"/>
      <c r="W267" s="100"/>
      <c r="X267" s="99"/>
      <c r="Y267" s="71">
        <f ca="1">Table24[[#This Row],[End Date]]+2-TODAY()</f>
        <v>-45530</v>
      </c>
      <c r="Z267" s="15">
        <f>IF(ISBLANK(Table24[[#This Row],[Roster Received By]]),1,0)</f>
        <v>1</v>
      </c>
      <c r="AA267" s="15">
        <f ca="1">IF(Table24[[#This Row],[Start Date]]&gt;TODAY(),1,)</f>
        <v>0</v>
      </c>
    </row>
    <row r="268" spans="1:27" s="106" customFormat="1" ht="14.45" customHeight="1" x14ac:dyDescent="0.25">
      <c r="A268" s="62"/>
      <c r="B268" s="116"/>
      <c r="C268" s="100" t="e">
        <v>#N/A</v>
      </c>
      <c r="D268" s="100" t="e">
        <v>#N/A</v>
      </c>
      <c r="E268" s="65"/>
      <c r="F268" s="102"/>
      <c r="G268" s="102"/>
      <c r="H268" s="108"/>
      <c r="I268" s="108"/>
      <c r="J268" s="102"/>
      <c r="K268" s="102"/>
      <c r="L268" s="102"/>
      <c r="M268" s="102"/>
      <c r="N268" s="102"/>
      <c r="O268" s="99"/>
      <c r="P268" s="99"/>
      <c r="Q268" s="15" t="e">
        <v>#N/A</v>
      </c>
      <c r="R268" s="15" t="e">
        <v>#N/A</v>
      </c>
      <c r="S268" s="15"/>
      <c r="T268" s="103"/>
      <c r="U268" s="15"/>
      <c r="V268" s="15"/>
      <c r="W268" s="15"/>
      <c r="X268" s="99"/>
      <c r="Y268" s="71">
        <f ca="1">Table24[[#This Row],[End Date]]+2-TODAY()</f>
        <v>-45530</v>
      </c>
      <c r="Z268" s="15">
        <f>IF(ISBLANK(Table24[[#This Row],[Roster Received By]]),1,0)</f>
        <v>1</v>
      </c>
      <c r="AA268" s="15">
        <f ca="1">IF(Table24[[#This Row],[Start Date]]&gt;TODAY(),1,)</f>
        <v>0</v>
      </c>
    </row>
    <row r="269" spans="1:27" s="106" customFormat="1" ht="15.75" customHeight="1" x14ac:dyDescent="0.25">
      <c r="A269" s="62"/>
      <c r="B269" s="116"/>
      <c r="C269" s="100" t="e">
        <v>#N/A</v>
      </c>
      <c r="D269" s="100" t="e">
        <v>#N/A</v>
      </c>
      <c r="E269" s="111"/>
      <c r="F269" s="67"/>
      <c r="G269" s="67"/>
      <c r="H269" s="108"/>
      <c r="I269" s="108"/>
      <c r="J269" s="102"/>
      <c r="K269" s="102"/>
      <c r="L269" s="102"/>
      <c r="M269" s="102"/>
      <c r="N269" s="102"/>
      <c r="O269" s="99"/>
      <c r="P269" s="99"/>
      <c r="Q269" s="15" t="e">
        <v>#N/A</v>
      </c>
      <c r="R269" s="15" t="e">
        <v>#N/A</v>
      </c>
      <c r="S269" s="15"/>
      <c r="T269" s="103"/>
      <c r="U269" s="15"/>
      <c r="V269" s="15"/>
      <c r="W269" s="15"/>
      <c r="X269" s="99"/>
      <c r="Y269" s="71">
        <f ca="1">Table24[[#This Row],[End Date]]+2-TODAY()</f>
        <v>-45530</v>
      </c>
      <c r="Z269" s="15">
        <f>IF(ISBLANK(Table24[[#This Row],[Roster Received By]]),1,0)</f>
        <v>1</v>
      </c>
      <c r="AA269" s="15">
        <f ca="1">IF(Table24[[#This Row],[Start Date]]&gt;TODAY(),1,)</f>
        <v>0</v>
      </c>
    </row>
    <row r="270" spans="1:27" s="106" customFormat="1" ht="15.75" customHeight="1" x14ac:dyDescent="0.25">
      <c r="A270" s="62"/>
      <c r="B270" s="116"/>
      <c r="C270" s="100" t="e">
        <v>#N/A</v>
      </c>
      <c r="D270" s="100" t="e">
        <v>#N/A</v>
      </c>
      <c r="E270" s="99"/>
      <c r="F270" s="102"/>
      <c r="G270" s="102"/>
      <c r="H270" s="105"/>
      <c r="I270" s="105"/>
      <c r="J270" s="105"/>
      <c r="K270" s="105"/>
      <c r="L270" s="105"/>
      <c r="M270" s="105"/>
      <c r="N270" s="102"/>
      <c r="O270" s="99"/>
      <c r="P270" s="99"/>
      <c r="Q270" s="15" t="e">
        <v>#N/A</v>
      </c>
      <c r="R270" s="15" t="e">
        <v>#N/A</v>
      </c>
      <c r="S270" s="15"/>
      <c r="T270" s="103"/>
      <c r="U270" s="15"/>
      <c r="V270" s="15"/>
      <c r="W270" s="15"/>
      <c r="X270" s="99"/>
      <c r="Y270" s="71">
        <f ca="1">Table24[[#This Row],[End Date]]+2-TODAY()</f>
        <v>-45530</v>
      </c>
      <c r="Z270" s="15">
        <f>IF(ISBLANK(Table24[[#This Row],[Roster Received By]]),1,0)</f>
        <v>1</v>
      </c>
      <c r="AA270" s="15">
        <f ca="1">IF(Table24[[#This Row],[Start Date]]&gt;TODAY(),1,)</f>
        <v>0</v>
      </c>
    </row>
    <row r="271" spans="1:27" s="106" customFormat="1" ht="15.75" customHeight="1" x14ac:dyDescent="0.25">
      <c r="A271" s="65"/>
      <c r="B271" s="116"/>
      <c r="C271" s="100" t="e">
        <v>#N/A</v>
      </c>
      <c r="D271" s="100" t="e">
        <v>#N/A</v>
      </c>
      <c r="E271" s="99"/>
      <c r="F271" s="102"/>
      <c r="G271" s="102"/>
      <c r="H271" s="108"/>
      <c r="I271" s="108"/>
      <c r="J271" s="102"/>
      <c r="K271" s="102"/>
      <c r="L271" s="102"/>
      <c r="M271" s="102"/>
      <c r="N271" s="102"/>
      <c r="O271" s="99"/>
      <c r="P271" s="99"/>
      <c r="Q271" s="15" t="e">
        <v>#N/A</v>
      </c>
      <c r="R271" s="15" t="e">
        <v>#N/A</v>
      </c>
      <c r="S271" s="15"/>
      <c r="T271" s="103"/>
      <c r="U271" s="15"/>
      <c r="V271" s="15"/>
      <c r="W271" s="15"/>
      <c r="X271" s="99"/>
      <c r="Y271" s="71">
        <f ca="1">Table24[[#This Row],[End Date]]+2-TODAY()</f>
        <v>-45530</v>
      </c>
      <c r="Z271" s="15">
        <f>IF(ISBLANK(Table24[[#This Row],[Roster Received By]]),1,0)</f>
        <v>1</v>
      </c>
      <c r="AA271" s="15">
        <f ca="1">IF(Table24[[#This Row],[Start Date]]&gt;TODAY(),1,)</f>
        <v>0</v>
      </c>
    </row>
    <row r="272" spans="1:27" s="106" customFormat="1" ht="15.75" customHeight="1" x14ac:dyDescent="0.25">
      <c r="A272" s="62"/>
      <c r="B272" s="116"/>
      <c r="C272" s="100" t="e">
        <v>#N/A</v>
      </c>
      <c r="D272" s="100" t="e">
        <v>#N/A</v>
      </c>
      <c r="E272" s="65"/>
      <c r="F272" s="102"/>
      <c r="G272" s="102"/>
      <c r="H272" s="105"/>
      <c r="I272" s="105"/>
      <c r="J272" s="102"/>
      <c r="K272" s="102"/>
      <c r="L272" s="102"/>
      <c r="M272" s="102"/>
      <c r="N272" s="102"/>
      <c r="O272" s="99"/>
      <c r="P272" s="99"/>
      <c r="Q272" s="15" t="e">
        <v>#N/A</v>
      </c>
      <c r="R272" s="15" t="e">
        <v>#N/A</v>
      </c>
      <c r="S272" s="15"/>
      <c r="T272" s="103"/>
      <c r="U272" s="15"/>
      <c r="V272" s="15"/>
      <c r="W272" s="15"/>
      <c r="X272" s="99"/>
      <c r="Y272" s="71">
        <f ca="1">Table24[[#This Row],[End Date]]+2-TODAY()</f>
        <v>-45530</v>
      </c>
      <c r="Z272" s="15">
        <f>IF(ISBLANK(Table24[[#This Row],[Roster Received By]]),1,0)</f>
        <v>1</v>
      </c>
      <c r="AA272" s="15">
        <f ca="1">IF(Table24[[#This Row],[Start Date]]&gt;TODAY(),1,)</f>
        <v>0</v>
      </c>
    </row>
    <row r="273" spans="1:27" s="106" customFormat="1" ht="15.75" customHeight="1" x14ac:dyDescent="0.25">
      <c r="A273" s="99"/>
      <c r="B273" s="116"/>
      <c r="C273" s="100" t="e">
        <v>#N/A</v>
      </c>
      <c r="D273" s="100" t="e">
        <v>#N/A</v>
      </c>
      <c r="E273" s="99"/>
      <c r="F273" s="102"/>
      <c r="G273" s="102"/>
      <c r="H273" s="105"/>
      <c r="I273" s="105"/>
      <c r="J273" s="102"/>
      <c r="K273" s="102"/>
      <c r="L273" s="102"/>
      <c r="M273" s="102"/>
      <c r="N273" s="102"/>
      <c r="O273" s="99"/>
      <c r="P273" s="99"/>
      <c r="Q273" s="15" t="e">
        <v>#N/A</v>
      </c>
      <c r="R273" s="15" t="e">
        <v>#N/A</v>
      </c>
      <c r="S273" s="15"/>
      <c r="T273" s="103"/>
      <c r="U273" s="15"/>
      <c r="V273" s="15"/>
      <c r="W273" s="15"/>
      <c r="X273" s="99"/>
      <c r="Y273" s="71">
        <f ca="1">Table24[[#This Row],[End Date]]+2-TODAY()</f>
        <v>-45530</v>
      </c>
      <c r="Z273" s="15">
        <f>IF(ISBLANK(Table24[[#This Row],[Roster Received By]]),1,0)</f>
        <v>1</v>
      </c>
      <c r="AA273" s="15">
        <f ca="1">IF(Table24[[#This Row],[Start Date]]&gt;TODAY(),1,)</f>
        <v>0</v>
      </c>
    </row>
    <row r="274" spans="1:27" s="106" customFormat="1" ht="15.75" customHeight="1" x14ac:dyDescent="0.25">
      <c r="A274" s="62"/>
      <c r="B274" s="116"/>
      <c r="C274" s="100" t="e">
        <v>#N/A</v>
      </c>
      <c r="D274" s="100" t="e">
        <v>#N/A</v>
      </c>
      <c r="E274" s="65"/>
      <c r="F274" s="102"/>
      <c r="G274" s="102"/>
      <c r="H274" s="105"/>
      <c r="I274" s="101"/>
      <c r="J274" s="101"/>
      <c r="K274" s="101"/>
      <c r="L274" s="101"/>
      <c r="M274" s="101"/>
      <c r="N274" s="101"/>
      <c r="O274" s="99"/>
      <c r="P274" s="99"/>
      <c r="Q274" s="15" t="e">
        <v>#N/A</v>
      </c>
      <c r="R274" s="15" t="e">
        <v>#N/A</v>
      </c>
      <c r="S274" s="15"/>
      <c r="T274" s="103"/>
      <c r="U274" s="15"/>
      <c r="V274" s="15"/>
      <c r="W274" s="15"/>
      <c r="X274" s="99"/>
      <c r="Y274" s="71">
        <f ca="1">Table24[[#This Row],[End Date]]+2-TODAY()</f>
        <v>-45530</v>
      </c>
      <c r="Z274" s="15">
        <f>IF(ISBLANK(Table24[[#This Row],[Roster Received By]]),1,0)</f>
        <v>1</v>
      </c>
      <c r="AA274" s="15">
        <f ca="1">IF(Table24[[#This Row],[Start Date]]&gt;TODAY(),1,)</f>
        <v>0</v>
      </c>
    </row>
    <row r="275" spans="1:27" s="106" customFormat="1" ht="15.75" customHeight="1" x14ac:dyDescent="0.25">
      <c r="A275" s="99"/>
      <c r="B275" s="116"/>
      <c r="C275" s="100" t="e">
        <v>#N/A</v>
      </c>
      <c r="D275" s="100" t="e">
        <v>#N/A</v>
      </c>
      <c r="E275" s="99"/>
      <c r="F275" s="102"/>
      <c r="G275" s="102"/>
      <c r="H275" s="105"/>
      <c r="I275" s="105"/>
      <c r="J275" s="102"/>
      <c r="K275" s="102"/>
      <c r="L275" s="102"/>
      <c r="M275" s="102"/>
      <c r="N275" s="102"/>
      <c r="O275" s="99"/>
      <c r="P275" s="99"/>
      <c r="Q275" s="15" t="e">
        <v>#N/A</v>
      </c>
      <c r="R275" s="15" t="e">
        <v>#N/A</v>
      </c>
      <c r="S275" s="15"/>
      <c r="T275" s="103"/>
      <c r="U275" s="15"/>
      <c r="V275" s="15"/>
      <c r="W275" s="100"/>
      <c r="X275" s="99"/>
      <c r="Y275" s="71">
        <f ca="1">Table24[[#This Row],[End Date]]+2-TODAY()</f>
        <v>-45530</v>
      </c>
      <c r="Z275" s="15">
        <f>IF(ISBLANK(Table24[[#This Row],[Roster Received By]]),1,0)</f>
        <v>1</v>
      </c>
      <c r="AA275" s="15">
        <f ca="1">IF(Table24[[#This Row],[Start Date]]&gt;TODAY(),1,)</f>
        <v>0</v>
      </c>
    </row>
    <row r="276" spans="1:27" s="106" customFormat="1" ht="15.75" customHeight="1" x14ac:dyDescent="0.25">
      <c r="A276" s="62"/>
      <c r="B276" s="116"/>
      <c r="C276" s="100" t="e">
        <v>#N/A</v>
      </c>
      <c r="D276" s="100" t="e">
        <v>#N/A</v>
      </c>
      <c r="E276" s="65"/>
      <c r="F276" s="67"/>
      <c r="G276" s="102"/>
      <c r="H276" s="105"/>
      <c r="I276" s="105"/>
      <c r="J276" s="102"/>
      <c r="K276" s="102"/>
      <c r="L276" s="102"/>
      <c r="M276" s="102"/>
      <c r="N276" s="102"/>
      <c r="O276" s="99"/>
      <c r="P276" s="99"/>
      <c r="Q276" s="15" t="e">
        <v>#N/A</v>
      </c>
      <c r="R276" s="15" t="e">
        <v>#N/A</v>
      </c>
      <c r="S276" s="15"/>
      <c r="T276" s="103"/>
      <c r="U276" s="15"/>
      <c r="V276" s="15"/>
      <c r="W276" s="15"/>
      <c r="X276" s="99"/>
      <c r="Y276" s="71">
        <f ca="1">Table24[[#This Row],[End Date]]+2-TODAY()</f>
        <v>-45530</v>
      </c>
      <c r="Z276" s="15">
        <f>IF(ISBLANK(Table24[[#This Row],[Roster Received By]]),1,0)</f>
        <v>1</v>
      </c>
      <c r="AA276" s="15">
        <f ca="1">IF(Table24[[#This Row],[Start Date]]&gt;TODAY(),1,)</f>
        <v>0</v>
      </c>
    </row>
    <row r="277" spans="1:27" s="106" customFormat="1" ht="15.75" customHeight="1" x14ac:dyDescent="0.25">
      <c r="A277" s="99"/>
      <c r="B277" s="116"/>
      <c r="C277" s="100" t="e">
        <v>#N/A</v>
      </c>
      <c r="D277" s="100" t="e">
        <v>#N/A</v>
      </c>
      <c r="E277" s="99"/>
      <c r="F277" s="102"/>
      <c r="G277" s="102"/>
      <c r="H277" s="102"/>
      <c r="I277" s="101"/>
      <c r="J277" s="101"/>
      <c r="K277" s="101"/>
      <c r="L277" s="101"/>
      <c r="M277" s="101"/>
      <c r="N277" s="101"/>
      <c r="O277" s="99"/>
      <c r="P277" s="99"/>
      <c r="Q277" s="15" t="e">
        <v>#N/A</v>
      </c>
      <c r="R277" s="15" t="e">
        <v>#N/A</v>
      </c>
      <c r="S277" s="15"/>
      <c r="T277" s="103"/>
      <c r="U277" s="15"/>
      <c r="V277" s="15"/>
      <c r="W277" s="15"/>
      <c r="X277" s="99"/>
      <c r="Y277" s="71">
        <f ca="1">Table24[[#This Row],[End Date]]+2-TODAY()</f>
        <v>-45530</v>
      </c>
      <c r="Z277" s="15">
        <f>IF(ISBLANK(Table24[[#This Row],[Roster Received By]]),1,0)</f>
        <v>1</v>
      </c>
      <c r="AA277" s="15">
        <f ca="1">IF(Table24[[#This Row],[Start Date]]&gt;TODAY(),1,)</f>
        <v>0</v>
      </c>
    </row>
    <row r="278" spans="1:27" s="106" customFormat="1" ht="15.75" customHeight="1" x14ac:dyDescent="0.25">
      <c r="A278" s="62"/>
      <c r="B278" s="117"/>
      <c r="C278" s="100" t="e">
        <v>#N/A</v>
      </c>
      <c r="D278" s="100" t="e">
        <v>#N/A</v>
      </c>
      <c r="E278" s="99"/>
      <c r="F278" s="102"/>
      <c r="G278" s="102"/>
      <c r="H278" s="102"/>
      <c r="I278" s="101"/>
      <c r="J278" s="101"/>
      <c r="K278" s="101"/>
      <c r="L278" s="101"/>
      <c r="M278" s="101"/>
      <c r="N278" s="101"/>
      <c r="O278" s="99"/>
      <c r="P278" s="99"/>
      <c r="Q278" s="15" t="e">
        <v>#N/A</v>
      </c>
      <c r="R278" s="15" t="e">
        <v>#N/A</v>
      </c>
      <c r="S278" s="15"/>
      <c r="T278" s="103"/>
      <c r="U278" s="15"/>
      <c r="V278" s="15"/>
      <c r="W278" s="15"/>
      <c r="X278" s="99"/>
      <c r="Y278" s="71">
        <f ca="1">Table24[[#This Row],[End Date]]+2-TODAY()</f>
        <v>-45530</v>
      </c>
      <c r="Z278" s="15">
        <f>IF(ISBLANK(Table24[[#This Row],[Roster Received By]]),1,0)</f>
        <v>1</v>
      </c>
      <c r="AA278" s="15">
        <f ca="1">IF(Table24[[#This Row],[Start Date]]&gt;TODAY(),1,)</f>
        <v>0</v>
      </c>
    </row>
    <row r="279" spans="1:27" s="106" customFormat="1" ht="15.75" customHeight="1" x14ac:dyDescent="0.25">
      <c r="A279" s="62"/>
      <c r="B279" s="117"/>
      <c r="C279" s="100" t="e">
        <v>#N/A</v>
      </c>
      <c r="D279" s="100" t="e">
        <v>#N/A</v>
      </c>
      <c r="E279" s="99"/>
      <c r="F279" s="102"/>
      <c r="G279" s="102"/>
      <c r="H279" s="102"/>
      <c r="I279" s="101"/>
      <c r="J279" s="101"/>
      <c r="K279" s="101"/>
      <c r="L279" s="101"/>
      <c r="M279" s="101"/>
      <c r="N279" s="101"/>
      <c r="O279" s="99"/>
      <c r="P279" s="99"/>
      <c r="Q279" s="15" t="e">
        <v>#N/A</v>
      </c>
      <c r="R279" s="15" t="e">
        <v>#N/A</v>
      </c>
      <c r="S279" s="15"/>
      <c r="T279" s="103"/>
      <c r="U279" s="15"/>
      <c r="V279" s="15"/>
      <c r="W279" s="107"/>
      <c r="X279" s="99"/>
      <c r="Y279" s="71">
        <f ca="1">Table24[[#This Row],[End Date]]+2-TODAY()</f>
        <v>-45530</v>
      </c>
      <c r="Z279" s="15">
        <f>IF(ISBLANK(Table24[[#This Row],[Roster Received By]]),1,0)</f>
        <v>1</v>
      </c>
      <c r="AA279" s="15">
        <f ca="1">IF(Table24[[#This Row],[Start Date]]&gt;TODAY(),1,)</f>
        <v>0</v>
      </c>
    </row>
    <row r="280" spans="1:27" s="106" customFormat="1" ht="15.75" customHeight="1" x14ac:dyDescent="0.25">
      <c r="A280" s="62"/>
      <c r="B280" s="117"/>
      <c r="C280" s="100" t="e">
        <v>#N/A</v>
      </c>
      <c r="D280" s="100" t="e">
        <v>#N/A</v>
      </c>
      <c r="E280" s="99"/>
      <c r="F280" s="102"/>
      <c r="G280" s="102"/>
      <c r="H280" s="105"/>
      <c r="I280" s="105"/>
      <c r="J280" s="105"/>
      <c r="K280" s="105"/>
      <c r="L280" s="105"/>
      <c r="M280" s="105"/>
      <c r="N280" s="102"/>
      <c r="O280" s="99"/>
      <c r="P280" s="99"/>
      <c r="Q280" s="15" t="e">
        <v>#N/A</v>
      </c>
      <c r="R280" s="15" t="e">
        <v>#N/A</v>
      </c>
      <c r="S280" s="15"/>
      <c r="T280" s="103"/>
      <c r="U280" s="15"/>
      <c r="V280" s="15"/>
      <c r="W280" s="15"/>
      <c r="X280" s="99"/>
      <c r="Y280" s="71">
        <f ca="1">Table24[[#This Row],[End Date]]+2-TODAY()</f>
        <v>-45530</v>
      </c>
      <c r="Z280" s="15">
        <f>IF(ISBLANK(Table24[[#This Row],[Roster Received By]]),1,0)</f>
        <v>1</v>
      </c>
      <c r="AA280" s="15">
        <f ca="1">IF(Table24[[#This Row],[Start Date]]&gt;TODAY(),1,)</f>
        <v>0</v>
      </c>
    </row>
    <row r="281" spans="1:27" s="62" customFormat="1" x14ac:dyDescent="0.25">
      <c r="B281" s="116"/>
      <c r="C281" s="100" t="e">
        <v>#N/A</v>
      </c>
      <c r="D281" s="100" t="e">
        <v>#N/A</v>
      </c>
      <c r="E281" s="99"/>
      <c r="F281" s="102"/>
      <c r="G281" s="102"/>
      <c r="H281" s="102"/>
      <c r="I281" s="101"/>
      <c r="J281" s="101"/>
      <c r="K281" s="101"/>
      <c r="L281" s="101"/>
      <c r="M281" s="101"/>
      <c r="N281" s="101"/>
      <c r="O281" s="99"/>
      <c r="P281" s="99"/>
      <c r="Q281" s="15" t="e">
        <v>#N/A</v>
      </c>
      <c r="R281" s="15" t="e">
        <v>#N/A</v>
      </c>
      <c r="S281" s="15"/>
      <c r="T281" s="103"/>
      <c r="U281" s="15"/>
      <c r="V281" s="15"/>
      <c r="W281" s="15"/>
      <c r="X281" s="99"/>
      <c r="Y281" s="71">
        <f ca="1">Table24[[#This Row],[End Date]]+2-TODAY()</f>
        <v>-45530</v>
      </c>
      <c r="Z281" s="15">
        <f>IF(ISBLANK(Table24[[#This Row],[Roster Received By]]),1,0)</f>
        <v>1</v>
      </c>
      <c r="AA281" s="15">
        <f ca="1">IF(Table24[[#This Row],[Start Date]]&gt;TODAY(),1,)</f>
        <v>0</v>
      </c>
    </row>
    <row r="282" spans="1:27" s="62" customFormat="1" x14ac:dyDescent="0.25">
      <c r="B282" s="116"/>
      <c r="C282" s="100" t="e">
        <v>#N/A</v>
      </c>
      <c r="D282" s="100" t="e">
        <v>#N/A</v>
      </c>
      <c r="E282" s="99"/>
      <c r="F282" s="102"/>
      <c r="G282" s="102"/>
      <c r="H282" s="102"/>
      <c r="I282" s="101"/>
      <c r="J282" s="101"/>
      <c r="K282" s="101"/>
      <c r="L282" s="101"/>
      <c r="M282" s="101"/>
      <c r="N282" s="101"/>
      <c r="O282" s="99"/>
      <c r="P282" s="99"/>
      <c r="Q282" s="15" t="e">
        <v>#N/A</v>
      </c>
      <c r="R282" s="15" t="e">
        <v>#N/A</v>
      </c>
      <c r="S282" s="15"/>
      <c r="T282" s="103"/>
      <c r="U282" s="15"/>
      <c r="V282" s="15"/>
      <c r="W282" s="15"/>
      <c r="X282" s="99"/>
      <c r="Y282" s="71">
        <f ca="1">Table24[[#This Row],[End Date]]+2-TODAY()</f>
        <v>-45530</v>
      </c>
      <c r="Z282" s="15">
        <f>IF(ISBLANK(Table24[[#This Row],[Roster Received By]]),1,0)</f>
        <v>1</v>
      </c>
      <c r="AA282" s="15">
        <f ca="1">IF(Table24[[#This Row],[Start Date]]&gt;TODAY(),1,)</f>
        <v>0</v>
      </c>
    </row>
    <row r="283" spans="1:27" s="62" customFormat="1" x14ac:dyDescent="0.25">
      <c r="B283" s="117"/>
      <c r="C283" s="100" t="e">
        <v>#N/A</v>
      </c>
      <c r="D283" s="100" t="e">
        <v>#N/A</v>
      </c>
      <c r="E283" s="99"/>
      <c r="F283" s="102"/>
      <c r="G283" s="102"/>
      <c r="H283" s="102"/>
      <c r="I283" s="101"/>
      <c r="J283" s="101"/>
      <c r="K283" s="101"/>
      <c r="L283" s="101"/>
      <c r="M283" s="101"/>
      <c r="N283" s="101"/>
      <c r="O283" s="99"/>
      <c r="P283" s="99"/>
      <c r="Q283" s="15" t="e">
        <v>#N/A</v>
      </c>
      <c r="R283" s="15" t="e">
        <v>#N/A</v>
      </c>
      <c r="S283" s="15"/>
      <c r="T283" s="103"/>
      <c r="U283" s="15"/>
      <c r="V283" s="15"/>
      <c r="W283" s="15"/>
      <c r="X283" s="99"/>
      <c r="Y283" s="71">
        <f ca="1">Table24[[#This Row],[End Date]]+2-TODAY()</f>
        <v>-45530</v>
      </c>
      <c r="Z283" s="15">
        <f>IF(ISBLANK(Table24[[#This Row],[Roster Received By]]),1,0)</f>
        <v>1</v>
      </c>
      <c r="AA283" s="15">
        <f ca="1">IF(Table24[[#This Row],[Start Date]]&gt;TODAY(),1,)</f>
        <v>0</v>
      </c>
    </row>
    <row r="284" spans="1:27" s="62" customFormat="1" x14ac:dyDescent="0.25">
      <c r="B284" s="117"/>
      <c r="C284" s="100" t="e">
        <v>#N/A</v>
      </c>
      <c r="D284" s="100" t="e">
        <v>#N/A</v>
      </c>
      <c r="E284" s="99"/>
      <c r="F284" s="67"/>
      <c r="G284" s="67"/>
      <c r="H284" s="67"/>
      <c r="I284" s="101"/>
      <c r="J284" s="101"/>
      <c r="K284" s="101"/>
      <c r="L284" s="101"/>
      <c r="M284" s="101"/>
      <c r="N284" s="101"/>
      <c r="O284" s="99"/>
      <c r="P284" s="99"/>
      <c r="Q284" s="15" t="e">
        <v>#N/A</v>
      </c>
      <c r="R284" s="15" t="e">
        <v>#N/A</v>
      </c>
      <c r="S284" s="15"/>
      <c r="T284" s="103"/>
      <c r="U284" s="15"/>
      <c r="V284" s="15"/>
      <c r="W284" s="103"/>
      <c r="X284" s="99"/>
      <c r="Y284" s="71">
        <f ca="1">Table24[[#This Row],[End Date]]+2-TODAY()</f>
        <v>-45530</v>
      </c>
      <c r="Z284" s="15">
        <f>IF(ISBLANK(Table24[[#This Row],[Roster Received By]]),1,0)</f>
        <v>1</v>
      </c>
      <c r="AA284" s="15">
        <f ca="1">IF(Table24[[#This Row],[Start Date]]&gt;TODAY(),1,)</f>
        <v>0</v>
      </c>
    </row>
    <row r="285" spans="1:27" s="62" customFormat="1" x14ac:dyDescent="0.25">
      <c r="B285" s="116"/>
      <c r="C285" s="100" t="e">
        <v>#N/A</v>
      </c>
      <c r="D285" s="100" t="e">
        <v>#N/A</v>
      </c>
      <c r="E285" s="99"/>
      <c r="F285" s="102"/>
      <c r="G285" s="102"/>
      <c r="H285" s="105"/>
      <c r="I285" s="105"/>
      <c r="J285" s="105"/>
      <c r="K285" s="105"/>
      <c r="L285" s="105"/>
      <c r="M285" s="105"/>
      <c r="N285" s="105"/>
      <c r="O285" s="99"/>
      <c r="P285" s="99"/>
      <c r="Q285" s="15" t="e">
        <v>#N/A</v>
      </c>
      <c r="R285" s="15" t="e">
        <v>#N/A</v>
      </c>
      <c r="S285" s="15"/>
      <c r="T285" s="103"/>
      <c r="U285" s="15"/>
      <c r="V285" s="15"/>
      <c r="W285" s="15"/>
      <c r="X285" s="99"/>
      <c r="Y285" s="71">
        <f ca="1">Table24[[#This Row],[End Date]]+2-TODAY()</f>
        <v>-45530</v>
      </c>
      <c r="Z285" s="15">
        <f>IF(ISBLANK(Table24[[#This Row],[Roster Received By]]),1,0)</f>
        <v>1</v>
      </c>
      <c r="AA285" s="15">
        <f ca="1">IF(Table24[[#This Row],[Start Date]]&gt;TODAY(),1,)</f>
        <v>0</v>
      </c>
    </row>
    <row r="286" spans="1:27" s="62" customFormat="1" x14ac:dyDescent="0.25">
      <c r="B286" s="116"/>
      <c r="C286" s="100" t="e">
        <v>#N/A</v>
      </c>
      <c r="D286" s="100" t="e">
        <v>#N/A</v>
      </c>
      <c r="E286" s="99"/>
      <c r="F286" s="67"/>
      <c r="G286" s="102"/>
      <c r="H286" s="102"/>
      <c r="I286" s="101"/>
      <c r="J286" s="101"/>
      <c r="K286" s="101"/>
      <c r="L286" s="101"/>
      <c r="M286" s="101"/>
      <c r="N286" s="101"/>
      <c r="O286" s="99"/>
      <c r="P286" s="99"/>
      <c r="Q286" s="15" t="e">
        <v>#N/A</v>
      </c>
      <c r="R286" s="15" t="e">
        <v>#N/A</v>
      </c>
      <c r="S286" s="15"/>
      <c r="T286" s="103"/>
      <c r="U286" s="15"/>
      <c r="V286" s="15"/>
      <c r="W286" s="15"/>
      <c r="X286" s="99"/>
      <c r="Y286" s="71">
        <f ca="1">Table24[[#This Row],[End Date]]+2-TODAY()</f>
        <v>-45530</v>
      </c>
      <c r="Z286" s="15">
        <f>IF(ISBLANK(Table24[[#This Row],[Roster Received By]]),1,0)</f>
        <v>1</v>
      </c>
      <c r="AA286" s="15">
        <f ca="1">IF(Table24[[#This Row],[Start Date]]&gt;TODAY(),1,)</f>
        <v>0</v>
      </c>
    </row>
    <row r="287" spans="1:27" s="62" customFormat="1" x14ac:dyDescent="0.25">
      <c r="B287" s="117"/>
      <c r="C287" s="100" t="e">
        <v>#N/A</v>
      </c>
      <c r="D287" s="100" t="e">
        <v>#N/A</v>
      </c>
      <c r="E287" s="99"/>
      <c r="F287" s="102"/>
      <c r="G287" s="102"/>
      <c r="H287" s="105"/>
      <c r="I287" s="105"/>
      <c r="J287" s="102"/>
      <c r="K287" s="102"/>
      <c r="L287" s="102"/>
      <c r="M287" s="102"/>
      <c r="N287" s="102"/>
      <c r="O287" s="99"/>
      <c r="P287" s="99"/>
      <c r="Q287" s="15" t="e">
        <v>#N/A</v>
      </c>
      <c r="R287" s="15" t="e">
        <v>#N/A</v>
      </c>
      <c r="S287" s="15"/>
      <c r="T287" s="103"/>
      <c r="U287" s="15"/>
      <c r="V287" s="15"/>
      <c r="W287" s="15"/>
      <c r="X287" s="99"/>
      <c r="Y287" s="71">
        <f ca="1">Table24[[#This Row],[End Date]]+2-TODAY()</f>
        <v>-45530</v>
      </c>
      <c r="Z287" s="15">
        <f>IF(ISBLANK(Table24[[#This Row],[Roster Received By]]),1,0)</f>
        <v>1</v>
      </c>
      <c r="AA287" s="15">
        <f ca="1">IF(Table24[[#This Row],[Start Date]]&gt;TODAY(),1,)</f>
        <v>0</v>
      </c>
    </row>
    <row r="288" spans="1:27" s="62" customFormat="1" x14ac:dyDescent="0.25">
      <c r="A288" s="65"/>
      <c r="B288" s="117"/>
      <c r="C288" s="100" t="e">
        <v>#N/A</v>
      </c>
      <c r="D288" s="100" t="e">
        <v>#N/A</v>
      </c>
      <c r="E288" s="65"/>
      <c r="F288" s="102"/>
      <c r="G288" s="102"/>
      <c r="H288" s="105"/>
      <c r="I288" s="105"/>
      <c r="J288" s="102"/>
      <c r="K288" s="102"/>
      <c r="L288" s="102"/>
      <c r="M288" s="102"/>
      <c r="N288" s="102"/>
      <c r="O288" s="99"/>
      <c r="P288" s="99"/>
      <c r="Q288" s="15" t="e">
        <v>#N/A</v>
      </c>
      <c r="R288" s="15" t="e">
        <v>#N/A</v>
      </c>
      <c r="S288" s="15"/>
      <c r="T288" s="103"/>
      <c r="U288" s="15"/>
      <c r="V288" s="15"/>
      <c r="W288" s="15"/>
      <c r="X288" s="99"/>
      <c r="Y288" s="71">
        <f ca="1">Table24[[#This Row],[End Date]]+2-TODAY()</f>
        <v>-45530</v>
      </c>
      <c r="Z288" s="15">
        <f>IF(ISBLANK(Table24[[#This Row],[Roster Received By]]),1,0)</f>
        <v>1</v>
      </c>
      <c r="AA288" s="15">
        <f ca="1">IF(Table24[[#This Row],[Start Date]]&gt;TODAY(),1,)</f>
        <v>0</v>
      </c>
    </row>
    <row r="289" spans="2:27" s="62" customFormat="1" x14ac:dyDescent="0.25">
      <c r="B289" s="116"/>
      <c r="C289" s="100" t="e">
        <v>#N/A</v>
      </c>
      <c r="D289" s="100" t="e">
        <v>#N/A</v>
      </c>
      <c r="E289" s="99"/>
      <c r="F289" s="102"/>
      <c r="G289" s="102"/>
      <c r="H289" s="105"/>
      <c r="I289" s="105"/>
      <c r="J289" s="105"/>
      <c r="K289" s="105"/>
      <c r="L289" s="105"/>
      <c r="M289" s="105"/>
      <c r="N289" s="102"/>
      <c r="O289" s="99"/>
      <c r="P289" s="99"/>
      <c r="Q289" s="15" t="e">
        <v>#N/A</v>
      </c>
      <c r="R289" s="15" t="e">
        <v>#N/A</v>
      </c>
      <c r="S289" s="15"/>
      <c r="T289" s="103"/>
      <c r="U289" s="15"/>
      <c r="V289" s="15"/>
      <c r="W289" s="15"/>
      <c r="X289" s="99"/>
      <c r="Y289" s="71">
        <f ca="1">Table24[[#This Row],[End Date]]+2-TODAY()</f>
        <v>-45530</v>
      </c>
      <c r="Z289" s="15">
        <f>IF(ISBLANK(Table24[[#This Row],[Roster Received By]]),1,0)</f>
        <v>1</v>
      </c>
      <c r="AA289" s="15">
        <f ca="1">IF(Table24[[#This Row],[Start Date]]&gt;TODAY(),1,)</f>
        <v>0</v>
      </c>
    </row>
    <row r="290" spans="2:27" s="62" customFormat="1" x14ac:dyDescent="0.25">
      <c r="B290" s="116"/>
      <c r="C290" s="100" t="e">
        <v>#N/A</v>
      </c>
      <c r="D290" s="100" t="e">
        <v>#N/A</v>
      </c>
      <c r="E290" s="99"/>
      <c r="F290" s="102"/>
      <c r="G290" s="102"/>
      <c r="H290" s="105"/>
      <c r="I290" s="105"/>
      <c r="J290" s="105"/>
      <c r="K290" s="105"/>
      <c r="L290" s="105"/>
      <c r="M290" s="105"/>
      <c r="N290" s="102"/>
      <c r="O290" s="99"/>
      <c r="P290" s="99"/>
      <c r="Q290" s="15" t="e">
        <v>#N/A</v>
      </c>
      <c r="R290" s="15" t="e">
        <v>#N/A</v>
      </c>
      <c r="S290" s="15"/>
      <c r="T290" s="103"/>
      <c r="U290" s="15"/>
      <c r="V290" s="15"/>
      <c r="W290" s="100"/>
      <c r="X290" s="99"/>
      <c r="Y290" s="71">
        <f ca="1">Table24[[#This Row],[End Date]]+2-TODAY()</f>
        <v>-45530</v>
      </c>
      <c r="Z290" s="15">
        <f>IF(ISBLANK(Table24[[#This Row],[Roster Received By]]),1,0)</f>
        <v>1</v>
      </c>
      <c r="AA290" s="15">
        <f ca="1">IF(Table24[[#This Row],[Start Date]]&gt;TODAY(),1,)</f>
        <v>0</v>
      </c>
    </row>
    <row r="291" spans="2:27" s="62" customFormat="1" x14ac:dyDescent="0.25">
      <c r="B291" s="116"/>
      <c r="C291" s="100" t="e">
        <v>#N/A</v>
      </c>
      <c r="D291" s="100" t="e">
        <v>#N/A</v>
      </c>
      <c r="E291" s="99"/>
      <c r="F291" s="102"/>
      <c r="G291" s="102"/>
      <c r="H291" s="102"/>
      <c r="I291" s="101"/>
      <c r="J291" s="101"/>
      <c r="K291" s="101"/>
      <c r="L291" s="101"/>
      <c r="M291" s="101"/>
      <c r="N291" s="101"/>
      <c r="O291" s="99"/>
      <c r="P291" s="99"/>
      <c r="Q291" s="15" t="e">
        <v>#N/A</v>
      </c>
      <c r="R291" s="15" t="e">
        <v>#N/A</v>
      </c>
      <c r="S291" s="15"/>
      <c r="T291" s="103"/>
      <c r="U291" s="15"/>
      <c r="V291" s="15"/>
      <c r="W291" s="15"/>
      <c r="X291" s="99"/>
      <c r="Y291" s="71">
        <f ca="1">Table24[[#This Row],[End Date]]+2-TODAY()</f>
        <v>-45530</v>
      </c>
      <c r="Z291" s="15">
        <f>IF(ISBLANK(Table24[[#This Row],[Roster Received By]]),1,0)</f>
        <v>1</v>
      </c>
      <c r="AA291" s="15">
        <f ca="1">IF(Table24[[#This Row],[Start Date]]&gt;TODAY(),1,)</f>
        <v>0</v>
      </c>
    </row>
    <row r="292" spans="2:27" s="62" customFormat="1" x14ac:dyDescent="0.25">
      <c r="B292" s="116"/>
      <c r="C292" s="100" t="e">
        <v>#N/A</v>
      </c>
      <c r="D292" s="100" t="e">
        <v>#N/A</v>
      </c>
      <c r="E292" s="99"/>
      <c r="F292" s="102"/>
      <c r="G292" s="102"/>
      <c r="H292" s="102"/>
      <c r="I292" s="101"/>
      <c r="J292" s="101"/>
      <c r="K292" s="101"/>
      <c r="L292" s="101"/>
      <c r="M292" s="101"/>
      <c r="N292" s="101"/>
      <c r="O292" s="99"/>
      <c r="P292" s="99"/>
      <c r="Q292" s="15" t="e">
        <v>#N/A</v>
      </c>
      <c r="R292" s="15" t="e">
        <v>#N/A</v>
      </c>
      <c r="S292" s="15"/>
      <c r="T292" s="103"/>
      <c r="U292" s="15"/>
      <c r="V292" s="15"/>
      <c r="W292" s="15"/>
      <c r="X292" s="99"/>
      <c r="Y292" s="71">
        <f ca="1">Table24[[#This Row],[End Date]]+2-TODAY()</f>
        <v>-45530</v>
      </c>
      <c r="Z292" s="15">
        <f>IF(ISBLANK(Table24[[#This Row],[Roster Received By]]),1,0)</f>
        <v>1</v>
      </c>
      <c r="AA292" s="15">
        <f ca="1">IF(Table24[[#This Row],[Start Date]]&gt;TODAY(),1,)</f>
        <v>0</v>
      </c>
    </row>
    <row r="293" spans="2:27" s="62" customFormat="1" x14ac:dyDescent="0.25">
      <c r="B293" s="116"/>
      <c r="C293" s="100" t="e">
        <v>#N/A</v>
      </c>
      <c r="D293" s="100" t="e">
        <v>#N/A</v>
      </c>
      <c r="E293" s="99"/>
      <c r="F293" s="102"/>
      <c r="G293" s="102"/>
      <c r="H293" s="102"/>
      <c r="I293" s="101"/>
      <c r="J293" s="101"/>
      <c r="K293" s="101"/>
      <c r="L293" s="101"/>
      <c r="M293" s="101"/>
      <c r="N293" s="101"/>
      <c r="O293" s="99"/>
      <c r="P293" s="99"/>
      <c r="Q293" s="15" t="e">
        <v>#N/A</v>
      </c>
      <c r="R293" s="15" t="e">
        <v>#N/A</v>
      </c>
      <c r="S293" s="15"/>
      <c r="T293" s="103"/>
      <c r="U293" s="15"/>
      <c r="V293" s="15"/>
      <c r="W293" s="15"/>
      <c r="X293" s="99"/>
      <c r="Y293" s="71">
        <f ca="1">Table24[[#This Row],[End Date]]+2-TODAY()</f>
        <v>-45530</v>
      </c>
      <c r="Z293" s="15">
        <f>IF(ISBLANK(Table24[[#This Row],[Roster Received By]]),1,0)</f>
        <v>1</v>
      </c>
      <c r="AA293" s="15">
        <f ca="1">IF(Table24[[#This Row],[Start Date]]&gt;TODAY(),1,)</f>
        <v>0</v>
      </c>
    </row>
    <row r="294" spans="2:27" s="62" customFormat="1" x14ac:dyDescent="0.25">
      <c r="B294" s="116"/>
      <c r="C294" s="100" t="e">
        <v>#N/A</v>
      </c>
      <c r="D294" s="100" t="e">
        <v>#N/A</v>
      </c>
      <c r="E294" s="99"/>
      <c r="F294" s="102"/>
      <c r="G294" s="102"/>
      <c r="H294" s="102"/>
      <c r="I294" s="101"/>
      <c r="J294" s="101"/>
      <c r="K294" s="101"/>
      <c r="L294" s="101"/>
      <c r="M294" s="101"/>
      <c r="N294" s="101"/>
      <c r="O294" s="99"/>
      <c r="P294" s="99"/>
      <c r="Q294" s="15" t="e">
        <v>#N/A</v>
      </c>
      <c r="R294" s="15" t="e">
        <v>#N/A</v>
      </c>
      <c r="S294" s="15"/>
      <c r="T294" s="103"/>
      <c r="U294" s="15"/>
      <c r="V294" s="15"/>
      <c r="W294" s="15"/>
      <c r="X294" s="99"/>
      <c r="Y294" s="71">
        <f ca="1">Table24[[#This Row],[End Date]]+2-TODAY()</f>
        <v>-45530</v>
      </c>
      <c r="Z294" s="15">
        <f>IF(ISBLANK(Table24[[#This Row],[Roster Received By]]),1,0)</f>
        <v>1</v>
      </c>
      <c r="AA294" s="15">
        <f ca="1">IF(Table24[[#This Row],[Start Date]]&gt;TODAY(),1,)</f>
        <v>0</v>
      </c>
    </row>
    <row r="295" spans="2:27" s="62" customFormat="1" x14ac:dyDescent="0.25">
      <c r="B295" s="117"/>
      <c r="C295" s="100" t="e">
        <v>#N/A</v>
      </c>
      <c r="D295" s="100" t="e">
        <v>#N/A</v>
      </c>
      <c r="E295" s="99"/>
      <c r="F295" s="102"/>
      <c r="G295" s="102"/>
      <c r="H295" s="102"/>
      <c r="I295" s="101"/>
      <c r="J295" s="101"/>
      <c r="K295" s="101"/>
      <c r="L295" s="101"/>
      <c r="M295" s="101"/>
      <c r="N295" s="101"/>
      <c r="O295" s="99"/>
      <c r="P295" s="99"/>
      <c r="Q295" s="15" t="e">
        <v>#N/A</v>
      </c>
      <c r="R295" s="15" t="e">
        <v>#N/A</v>
      </c>
      <c r="S295" s="15"/>
      <c r="T295" s="103"/>
      <c r="U295" s="15"/>
      <c r="V295" s="15"/>
      <c r="W295" s="15"/>
      <c r="X295" s="99"/>
      <c r="Y295" s="71">
        <f ca="1">Table24[[#This Row],[End Date]]+2-TODAY()</f>
        <v>-45530</v>
      </c>
      <c r="Z295" s="15">
        <f>IF(ISBLANK(Table24[[#This Row],[Roster Received By]]),1,0)</f>
        <v>1</v>
      </c>
      <c r="AA295" s="15">
        <f ca="1">IF(Table24[[#This Row],[Start Date]]&gt;TODAY(),1,)</f>
        <v>0</v>
      </c>
    </row>
    <row r="296" spans="2:27" s="62" customFormat="1" x14ac:dyDescent="0.25">
      <c r="B296" s="117"/>
      <c r="C296" s="100" t="e">
        <v>#N/A</v>
      </c>
      <c r="D296" s="100" t="e">
        <v>#N/A</v>
      </c>
      <c r="E296" s="99"/>
      <c r="F296" s="102"/>
      <c r="G296" s="102"/>
      <c r="H296" s="108"/>
      <c r="I296" s="108"/>
      <c r="J296" s="102"/>
      <c r="K296" s="102"/>
      <c r="L296" s="102"/>
      <c r="M296" s="102"/>
      <c r="N296" s="102"/>
      <c r="O296" s="99"/>
      <c r="P296" s="99"/>
      <c r="Q296" s="15" t="e">
        <v>#N/A</v>
      </c>
      <c r="R296" s="15" t="e">
        <v>#N/A</v>
      </c>
      <c r="S296" s="15"/>
      <c r="T296" s="103"/>
      <c r="U296" s="15"/>
      <c r="V296" s="15"/>
      <c r="W296" s="15"/>
      <c r="X296" s="99"/>
      <c r="Y296" s="71">
        <f ca="1">Table24[[#This Row],[End Date]]+2-TODAY()</f>
        <v>-45530</v>
      </c>
      <c r="Z296" s="15">
        <f>IF(ISBLANK(Table24[[#This Row],[Roster Received By]]),1,0)</f>
        <v>1</v>
      </c>
      <c r="AA296" s="15">
        <f ca="1">IF(Table24[[#This Row],[Start Date]]&gt;TODAY(),1,)</f>
        <v>0</v>
      </c>
    </row>
    <row r="297" spans="2:27" s="62" customFormat="1" x14ac:dyDescent="0.25">
      <c r="B297" s="117"/>
      <c r="C297" s="100" t="e">
        <v>#N/A</v>
      </c>
      <c r="D297" s="100" t="e">
        <v>#N/A</v>
      </c>
      <c r="E297" s="99"/>
      <c r="F297" s="102"/>
      <c r="G297" s="102"/>
      <c r="H297" s="102"/>
      <c r="I297" s="101"/>
      <c r="J297" s="101"/>
      <c r="K297" s="101"/>
      <c r="L297" s="101"/>
      <c r="M297" s="101"/>
      <c r="N297" s="101"/>
      <c r="O297" s="99"/>
      <c r="P297" s="99"/>
      <c r="Q297" s="15" t="e">
        <v>#N/A</v>
      </c>
      <c r="R297" s="15" t="e">
        <v>#N/A</v>
      </c>
      <c r="S297" s="15"/>
      <c r="T297" s="103"/>
      <c r="U297" s="15"/>
      <c r="V297" s="15"/>
      <c r="W297" s="15"/>
      <c r="X297" s="99"/>
      <c r="Y297" s="71">
        <f ca="1">Table24[[#This Row],[End Date]]+2-TODAY()</f>
        <v>-45530</v>
      </c>
      <c r="Z297" s="15">
        <f>IF(ISBLANK(Table24[[#This Row],[Roster Received By]]),1,0)</f>
        <v>1</v>
      </c>
      <c r="AA297" s="15">
        <f ca="1">IF(Table24[[#This Row],[Start Date]]&gt;TODAY(),1,)</f>
        <v>0</v>
      </c>
    </row>
    <row r="298" spans="2:27" s="62" customFormat="1" x14ac:dyDescent="0.25">
      <c r="B298" s="117"/>
      <c r="C298" s="100" t="e">
        <v>#N/A</v>
      </c>
      <c r="D298" s="100" t="e">
        <v>#N/A</v>
      </c>
      <c r="E298" s="99"/>
      <c r="F298" s="102"/>
      <c r="G298" s="102"/>
      <c r="H298" s="102"/>
      <c r="I298" s="101"/>
      <c r="J298" s="101"/>
      <c r="K298" s="101"/>
      <c r="L298" s="101"/>
      <c r="M298" s="101"/>
      <c r="N298" s="101"/>
      <c r="O298" s="99"/>
      <c r="P298" s="99"/>
      <c r="Q298" s="15" t="e">
        <v>#N/A</v>
      </c>
      <c r="R298" s="15" t="e">
        <v>#N/A</v>
      </c>
      <c r="S298" s="15"/>
      <c r="T298" s="103"/>
      <c r="U298" s="15"/>
      <c r="V298" s="15"/>
      <c r="W298" s="103"/>
      <c r="X298" s="99"/>
      <c r="Y298" s="71">
        <f ca="1">Table24[[#This Row],[End Date]]+2-TODAY()</f>
        <v>-45530</v>
      </c>
      <c r="Z298" s="15">
        <f>IF(ISBLANK(Table24[[#This Row],[Roster Received By]]),1,0)</f>
        <v>1</v>
      </c>
      <c r="AA298" s="15">
        <f ca="1">IF(Table24[[#This Row],[Start Date]]&gt;TODAY(),1,)</f>
        <v>0</v>
      </c>
    </row>
    <row r="299" spans="2:27" s="62" customFormat="1" x14ac:dyDescent="0.25">
      <c r="B299" s="117"/>
      <c r="C299" s="100" t="e">
        <v>#N/A</v>
      </c>
      <c r="D299" s="100" t="e">
        <v>#N/A</v>
      </c>
      <c r="E299" s="99"/>
      <c r="F299" s="102"/>
      <c r="G299" s="102"/>
      <c r="H299" s="105"/>
      <c r="I299" s="105"/>
      <c r="J299" s="102"/>
      <c r="K299" s="102"/>
      <c r="L299" s="102"/>
      <c r="M299" s="102"/>
      <c r="N299" s="102"/>
      <c r="O299" s="99"/>
      <c r="P299" s="99"/>
      <c r="Q299" s="15" t="e">
        <v>#N/A</v>
      </c>
      <c r="R299" s="15" t="e">
        <v>#N/A</v>
      </c>
      <c r="S299" s="103"/>
      <c r="T299" s="103"/>
      <c r="U299" s="15"/>
      <c r="V299" s="15"/>
      <c r="W299" s="100"/>
      <c r="X299" s="99"/>
      <c r="Y299" s="109">
        <f ca="1">Table24[[#This Row],[End Date]]+2-TODAY()</f>
        <v>-45530</v>
      </c>
      <c r="Z299" s="15">
        <f>IF(ISBLANK(Table24[[#This Row],[Roster Received By]]),1,0)</f>
        <v>1</v>
      </c>
      <c r="AA299" s="100">
        <f ca="1">IF(Table24[[#This Row],[Start Date]]&gt;TODAY(),1,)</f>
        <v>0</v>
      </c>
    </row>
    <row r="300" spans="2:27" s="62" customFormat="1" x14ac:dyDescent="0.25">
      <c r="B300" s="117"/>
      <c r="C300" s="100" t="e">
        <v>#N/A</v>
      </c>
      <c r="D300" s="100" t="e">
        <v>#N/A</v>
      </c>
      <c r="E300" s="99"/>
      <c r="F300" s="102"/>
      <c r="G300" s="102"/>
      <c r="H300" s="105"/>
      <c r="I300" s="105"/>
      <c r="J300" s="102"/>
      <c r="K300" s="102"/>
      <c r="L300" s="102"/>
      <c r="M300" s="102"/>
      <c r="N300" s="102"/>
      <c r="O300" s="99"/>
      <c r="P300" s="99"/>
      <c r="Q300" s="15" t="e">
        <v>#N/A</v>
      </c>
      <c r="R300" s="15" t="e">
        <v>#N/A</v>
      </c>
      <c r="S300" s="15"/>
      <c r="T300" s="103"/>
      <c r="U300" s="15"/>
      <c r="V300" s="15"/>
      <c r="W300" s="15"/>
      <c r="X300" s="99"/>
      <c r="Y300" s="71">
        <f ca="1">Table24[[#This Row],[End Date]]+2-TODAY()</f>
        <v>-45530</v>
      </c>
      <c r="Z300" s="15">
        <f>IF(ISBLANK(Table24[[#This Row],[Roster Received By]]),1,0)</f>
        <v>1</v>
      </c>
      <c r="AA300" s="15">
        <f ca="1">IF(Table24[[#This Row],[Start Date]]&gt;TODAY(),1,)</f>
        <v>0</v>
      </c>
    </row>
    <row r="301" spans="2:27" s="62" customFormat="1" x14ac:dyDescent="0.25">
      <c r="B301" s="117"/>
      <c r="C301" s="100" t="e">
        <v>#N/A</v>
      </c>
      <c r="D301" s="100" t="e">
        <v>#N/A</v>
      </c>
      <c r="E301" s="99"/>
      <c r="F301" s="102"/>
      <c r="G301" s="102"/>
      <c r="H301" s="105"/>
      <c r="I301" s="105"/>
      <c r="J301" s="105"/>
      <c r="K301" s="105"/>
      <c r="L301" s="105"/>
      <c r="M301" s="105"/>
      <c r="N301" s="105"/>
      <c r="O301" s="99"/>
      <c r="P301" s="99"/>
      <c r="Q301" s="15" t="e">
        <v>#N/A</v>
      </c>
      <c r="R301" s="15" t="e">
        <v>#N/A</v>
      </c>
      <c r="S301" s="15"/>
      <c r="T301" s="103"/>
      <c r="U301" s="15"/>
      <c r="V301" s="15"/>
      <c r="W301" s="15"/>
      <c r="X301" s="99"/>
      <c r="Y301" s="71">
        <f ca="1">Table24[[#This Row],[End Date]]+2-TODAY()</f>
        <v>-45530</v>
      </c>
      <c r="Z301" s="15">
        <f>IF(ISBLANK(Table24[[#This Row],[Roster Received By]]),1,0)</f>
        <v>1</v>
      </c>
      <c r="AA301" s="15">
        <f ca="1">IF(Table24[[#This Row],[Start Date]]&gt;TODAY(),1,)</f>
        <v>0</v>
      </c>
    </row>
    <row r="302" spans="2:27" s="62" customFormat="1" x14ac:dyDescent="0.25">
      <c r="B302" s="117"/>
      <c r="C302" s="100" t="e">
        <v>#N/A</v>
      </c>
      <c r="D302" s="100" t="e">
        <v>#N/A</v>
      </c>
      <c r="E302" s="99"/>
      <c r="F302" s="67"/>
      <c r="G302" s="102"/>
      <c r="H302" s="102"/>
      <c r="I302" s="101"/>
      <c r="J302" s="101"/>
      <c r="K302" s="101"/>
      <c r="L302" s="101"/>
      <c r="M302" s="101"/>
      <c r="N302" s="101"/>
      <c r="O302" s="99"/>
      <c r="P302" s="99"/>
      <c r="Q302" s="15" t="e">
        <v>#N/A</v>
      </c>
      <c r="R302" s="15" t="e">
        <v>#N/A</v>
      </c>
      <c r="S302" s="15"/>
      <c r="T302" s="103"/>
      <c r="U302" s="15"/>
      <c r="V302" s="15"/>
      <c r="W302" s="15"/>
      <c r="X302" s="99"/>
      <c r="Y302" s="71">
        <f ca="1">Table24[[#This Row],[End Date]]+2-TODAY()</f>
        <v>-45530</v>
      </c>
      <c r="Z302" s="15">
        <f>IF(ISBLANK(Table24[[#This Row],[Roster Received By]]),1,0)</f>
        <v>1</v>
      </c>
      <c r="AA302" s="15">
        <f ca="1">IF(Table24[[#This Row],[Start Date]]&gt;TODAY(),1,)</f>
        <v>0</v>
      </c>
    </row>
    <row r="303" spans="2:27" s="62" customFormat="1" x14ac:dyDescent="0.25">
      <c r="B303" s="117"/>
      <c r="C303" s="100" t="e">
        <v>#N/A</v>
      </c>
      <c r="D303" s="100" t="e">
        <v>#N/A</v>
      </c>
      <c r="E303" s="99"/>
      <c r="F303" s="102"/>
      <c r="G303" s="102"/>
      <c r="H303" s="102"/>
      <c r="I303" s="101"/>
      <c r="J303" s="101"/>
      <c r="K303" s="101"/>
      <c r="L303" s="101"/>
      <c r="M303" s="101"/>
      <c r="N303" s="101"/>
      <c r="O303" s="99"/>
      <c r="P303" s="99"/>
      <c r="Q303" s="15" t="e">
        <v>#N/A</v>
      </c>
      <c r="R303" s="15" t="e">
        <v>#N/A</v>
      </c>
      <c r="S303" s="15"/>
      <c r="T303" s="103"/>
      <c r="U303" s="15"/>
      <c r="V303" s="15"/>
      <c r="W303" s="15"/>
      <c r="X303" s="99"/>
      <c r="Y303" s="71">
        <f ca="1">Table24[[#This Row],[End Date]]+2-TODAY()</f>
        <v>-45530</v>
      </c>
      <c r="Z303" s="15">
        <f>IF(ISBLANK(Table24[[#This Row],[Roster Received By]]),1,0)</f>
        <v>1</v>
      </c>
      <c r="AA303" s="15">
        <f ca="1">IF(Table24[[#This Row],[Start Date]]&gt;TODAY(),1,)</f>
        <v>0</v>
      </c>
    </row>
    <row r="304" spans="2:27" s="62" customFormat="1" x14ac:dyDescent="0.25">
      <c r="B304" s="117"/>
      <c r="C304" s="100" t="e">
        <v>#N/A</v>
      </c>
      <c r="D304" s="100" t="e">
        <v>#N/A</v>
      </c>
      <c r="E304" s="99"/>
      <c r="F304" s="110"/>
      <c r="G304" s="110"/>
      <c r="H304" s="102"/>
      <c r="I304" s="101"/>
      <c r="J304" s="101"/>
      <c r="K304" s="101"/>
      <c r="L304" s="101"/>
      <c r="M304" s="101"/>
      <c r="N304" s="101"/>
      <c r="O304" s="99"/>
      <c r="P304" s="99"/>
      <c r="Q304" s="15" t="e">
        <v>#N/A</v>
      </c>
      <c r="R304" s="15" t="e">
        <v>#N/A</v>
      </c>
      <c r="S304" s="15"/>
      <c r="T304" s="103"/>
      <c r="U304" s="15"/>
      <c r="V304" s="15"/>
      <c r="W304" s="15"/>
      <c r="X304" s="99"/>
      <c r="Y304" s="71">
        <f ca="1">Table24[[#This Row],[End Date]]+2-TODAY()</f>
        <v>-45530</v>
      </c>
      <c r="Z304" s="15">
        <f>IF(ISBLANK(Table24[[#This Row],[Roster Received By]]),1,0)</f>
        <v>1</v>
      </c>
      <c r="AA304" s="15">
        <f ca="1">IF(Table24[[#This Row],[Start Date]]&gt;TODAY(),1,)</f>
        <v>0</v>
      </c>
    </row>
    <row r="305" spans="1:27" s="62" customFormat="1" x14ac:dyDescent="0.25">
      <c r="B305" s="117"/>
      <c r="C305" s="100" t="e">
        <v>#N/A</v>
      </c>
      <c r="D305" s="100" t="e">
        <v>#N/A</v>
      </c>
      <c r="E305" s="99"/>
      <c r="F305" s="110"/>
      <c r="G305" s="110"/>
      <c r="H305" s="102"/>
      <c r="I305" s="101"/>
      <c r="J305" s="101"/>
      <c r="K305" s="101"/>
      <c r="L305" s="101"/>
      <c r="M305" s="101"/>
      <c r="N305" s="101"/>
      <c r="O305" s="99"/>
      <c r="P305" s="99"/>
      <c r="Q305" s="15" t="e">
        <v>#N/A</v>
      </c>
      <c r="R305" s="15" t="e">
        <v>#N/A</v>
      </c>
      <c r="S305" s="15"/>
      <c r="T305" s="103"/>
      <c r="U305" s="15"/>
      <c r="V305" s="15"/>
      <c r="W305" s="15"/>
      <c r="X305" s="99"/>
      <c r="Y305" s="71">
        <f ca="1">Table24[[#This Row],[End Date]]+2-TODAY()</f>
        <v>-45530</v>
      </c>
      <c r="Z305" s="15">
        <f>IF(ISBLANK(Table24[[#This Row],[Roster Received By]]),1,0)</f>
        <v>1</v>
      </c>
      <c r="AA305" s="15">
        <f ca="1">IF(Table24[[#This Row],[Start Date]]&gt;TODAY(),1,)</f>
        <v>0</v>
      </c>
    </row>
    <row r="306" spans="1:27" s="62" customFormat="1" x14ac:dyDescent="0.25">
      <c r="B306" s="117"/>
      <c r="C306" s="100" t="e">
        <v>#N/A</v>
      </c>
      <c r="D306" s="100" t="e">
        <v>#N/A</v>
      </c>
      <c r="E306" s="99"/>
      <c r="F306" s="110"/>
      <c r="G306" s="110"/>
      <c r="H306" s="102"/>
      <c r="I306" s="101"/>
      <c r="J306" s="101"/>
      <c r="K306" s="101"/>
      <c r="L306" s="101"/>
      <c r="M306" s="101"/>
      <c r="N306" s="101"/>
      <c r="O306" s="99"/>
      <c r="P306" s="99"/>
      <c r="Q306" s="15" t="e">
        <v>#N/A</v>
      </c>
      <c r="R306" s="15" t="e">
        <v>#N/A</v>
      </c>
      <c r="S306" s="15"/>
      <c r="T306" s="103"/>
      <c r="U306" s="15"/>
      <c r="V306" s="15"/>
      <c r="W306" s="15"/>
      <c r="X306" s="99"/>
      <c r="Y306" s="71">
        <f ca="1">Table24[[#This Row],[End Date]]+2-TODAY()</f>
        <v>-45530</v>
      </c>
      <c r="Z306" s="15">
        <f>IF(ISBLANK(Table24[[#This Row],[Roster Received By]]),1,0)</f>
        <v>1</v>
      </c>
      <c r="AA306" s="15">
        <f ca="1">IF(Table24[[#This Row],[Start Date]]&gt;TODAY(),1,)</f>
        <v>0</v>
      </c>
    </row>
    <row r="307" spans="1:27" s="62" customFormat="1" x14ac:dyDescent="0.25">
      <c r="B307" s="117"/>
      <c r="C307" s="100" t="e">
        <v>#N/A</v>
      </c>
      <c r="D307" s="100" t="e">
        <v>#N/A</v>
      </c>
      <c r="E307" s="99"/>
      <c r="F307" s="110"/>
      <c r="G307" s="110"/>
      <c r="H307" s="108"/>
      <c r="I307" s="108"/>
      <c r="J307" s="102"/>
      <c r="K307" s="102"/>
      <c r="L307" s="102"/>
      <c r="M307" s="102"/>
      <c r="N307" s="102"/>
      <c r="O307" s="99"/>
      <c r="P307" s="99"/>
      <c r="Q307" s="15" t="e">
        <v>#N/A</v>
      </c>
      <c r="R307" s="15" t="e">
        <v>#N/A</v>
      </c>
      <c r="S307" s="15"/>
      <c r="T307" s="103"/>
      <c r="U307" s="15"/>
      <c r="V307" s="15"/>
      <c r="W307" s="15"/>
      <c r="X307" s="99"/>
      <c r="Y307" s="71">
        <f ca="1">Table24[[#This Row],[End Date]]+2-TODAY()</f>
        <v>-45530</v>
      </c>
      <c r="Z307" s="15">
        <f>IF(ISBLANK(Table24[[#This Row],[Roster Received By]]),1,0)</f>
        <v>1</v>
      </c>
      <c r="AA307" s="15">
        <f ca="1">IF(Table24[[#This Row],[Start Date]]&gt;TODAY(),1,)</f>
        <v>0</v>
      </c>
    </row>
    <row r="308" spans="1:27" s="62" customFormat="1" x14ac:dyDescent="0.25">
      <c r="B308" s="117"/>
      <c r="C308" s="100" t="e">
        <v>#N/A</v>
      </c>
      <c r="D308" s="100" t="e">
        <v>#N/A</v>
      </c>
      <c r="E308" s="99"/>
      <c r="F308" s="110"/>
      <c r="G308" s="110"/>
      <c r="H308" s="105"/>
      <c r="I308" s="105"/>
      <c r="J308" s="105"/>
      <c r="K308" s="105"/>
      <c r="L308" s="105"/>
      <c r="M308" s="105"/>
      <c r="N308" s="102"/>
      <c r="O308" s="99"/>
      <c r="P308" s="99"/>
      <c r="Q308" s="15" t="e">
        <v>#N/A</v>
      </c>
      <c r="R308" s="15" t="e">
        <v>#N/A</v>
      </c>
      <c r="S308" s="15"/>
      <c r="T308" s="103"/>
      <c r="U308" s="15"/>
      <c r="V308" s="15"/>
      <c r="W308" s="100"/>
      <c r="X308" s="99"/>
      <c r="Y308" s="71">
        <f ca="1">Table24[[#This Row],[End Date]]+2-TODAY()</f>
        <v>-45530</v>
      </c>
      <c r="Z308" s="15">
        <f>IF(ISBLANK(Table24[[#This Row],[Roster Received By]]),1,0)</f>
        <v>1</v>
      </c>
      <c r="AA308" s="15">
        <f ca="1">IF(Table24[[#This Row],[Start Date]]&gt;TODAY(),1,)</f>
        <v>0</v>
      </c>
    </row>
    <row r="309" spans="1:27" s="62" customFormat="1" x14ac:dyDescent="0.25">
      <c r="B309" s="117"/>
      <c r="C309" s="100" t="e">
        <v>#N/A</v>
      </c>
      <c r="D309" s="100" t="e">
        <v>#N/A</v>
      </c>
      <c r="E309" s="65"/>
      <c r="F309" s="110"/>
      <c r="G309" s="110"/>
      <c r="H309" s="105"/>
      <c r="I309" s="105"/>
      <c r="J309" s="102"/>
      <c r="K309" s="102"/>
      <c r="L309" s="102"/>
      <c r="M309" s="102"/>
      <c r="N309" s="102"/>
      <c r="O309" s="99"/>
      <c r="P309" s="99"/>
      <c r="Q309" s="15" t="e">
        <v>#N/A</v>
      </c>
      <c r="R309" s="15" t="e">
        <v>#N/A</v>
      </c>
      <c r="S309" s="15"/>
      <c r="T309" s="103"/>
      <c r="U309" s="15"/>
      <c r="V309" s="15"/>
      <c r="W309" s="15"/>
      <c r="X309" s="99"/>
      <c r="Y309" s="71">
        <f ca="1">Table24[[#This Row],[End Date]]+2-TODAY()</f>
        <v>-45530</v>
      </c>
      <c r="Z309" s="15">
        <f>IF(ISBLANK(Table24[[#This Row],[Roster Received By]]),1,0)</f>
        <v>1</v>
      </c>
      <c r="AA309" s="15">
        <f ca="1">IF(Table24[[#This Row],[Start Date]]&gt;TODAY(),1,)</f>
        <v>0</v>
      </c>
    </row>
    <row r="310" spans="1:27" s="62" customFormat="1" x14ac:dyDescent="0.25">
      <c r="B310" s="117"/>
      <c r="C310" s="100" t="e">
        <v>#N/A</v>
      </c>
      <c r="D310" s="100" t="e">
        <v>#N/A</v>
      </c>
      <c r="E310" s="65"/>
      <c r="F310" s="110"/>
      <c r="G310" s="110"/>
      <c r="H310" s="105"/>
      <c r="I310" s="105"/>
      <c r="J310" s="102"/>
      <c r="K310" s="102"/>
      <c r="L310" s="102"/>
      <c r="M310" s="102"/>
      <c r="N310" s="102"/>
      <c r="O310" s="99"/>
      <c r="P310" s="99"/>
      <c r="Q310" s="15" t="e">
        <v>#N/A</v>
      </c>
      <c r="R310" s="15" t="e">
        <v>#N/A</v>
      </c>
      <c r="S310" s="15"/>
      <c r="T310" s="103"/>
      <c r="U310" s="15"/>
      <c r="V310" s="15"/>
      <c r="W310" s="15"/>
      <c r="X310" s="99"/>
      <c r="Y310" s="71">
        <f ca="1">Table24[[#This Row],[End Date]]+2-TODAY()</f>
        <v>-45530</v>
      </c>
      <c r="Z310" s="15">
        <f>IF(ISBLANK(Table24[[#This Row],[Roster Received By]]),1,0)</f>
        <v>1</v>
      </c>
      <c r="AA310" s="15">
        <f ca="1">IF(Table24[[#This Row],[Start Date]]&gt;TODAY(),1,)</f>
        <v>0</v>
      </c>
    </row>
    <row r="311" spans="1:27" s="62" customFormat="1" x14ac:dyDescent="0.25">
      <c r="B311" s="117"/>
      <c r="C311" s="100" t="e">
        <v>#N/A</v>
      </c>
      <c r="D311" s="100" t="e">
        <v>#N/A</v>
      </c>
      <c r="E311" s="99"/>
      <c r="F311" s="110"/>
      <c r="G311" s="110"/>
      <c r="H311" s="108"/>
      <c r="I311" s="108"/>
      <c r="J311" s="102"/>
      <c r="K311" s="102"/>
      <c r="L311" s="102"/>
      <c r="M311" s="102"/>
      <c r="N311" s="102"/>
      <c r="O311" s="99"/>
      <c r="P311" s="99"/>
      <c r="Q311" s="15" t="e">
        <v>#N/A</v>
      </c>
      <c r="R311" s="15" t="e">
        <v>#N/A</v>
      </c>
      <c r="S311" s="103"/>
      <c r="T311" s="103"/>
      <c r="U311" s="15"/>
      <c r="V311" s="15"/>
      <c r="W311" s="15"/>
      <c r="X311" s="99"/>
      <c r="Y311" s="71">
        <f ca="1">Table24[[#This Row],[End Date]]+2-TODAY()</f>
        <v>-45530</v>
      </c>
      <c r="Z311" s="15">
        <f>IF(ISBLANK(Table24[[#This Row],[Roster Received By]]),1,0)</f>
        <v>1</v>
      </c>
      <c r="AA311" s="15">
        <f ca="1">IF(Table24[[#This Row],[Start Date]]&gt;TODAY(),1,)</f>
        <v>0</v>
      </c>
    </row>
    <row r="312" spans="1:27" s="62" customFormat="1" x14ac:dyDescent="0.25">
      <c r="B312" s="99"/>
      <c r="C312" s="100" t="e">
        <v>#N/A</v>
      </c>
      <c r="D312" s="100" t="e">
        <v>#N/A</v>
      </c>
      <c r="E312" s="99"/>
      <c r="F312" s="110"/>
      <c r="G312" s="110"/>
      <c r="H312" s="105"/>
      <c r="I312" s="105"/>
      <c r="J312" s="102"/>
      <c r="K312" s="102"/>
      <c r="L312" s="102"/>
      <c r="M312" s="102"/>
      <c r="N312" s="102"/>
      <c r="O312" s="99"/>
      <c r="P312" s="99"/>
      <c r="Q312" s="15" t="e">
        <v>#N/A</v>
      </c>
      <c r="R312" s="15" t="e">
        <v>#N/A</v>
      </c>
      <c r="S312" s="103"/>
      <c r="T312" s="103"/>
      <c r="U312" s="15"/>
      <c r="V312" s="15"/>
      <c r="W312" s="100"/>
      <c r="X312" s="99"/>
      <c r="Y312" s="109">
        <f ca="1">Table24[[#This Row],[End Date]]+2-TODAY()</f>
        <v>-45530</v>
      </c>
      <c r="Z312" s="15">
        <f>IF(ISBLANK(Table24[[#This Row],[Roster Received By]]),1,0)</f>
        <v>1</v>
      </c>
      <c r="AA312" s="100">
        <f ca="1">IF(Table24[[#This Row],[Start Date]]&gt;TODAY(),1,)</f>
        <v>0</v>
      </c>
    </row>
    <row r="313" spans="1:27" s="62" customFormat="1" x14ac:dyDescent="0.25">
      <c r="B313" s="118"/>
      <c r="C313" s="100" t="e">
        <v>#N/A</v>
      </c>
      <c r="D313" s="100" t="e">
        <v>#N/A</v>
      </c>
      <c r="E313" s="99"/>
      <c r="F313" s="110"/>
      <c r="G313" s="110"/>
      <c r="H313" s="108"/>
      <c r="I313" s="108"/>
      <c r="J313" s="102"/>
      <c r="K313" s="102"/>
      <c r="L313" s="102"/>
      <c r="M313" s="102"/>
      <c r="N313" s="102"/>
      <c r="O313" s="99"/>
      <c r="P313" s="99"/>
      <c r="Q313" s="15" t="e">
        <v>#N/A</v>
      </c>
      <c r="R313" s="15" t="e">
        <v>#N/A</v>
      </c>
      <c r="S313" s="15"/>
      <c r="T313" s="103"/>
      <c r="U313" s="15"/>
      <c r="V313" s="15"/>
      <c r="W313" s="15"/>
      <c r="X313" s="99"/>
      <c r="Y313" s="71">
        <f ca="1">Table24[[#This Row],[End Date]]+2-TODAY()</f>
        <v>-45530</v>
      </c>
      <c r="Z313" s="15">
        <f>IF(ISBLANK(Table24[[#This Row],[Roster Received By]]),1,0)</f>
        <v>1</v>
      </c>
      <c r="AA313" s="15">
        <f ca="1">IF(Table24[[#This Row],[Start Date]]&gt;TODAY(),1,)</f>
        <v>0</v>
      </c>
    </row>
    <row r="314" spans="1:27" s="62" customFormat="1" x14ac:dyDescent="0.25">
      <c r="B314" s="117"/>
      <c r="C314" s="100" t="e">
        <v>#N/A</v>
      </c>
      <c r="D314" s="100" t="e">
        <v>#N/A</v>
      </c>
      <c r="E314" s="99"/>
      <c r="F314" s="110"/>
      <c r="G314" s="110"/>
      <c r="H314" s="102"/>
      <c r="I314" s="101"/>
      <c r="J314" s="101"/>
      <c r="K314" s="101"/>
      <c r="L314" s="101"/>
      <c r="M314" s="101"/>
      <c r="N314" s="101"/>
      <c r="O314" s="99"/>
      <c r="P314" s="99"/>
      <c r="Q314" s="15" t="e">
        <v>#N/A</v>
      </c>
      <c r="R314" s="15" t="e">
        <v>#N/A</v>
      </c>
      <c r="S314" s="15"/>
      <c r="T314" s="103"/>
      <c r="U314" s="15"/>
      <c r="V314" s="15"/>
      <c r="W314" s="15"/>
      <c r="X314" s="99"/>
      <c r="Y314" s="71">
        <f ca="1">Table24[[#This Row],[End Date]]+2-TODAY()</f>
        <v>-45530</v>
      </c>
      <c r="Z314" s="15">
        <f>IF(ISBLANK(Table24[[#This Row],[Roster Received By]]),1,0)</f>
        <v>1</v>
      </c>
      <c r="AA314" s="15">
        <f ca="1">IF(Table24[[#This Row],[Start Date]]&gt;TODAY(),1,)</f>
        <v>0</v>
      </c>
    </row>
    <row r="315" spans="1:27" s="62" customFormat="1" x14ac:dyDescent="0.25">
      <c r="B315" s="118"/>
      <c r="C315" s="100" t="e">
        <v>#N/A</v>
      </c>
      <c r="D315" s="100" t="e">
        <v>#N/A</v>
      </c>
      <c r="E315" s="99"/>
      <c r="F315" s="110"/>
      <c r="G315" s="110"/>
      <c r="H315" s="105"/>
      <c r="I315" s="105"/>
      <c r="J315" s="102"/>
      <c r="K315" s="102"/>
      <c r="L315" s="102"/>
      <c r="M315" s="102"/>
      <c r="N315" s="102"/>
      <c r="O315" s="99"/>
      <c r="P315" s="99"/>
      <c r="Q315" s="15" t="e">
        <v>#N/A</v>
      </c>
      <c r="R315" s="15" t="e">
        <v>#N/A</v>
      </c>
      <c r="S315" s="15"/>
      <c r="T315" s="103"/>
      <c r="U315" s="15"/>
      <c r="V315" s="15"/>
      <c r="W315" s="15"/>
      <c r="X315" s="99"/>
      <c r="Y315" s="71">
        <f ca="1">Table24[[#This Row],[End Date]]+2-TODAY()</f>
        <v>-45530</v>
      </c>
      <c r="Z315" s="15">
        <f>IF(ISBLANK(Table24[[#This Row],[Roster Received By]]),1,0)</f>
        <v>1</v>
      </c>
      <c r="AA315" s="15">
        <f ca="1">IF(Table24[[#This Row],[Start Date]]&gt;TODAY(),1,)</f>
        <v>0</v>
      </c>
    </row>
    <row r="316" spans="1:27" s="62" customFormat="1" x14ac:dyDescent="0.25">
      <c r="B316" s="118"/>
      <c r="C316" s="100" t="e">
        <v>#N/A</v>
      </c>
      <c r="D316" s="100" t="e">
        <v>#N/A</v>
      </c>
      <c r="E316" s="99"/>
      <c r="F316" s="110"/>
      <c r="G316" s="110"/>
      <c r="H316" s="105"/>
      <c r="I316" s="105"/>
      <c r="J316" s="102"/>
      <c r="K316" s="102"/>
      <c r="L316" s="102"/>
      <c r="M316" s="102"/>
      <c r="N316" s="102"/>
      <c r="O316" s="99"/>
      <c r="P316" s="99"/>
      <c r="Q316" s="15" t="e">
        <v>#N/A</v>
      </c>
      <c r="R316" s="15" t="e">
        <v>#N/A</v>
      </c>
      <c r="S316" s="15"/>
      <c r="T316" s="103"/>
      <c r="U316" s="15"/>
      <c r="V316" s="15"/>
      <c r="W316" s="15"/>
      <c r="X316" s="99"/>
      <c r="Y316" s="71">
        <f ca="1">Table24[[#This Row],[End Date]]+2-TODAY()</f>
        <v>-45530</v>
      </c>
      <c r="Z316" s="15">
        <f>IF(ISBLANK(Table24[[#This Row],[Roster Received By]]),1,0)</f>
        <v>1</v>
      </c>
      <c r="AA316" s="15">
        <f ca="1">IF(Table24[[#This Row],[Start Date]]&gt;TODAY(),1,)</f>
        <v>0</v>
      </c>
    </row>
    <row r="317" spans="1:27" s="62" customFormat="1" x14ac:dyDescent="0.25">
      <c r="A317" s="142"/>
      <c r="B317" s="118"/>
      <c r="C317" s="100" t="e">
        <v>#N/A</v>
      </c>
      <c r="D317" s="100" t="e">
        <v>#N/A</v>
      </c>
      <c r="E317" s="99"/>
      <c r="F317" s="132"/>
      <c r="G317" s="132"/>
      <c r="H317" s="105"/>
      <c r="I317" s="105"/>
      <c r="J317" s="102"/>
      <c r="K317" s="102"/>
      <c r="L317" s="102"/>
      <c r="M317" s="102"/>
      <c r="N317" s="102"/>
      <c r="O317" s="99"/>
      <c r="P317" s="99"/>
      <c r="Q317" s="15" t="e">
        <v>#N/A</v>
      </c>
      <c r="R317" s="15" t="e">
        <v>#N/A</v>
      </c>
      <c r="S317" s="103"/>
      <c r="T317" s="103"/>
      <c r="U317" s="15"/>
      <c r="V317" s="15"/>
      <c r="W317" s="15"/>
      <c r="X317" s="99"/>
      <c r="Y317" s="71">
        <f ca="1">Table24[[#This Row],[End Date]]+2-TODAY()</f>
        <v>-45530</v>
      </c>
      <c r="Z317" s="15">
        <f>IF(ISBLANK(Table24[[#This Row],[Roster Received By]]),1,0)</f>
        <v>1</v>
      </c>
      <c r="AA317" s="15">
        <f ca="1">IF(Table24[[#This Row],[Start Date]]&gt;TODAY(),1,)</f>
        <v>0</v>
      </c>
    </row>
    <row r="318" spans="1:27" s="62" customFormat="1" x14ac:dyDescent="0.25">
      <c r="A318" s="99"/>
      <c r="B318" s="118"/>
      <c r="C318" s="100" t="e">
        <v>#N/A</v>
      </c>
      <c r="D318" s="100" t="e">
        <v>#N/A</v>
      </c>
      <c r="E318" s="118"/>
      <c r="F318" s="133"/>
      <c r="G318" s="133"/>
      <c r="H318" s="67"/>
      <c r="I318" s="101"/>
      <c r="J318" s="101"/>
      <c r="K318" s="101"/>
      <c r="L318" s="101"/>
      <c r="M318" s="101"/>
      <c r="N318" s="101"/>
      <c r="O318" s="99"/>
      <c r="P318" s="99"/>
      <c r="Q318" s="15" t="e">
        <v>#N/A</v>
      </c>
      <c r="R318" s="15" t="e">
        <v>#N/A</v>
      </c>
      <c r="S318" s="15"/>
      <c r="T318" s="103"/>
      <c r="U318" s="15"/>
      <c r="V318" s="15"/>
      <c r="W318" s="15"/>
      <c r="X318" s="99"/>
      <c r="Y318" s="71">
        <f ca="1">Table24[[#This Row],[End Date]]+2-TODAY()</f>
        <v>-45530</v>
      </c>
      <c r="Z318" s="15">
        <f>IF(ISBLANK(Table24[[#This Row],[Roster Received By]]),1,0)</f>
        <v>1</v>
      </c>
      <c r="AA318" s="15">
        <f ca="1">IF(Table24[[#This Row],[Start Date]]&gt;TODAY(),1,)</f>
        <v>0</v>
      </c>
    </row>
    <row r="319" spans="1:27" s="62" customFormat="1" x14ac:dyDescent="0.25">
      <c r="B319" s="118"/>
      <c r="C319" s="100" t="e">
        <v>#N/A</v>
      </c>
      <c r="D319" s="100" t="e">
        <v>#N/A</v>
      </c>
      <c r="E319" s="118"/>
      <c r="F319" s="132"/>
      <c r="G319" s="132"/>
      <c r="H319" s="102"/>
      <c r="I319" s="101"/>
      <c r="J319" s="101"/>
      <c r="K319" s="101"/>
      <c r="L319" s="101"/>
      <c r="M319" s="101"/>
      <c r="N319" s="101"/>
      <c r="O319" s="99"/>
      <c r="P319" s="99"/>
      <c r="Q319" s="15" t="e">
        <v>#N/A</v>
      </c>
      <c r="R319" s="15" t="e">
        <v>#N/A</v>
      </c>
      <c r="S319" s="15"/>
      <c r="T319" s="103"/>
      <c r="U319" s="15"/>
      <c r="V319" s="15"/>
      <c r="W319" s="15"/>
      <c r="X319" s="99"/>
      <c r="Y319" s="71">
        <f ca="1">Table24[[#This Row],[End Date]]+2-TODAY()</f>
        <v>-45530</v>
      </c>
      <c r="Z319" s="15">
        <f>IF(ISBLANK(Table24[[#This Row],[Roster Received By]]),1,0)</f>
        <v>1</v>
      </c>
      <c r="AA319" s="15">
        <f ca="1">IF(Table24[[#This Row],[Start Date]]&gt;TODAY(),1,)</f>
        <v>0</v>
      </c>
    </row>
    <row r="320" spans="1:27" s="62" customFormat="1" x14ac:dyDescent="0.25">
      <c r="B320" s="118"/>
      <c r="C320" s="100" t="e">
        <v>#N/A</v>
      </c>
      <c r="D320" s="100" t="e">
        <v>#N/A</v>
      </c>
      <c r="E320" s="99"/>
      <c r="F320" s="102"/>
      <c r="G320" s="102"/>
      <c r="H320" s="105"/>
      <c r="I320" s="105"/>
      <c r="J320" s="105"/>
      <c r="K320" s="105"/>
      <c r="L320" s="105"/>
      <c r="M320" s="105"/>
      <c r="N320" s="102"/>
      <c r="O320" s="99"/>
      <c r="P320" s="99"/>
      <c r="Q320" s="15" t="e">
        <v>#N/A</v>
      </c>
      <c r="R320" s="15" t="e">
        <v>#N/A</v>
      </c>
      <c r="S320" s="15"/>
      <c r="T320" s="103"/>
      <c r="U320" s="15"/>
      <c r="V320" s="15"/>
      <c r="W320" s="15"/>
      <c r="X320" s="99"/>
      <c r="Y320" s="71">
        <f ca="1">Table24[[#This Row],[End Date]]+2-TODAY()</f>
        <v>-45530</v>
      </c>
      <c r="Z320" s="15">
        <f>IF(ISBLANK(Table24[[#This Row],[Roster Received By]]),1,0)</f>
        <v>1</v>
      </c>
      <c r="AA320" s="15">
        <f ca="1">IF(Table24[[#This Row],[Start Date]]&gt;TODAY(),1,)</f>
        <v>0</v>
      </c>
    </row>
    <row r="321" spans="1:27" s="62" customFormat="1" x14ac:dyDescent="0.25">
      <c r="B321" s="118"/>
      <c r="C321" s="100" t="e">
        <v>#N/A</v>
      </c>
      <c r="D321" s="100" t="e">
        <v>#N/A</v>
      </c>
      <c r="E321" s="66"/>
      <c r="F321" s="110"/>
      <c r="G321" s="110"/>
      <c r="H321" s="105"/>
      <c r="I321" s="105"/>
      <c r="J321" s="102"/>
      <c r="K321" s="102"/>
      <c r="L321" s="102"/>
      <c r="M321" s="102"/>
      <c r="N321" s="102"/>
      <c r="O321" s="99"/>
      <c r="P321" s="99"/>
      <c r="Q321" s="15" t="e">
        <v>#N/A</v>
      </c>
      <c r="R321" s="15" t="e">
        <v>#N/A</v>
      </c>
      <c r="S321" s="15"/>
      <c r="T321" s="103"/>
      <c r="U321" s="15"/>
      <c r="V321" s="15"/>
      <c r="W321" s="15"/>
      <c r="X321" s="99"/>
      <c r="Y321" s="71">
        <f ca="1">Table24[[#This Row],[End Date]]+2-TODAY()</f>
        <v>-45530</v>
      </c>
      <c r="Z321" s="15">
        <f>IF(ISBLANK(Table24[[#This Row],[Roster Received By]]),1,0)</f>
        <v>1</v>
      </c>
      <c r="AA321" s="15">
        <f ca="1">IF(Table24[[#This Row],[Start Date]]&gt;TODAY(),1,)</f>
        <v>0</v>
      </c>
    </row>
    <row r="322" spans="1:27" s="62" customFormat="1" x14ac:dyDescent="0.25">
      <c r="B322" s="118"/>
      <c r="C322" s="100" t="e">
        <v>#N/A</v>
      </c>
      <c r="D322" s="100" t="e">
        <v>#N/A</v>
      </c>
      <c r="E322" s="116"/>
      <c r="F322" s="110"/>
      <c r="G322" s="110"/>
      <c r="H322" s="108"/>
      <c r="I322" s="108"/>
      <c r="J322" s="102"/>
      <c r="K322" s="102"/>
      <c r="L322" s="102"/>
      <c r="M322" s="102"/>
      <c r="N322" s="102"/>
      <c r="O322" s="99"/>
      <c r="P322" s="99"/>
      <c r="Q322" s="15" t="e">
        <v>#N/A</v>
      </c>
      <c r="R322" s="15" t="e">
        <v>#N/A</v>
      </c>
      <c r="S322" s="15"/>
      <c r="T322" s="103"/>
      <c r="U322" s="15"/>
      <c r="V322" s="15"/>
      <c r="W322" s="15"/>
      <c r="X322" s="99"/>
      <c r="Y322" s="71">
        <f ca="1">Table24[[#This Row],[End Date]]+2-TODAY()</f>
        <v>-45530</v>
      </c>
      <c r="Z322" s="15">
        <f>IF(ISBLANK(Table24[[#This Row],[Roster Received By]]),1,0)</f>
        <v>1</v>
      </c>
      <c r="AA322" s="15">
        <f ca="1">IF(Table24[[#This Row],[Start Date]]&gt;TODAY(),1,)</f>
        <v>0</v>
      </c>
    </row>
    <row r="323" spans="1:27" s="62" customFormat="1" x14ac:dyDescent="0.25">
      <c r="B323" s="118"/>
      <c r="C323" s="100" t="e">
        <v>#N/A</v>
      </c>
      <c r="D323" s="100" t="e">
        <v>#N/A</v>
      </c>
      <c r="E323" s="116"/>
      <c r="F323" s="110"/>
      <c r="G323" s="110"/>
      <c r="H323" s="102"/>
      <c r="I323" s="101"/>
      <c r="J323" s="101"/>
      <c r="K323" s="101"/>
      <c r="L323" s="101"/>
      <c r="M323" s="101"/>
      <c r="N323" s="101"/>
      <c r="O323" s="99"/>
      <c r="P323" s="99"/>
      <c r="Q323" s="15" t="e">
        <v>#N/A</v>
      </c>
      <c r="R323" s="15" t="e">
        <v>#N/A</v>
      </c>
      <c r="S323" s="15"/>
      <c r="T323" s="103"/>
      <c r="U323" s="15"/>
      <c r="V323" s="15"/>
      <c r="W323" s="15"/>
      <c r="X323" s="99"/>
      <c r="Y323" s="71">
        <f ca="1">Table24[[#This Row],[End Date]]+2-TODAY()</f>
        <v>-45530</v>
      </c>
      <c r="Z323" s="15">
        <f>IF(ISBLANK(Table24[[#This Row],[Roster Received By]]),1,0)</f>
        <v>1</v>
      </c>
      <c r="AA323" s="15">
        <f ca="1">IF(Table24[[#This Row],[Start Date]]&gt;TODAY(),1,)</f>
        <v>0</v>
      </c>
    </row>
    <row r="324" spans="1:27" s="62" customFormat="1" x14ac:dyDescent="0.25">
      <c r="A324" s="99"/>
      <c r="B324" s="118"/>
      <c r="C324" s="100" t="e">
        <v>#N/A</v>
      </c>
      <c r="D324" s="100" t="e">
        <v>#N/A</v>
      </c>
      <c r="E324" s="116"/>
      <c r="F324" s="110"/>
      <c r="G324" s="110"/>
      <c r="H324" s="105"/>
      <c r="I324" s="105"/>
      <c r="J324" s="102"/>
      <c r="K324" s="102"/>
      <c r="L324" s="102"/>
      <c r="M324" s="102"/>
      <c r="N324" s="102"/>
      <c r="O324" s="99"/>
      <c r="P324" s="99"/>
      <c r="Q324" s="15" t="e">
        <v>#N/A</v>
      </c>
      <c r="R324" s="15" t="e">
        <v>#N/A</v>
      </c>
      <c r="S324" s="15"/>
      <c r="T324" s="103"/>
      <c r="U324" s="15"/>
      <c r="V324" s="15"/>
      <c r="W324" s="103"/>
      <c r="X324" s="99"/>
      <c r="Y324" s="71">
        <f ca="1">Table24[[#This Row],[End Date]]+2-TODAY()</f>
        <v>-45530</v>
      </c>
      <c r="Z324" s="15">
        <f>IF(ISBLANK(Table24[[#This Row],[Roster Received By]]),1,0)</f>
        <v>1</v>
      </c>
      <c r="AA324" s="15">
        <f ca="1">IF(Table24[[#This Row],[Start Date]]&gt;TODAY(),1,)</f>
        <v>0</v>
      </c>
    </row>
    <row r="325" spans="1:27" s="62" customFormat="1" x14ac:dyDescent="0.25">
      <c r="B325" s="118"/>
      <c r="C325" s="100" t="e">
        <v>#N/A</v>
      </c>
      <c r="D325" s="100" t="e">
        <v>#N/A</v>
      </c>
      <c r="E325" s="116"/>
      <c r="F325" s="110"/>
      <c r="G325" s="110"/>
      <c r="H325" s="105"/>
      <c r="I325" s="105"/>
      <c r="J325" s="102"/>
      <c r="K325" s="102"/>
      <c r="L325" s="102"/>
      <c r="M325" s="102"/>
      <c r="N325" s="102"/>
      <c r="O325" s="99"/>
      <c r="P325" s="99"/>
      <c r="Q325" s="15" t="e">
        <v>#N/A</v>
      </c>
      <c r="R325" s="15" t="e">
        <v>#N/A</v>
      </c>
      <c r="S325" s="15"/>
      <c r="T325" s="103"/>
      <c r="U325" s="15"/>
      <c r="V325" s="15"/>
      <c r="W325" s="15"/>
      <c r="X325" s="99"/>
      <c r="Y325" s="71">
        <f ca="1">Table24[[#This Row],[End Date]]+2-TODAY()</f>
        <v>-45530</v>
      </c>
      <c r="Z325" s="15">
        <f>IF(ISBLANK(Table24[[#This Row],[Roster Received By]]),1,0)</f>
        <v>1</v>
      </c>
      <c r="AA325" s="15">
        <f ca="1">IF(Table24[[#This Row],[Start Date]]&gt;TODAY(),1,)</f>
        <v>0</v>
      </c>
    </row>
    <row r="326" spans="1:27" s="62" customFormat="1" x14ac:dyDescent="0.25">
      <c r="B326" s="118"/>
      <c r="C326" s="100" t="e">
        <v>#N/A</v>
      </c>
      <c r="D326" s="100" t="e">
        <v>#N/A</v>
      </c>
      <c r="E326" s="116"/>
      <c r="F326" s="110"/>
      <c r="G326" s="110"/>
      <c r="H326" s="102"/>
      <c r="I326" s="101"/>
      <c r="J326" s="101"/>
      <c r="K326" s="101"/>
      <c r="L326" s="101"/>
      <c r="M326" s="101"/>
      <c r="N326" s="101"/>
      <c r="O326" s="99"/>
      <c r="P326" s="99"/>
      <c r="Q326" s="15" t="e">
        <v>#N/A</v>
      </c>
      <c r="R326" s="15" t="e">
        <v>#N/A</v>
      </c>
      <c r="S326" s="15"/>
      <c r="T326" s="103"/>
      <c r="U326" s="15"/>
      <c r="V326" s="15"/>
      <c r="W326" s="100"/>
      <c r="X326" s="99"/>
      <c r="Y326" s="71">
        <f ca="1">Table24[[#This Row],[End Date]]+2-TODAY()</f>
        <v>-45530</v>
      </c>
      <c r="Z326" s="15">
        <f>IF(ISBLANK(Table24[[#This Row],[Roster Received By]]),1,0)</f>
        <v>1</v>
      </c>
      <c r="AA326" s="15">
        <f ca="1">IF(Table24[[#This Row],[Start Date]]&gt;TODAY(),1,)</f>
        <v>0</v>
      </c>
    </row>
    <row r="327" spans="1:27" s="62" customFormat="1" x14ac:dyDescent="0.25">
      <c r="B327" s="118"/>
      <c r="C327" s="100" t="e">
        <v>#N/A</v>
      </c>
      <c r="D327" s="100" t="e">
        <v>#N/A</v>
      </c>
      <c r="E327" s="99"/>
      <c r="F327" s="110"/>
      <c r="G327" s="110"/>
      <c r="H327" s="102"/>
      <c r="I327" s="101"/>
      <c r="J327" s="101"/>
      <c r="K327" s="101"/>
      <c r="L327" s="101"/>
      <c r="M327" s="101"/>
      <c r="N327" s="101"/>
      <c r="O327" s="99"/>
      <c r="P327" s="99"/>
      <c r="Q327" s="15" t="e">
        <v>#N/A</v>
      </c>
      <c r="R327" s="15" t="e">
        <v>#N/A</v>
      </c>
      <c r="S327" s="15"/>
      <c r="T327" s="103"/>
      <c r="U327" s="15"/>
      <c r="V327" s="15"/>
      <c r="W327" s="15"/>
      <c r="X327" s="99"/>
      <c r="Y327" s="71">
        <f ca="1">Table24[[#This Row],[End Date]]+2-TODAY()</f>
        <v>-45530</v>
      </c>
      <c r="Z327" s="15">
        <f>IF(ISBLANK(Table24[[#This Row],[Roster Received By]]),1,0)</f>
        <v>1</v>
      </c>
      <c r="AA327" s="15">
        <f ca="1">IF(Table24[[#This Row],[Start Date]]&gt;TODAY(),1,)</f>
        <v>0</v>
      </c>
    </row>
    <row r="328" spans="1:27" s="62" customFormat="1" x14ac:dyDescent="0.25">
      <c r="B328" s="119"/>
      <c r="C328" s="100" t="e">
        <v>#N/A</v>
      </c>
      <c r="D328" s="100" t="e">
        <v>#N/A</v>
      </c>
      <c r="E328" s="116"/>
      <c r="F328" s="98"/>
      <c r="G328" s="98"/>
      <c r="H328" s="67"/>
      <c r="I328" s="101"/>
      <c r="J328" s="101"/>
      <c r="K328" s="101"/>
      <c r="L328" s="101"/>
      <c r="M328" s="101"/>
      <c r="N328" s="101"/>
      <c r="O328" s="99"/>
      <c r="P328" s="99"/>
      <c r="Q328" s="15" t="e">
        <v>#N/A</v>
      </c>
      <c r="R328" s="15" t="e">
        <v>#N/A</v>
      </c>
      <c r="S328" s="15"/>
      <c r="T328" s="103"/>
      <c r="U328" s="15"/>
      <c r="V328" s="15"/>
      <c r="W328" s="15"/>
      <c r="X328" s="99"/>
      <c r="Y328" s="71">
        <f ca="1">Table24[[#This Row],[End Date]]+2-TODAY()</f>
        <v>-45530</v>
      </c>
      <c r="Z328" s="15">
        <f>IF(ISBLANK(Table24[[#This Row],[Roster Received By]]),1,0)</f>
        <v>1</v>
      </c>
      <c r="AA328" s="15">
        <f ca="1">IF(Table24[[#This Row],[Start Date]]&gt;TODAY(),1,)</f>
        <v>0</v>
      </c>
    </row>
    <row r="329" spans="1:27" s="62" customFormat="1" x14ac:dyDescent="0.25">
      <c r="A329" s="99"/>
      <c r="B329" s="118"/>
      <c r="C329" s="100" t="e">
        <v>#N/A</v>
      </c>
      <c r="D329" s="100" t="e">
        <v>#N/A</v>
      </c>
      <c r="E329" s="116"/>
      <c r="F329" s="110"/>
      <c r="G329" s="110"/>
      <c r="H329" s="102"/>
      <c r="I329" s="101"/>
      <c r="J329" s="101"/>
      <c r="K329" s="101"/>
      <c r="L329" s="101"/>
      <c r="M329" s="101"/>
      <c r="N329" s="101"/>
      <c r="O329" s="99"/>
      <c r="P329" s="99"/>
      <c r="Q329" s="15" t="e">
        <v>#N/A</v>
      </c>
      <c r="R329" s="15" t="e">
        <v>#N/A</v>
      </c>
      <c r="S329" s="15"/>
      <c r="T329" s="103"/>
      <c r="U329" s="15"/>
      <c r="V329" s="15"/>
      <c r="W329" s="15"/>
      <c r="X329" s="99"/>
      <c r="Y329" s="71">
        <f ca="1">Table24[[#This Row],[End Date]]+2-TODAY()</f>
        <v>-45530</v>
      </c>
      <c r="Z329" s="15">
        <f>IF(ISBLANK(Table24[[#This Row],[Roster Received By]]),1,0)</f>
        <v>1</v>
      </c>
      <c r="AA329" s="15">
        <f ca="1">IF(Table24[[#This Row],[Start Date]]&gt;TODAY(),1,)</f>
        <v>0</v>
      </c>
    </row>
    <row r="330" spans="1:27" s="62" customFormat="1" x14ac:dyDescent="0.25">
      <c r="B330" s="118"/>
      <c r="C330" s="100" t="e">
        <v>#N/A</v>
      </c>
      <c r="D330" s="100" t="e">
        <v>#N/A</v>
      </c>
      <c r="E330" s="118"/>
      <c r="F330" s="110"/>
      <c r="G330" s="110"/>
      <c r="H330" s="102"/>
      <c r="I330" s="101"/>
      <c r="J330" s="101"/>
      <c r="K330" s="101"/>
      <c r="L330" s="101"/>
      <c r="M330" s="101"/>
      <c r="N330" s="101"/>
      <c r="O330" s="99"/>
      <c r="P330" s="99"/>
      <c r="Q330" s="15" t="e">
        <v>#N/A</v>
      </c>
      <c r="R330" s="15" t="e">
        <v>#N/A</v>
      </c>
      <c r="S330" s="15"/>
      <c r="T330" s="103"/>
      <c r="U330" s="15"/>
      <c r="V330" s="15"/>
      <c r="W330" s="15"/>
      <c r="X330" s="99"/>
      <c r="Y330" s="71">
        <f ca="1">Table24[[#This Row],[End Date]]+2-TODAY()</f>
        <v>-45530</v>
      </c>
      <c r="Z330" s="15">
        <f>IF(ISBLANK(Table24[[#This Row],[Roster Received By]]),1,0)</f>
        <v>1</v>
      </c>
      <c r="AA330" s="15">
        <f ca="1">IF(Table24[[#This Row],[Start Date]]&gt;TODAY(),1,)</f>
        <v>0</v>
      </c>
    </row>
    <row r="331" spans="1:27" s="62" customFormat="1" x14ac:dyDescent="0.25">
      <c r="B331" s="118"/>
      <c r="C331" s="100" t="e">
        <v>#N/A</v>
      </c>
      <c r="D331" s="100" t="e">
        <v>#N/A</v>
      </c>
      <c r="E331" s="118"/>
      <c r="F331" s="110"/>
      <c r="G331" s="110"/>
      <c r="H331" s="102"/>
      <c r="I331" s="101"/>
      <c r="J331" s="101"/>
      <c r="K331" s="101"/>
      <c r="L331" s="101"/>
      <c r="M331" s="101"/>
      <c r="N331" s="101"/>
      <c r="O331" s="99"/>
      <c r="P331" s="99"/>
      <c r="Q331" s="15" t="e">
        <v>#N/A</v>
      </c>
      <c r="R331" s="15" t="e">
        <v>#N/A</v>
      </c>
      <c r="S331" s="15"/>
      <c r="T331" s="103"/>
      <c r="U331" s="15"/>
      <c r="V331" s="15"/>
      <c r="W331" s="15"/>
      <c r="X331" s="99"/>
      <c r="Y331" s="71">
        <f ca="1">Table24[[#This Row],[End Date]]+2-TODAY()</f>
        <v>-45530</v>
      </c>
      <c r="Z331" s="15">
        <f>IF(ISBLANK(Table24[[#This Row],[Roster Received By]]),1,0)</f>
        <v>1</v>
      </c>
      <c r="AA331" s="15">
        <f ca="1">IF(Table24[[#This Row],[Start Date]]&gt;TODAY(),1,)</f>
        <v>0</v>
      </c>
    </row>
    <row r="332" spans="1:27" s="62" customFormat="1" x14ac:dyDescent="0.25">
      <c r="B332" s="118"/>
      <c r="C332" s="100" t="e">
        <v>#N/A</v>
      </c>
      <c r="D332" s="100" t="e">
        <v>#N/A</v>
      </c>
      <c r="E332" s="118"/>
      <c r="F332" s="110"/>
      <c r="G332" s="110"/>
      <c r="H332" s="102"/>
      <c r="I332" s="101"/>
      <c r="J332" s="101"/>
      <c r="K332" s="101"/>
      <c r="L332" s="101"/>
      <c r="M332" s="101"/>
      <c r="N332" s="101"/>
      <c r="O332" s="99"/>
      <c r="P332" s="99"/>
      <c r="Q332" s="15" t="e">
        <v>#N/A</v>
      </c>
      <c r="R332" s="15" t="e">
        <v>#N/A</v>
      </c>
      <c r="S332" s="15"/>
      <c r="T332" s="103"/>
      <c r="U332" s="15"/>
      <c r="V332" s="15"/>
      <c r="W332" s="15"/>
      <c r="X332" s="99"/>
      <c r="Y332" s="71">
        <f ca="1">Table24[[#This Row],[End Date]]+2-TODAY()</f>
        <v>-45530</v>
      </c>
      <c r="Z332" s="15">
        <f>IF(ISBLANK(Table24[[#This Row],[Roster Received By]]),1,0)</f>
        <v>1</v>
      </c>
      <c r="AA332" s="15">
        <f ca="1">IF(Table24[[#This Row],[Start Date]]&gt;TODAY(),1,)</f>
        <v>0</v>
      </c>
    </row>
    <row r="333" spans="1:27" s="106" customFormat="1" ht="15.75" customHeight="1" x14ac:dyDescent="0.25">
      <c r="A333" s="62"/>
      <c r="B333" s="118"/>
      <c r="C333" s="100" t="e">
        <v>#N/A</v>
      </c>
      <c r="D333" s="100" t="e">
        <v>#N/A</v>
      </c>
      <c r="E333" s="129"/>
      <c r="F333" s="110"/>
      <c r="G333" s="110"/>
      <c r="H333" s="105"/>
      <c r="I333" s="105"/>
      <c r="J333" s="105"/>
      <c r="K333" s="105"/>
      <c r="L333" s="105"/>
      <c r="M333" s="105"/>
      <c r="N333" s="102"/>
      <c r="O333" s="99"/>
      <c r="P333" s="99"/>
      <c r="Q333" s="15" t="e">
        <v>#N/A</v>
      </c>
      <c r="R333" s="15" t="e">
        <v>#N/A</v>
      </c>
      <c r="S333" s="15"/>
      <c r="T333" s="103"/>
      <c r="U333" s="15"/>
      <c r="V333" s="15"/>
      <c r="W333" s="15"/>
      <c r="X333" s="99"/>
      <c r="Y333" s="71">
        <f ca="1">Table24[[#This Row],[End Date]]+2-TODAY()</f>
        <v>-45530</v>
      </c>
      <c r="Z333" s="15">
        <f>IF(ISBLANK(Table24[[#This Row],[Roster Received By]]),1,0)</f>
        <v>1</v>
      </c>
      <c r="AA333" s="15">
        <f ca="1">IF(Table24[[#This Row],[Start Date]]&gt;TODAY(),1,)</f>
        <v>0</v>
      </c>
    </row>
    <row r="334" spans="1:27" s="106" customFormat="1" ht="15.75" customHeight="1" x14ac:dyDescent="0.25">
      <c r="A334" s="99"/>
      <c r="B334" s="118"/>
      <c r="C334" s="100" t="e">
        <v>#N/A</v>
      </c>
      <c r="D334" s="100" t="e">
        <v>#N/A</v>
      </c>
      <c r="E334" s="129"/>
      <c r="F334" s="110"/>
      <c r="G334" s="110"/>
      <c r="H334" s="105"/>
      <c r="I334" s="105"/>
      <c r="J334" s="102"/>
      <c r="K334" s="102"/>
      <c r="L334" s="102"/>
      <c r="M334" s="102"/>
      <c r="N334" s="102"/>
      <c r="O334" s="99"/>
      <c r="P334" s="99"/>
      <c r="Q334" s="15" t="e">
        <v>#N/A</v>
      </c>
      <c r="R334" s="15" t="e">
        <v>#N/A</v>
      </c>
      <c r="S334" s="15"/>
      <c r="T334" s="103"/>
      <c r="U334" s="15"/>
      <c r="V334" s="15"/>
      <c r="W334" s="15"/>
      <c r="X334" s="99"/>
      <c r="Y334" s="71">
        <f ca="1">Table24[[#This Row],[End Date]]+2-TODAY()</f>
        <v>-45530</v>
      </c>
      <c r="Z334" s="15">
        <f>IF(ISBLANK(Table24[[#This Row],[Roster Received By]]),1,0)</f>
        <v>1</v>
      </c>
      <c r="AA334" s="15">
        <f ca="1">IF(Table24[[#This Row],[Start Date]]&gt;TODAY(),1,)</f>
        <v>0</v>
      </c>
    </row>
    <row r="335" spans="1:27" s="106" customFormat="1" ht="15.75" customHeight="1" x14ac:dyDescent="0.25">
      <c r="A335" s="62"/>
      <c r="B335" s="118"/>
      <c r="C335" s="100" t="e">
        <v>#N/A</v>
      </c>
      <c r="D335" s="100" t="e">
        <v>#N/A</v>
      </c>
      <c r="E335" s="118"/>
      <c r="F335" s="110"/>
      <c r="G335" s="110"/>
      <c r="H335" s="102"/>
      <c r="I335" s="101"/>
      <c r="J335" s="101"/>
      <c r="K335" s="101"/>
      <c r="L335" s="101"/>
      <c r="M335" s="101"/>
      <c r="N335" s="101"/>
      <c r="O335" s="99"/>
      <c r="P335" s="99"/>
      <c r="Q335" s="15" t="e">
        <v>#N/A</v>
      </c>
      <c r="R335" s="15" t="e">
        <v>#N/A</v>
      </c>
      <c r="S335" s="15"/>
      <c r="T335" s="103"/>
      <c r="U335" s="15"/>
      <c r="V335" s="15"/>
      <c r="W335" s="107"/>
      <c r="X335" s="99"/>
      <c r="Y335" s="71">
        <f ca="1">Table24[[#This Row],[End Date]]+2-TODAY()</f>
        <v>-45530</v>
      </c>
      <c r="Z335" s="15">
        <f>IF(ISBLANK(Table24[[#This Row],[Roster Received By]]),1,0)</f>
        <v>1</v>
      </c>
      <c r="AA335" s="15">
        <f ca="1">IF(Table24[[#This Row],[Start Date]]&gt;TODAY(),1,)</f>
        <v>0</v>
      </c>
    </row>
    <row r="336" spans="1:27" s="106" customFormat="1" ht="15.75" customHeight="1" x14ac:dyDescent="0.25">
      <c r="A336" s="62"/>
      <c r="B336" s="118"/>
      <c r="C336" s="100" t="e">
        <v>#N/A</v>
      </c>
      <c r="D336" s="100" t="e">
        <v>#N/A</v>
      </c>
      <c r="E336" s="118"/>
      <c r="F336" s="110"/>
      <c r="G336" s="110"/>
      <c r="H336" s="105"/>
      <c r="I336" s="105"/>
      <c r="J336" s="105"/>
      <c r="K336" s="105"/>
      <c r="L336" s="105"/>
      <c r="M336" s="105"/>
      <c r="N336" s="102"/>
      <c r="O336" s="99"/>
      <c r="P336" s="99"/>
      <c r="Q336" s="15" t="e">
        <v>#N/A</v>
      </c>
      <c r="R336" s="15" t="e">
        <v>#N/A</v>
      </c>
      <c r="S336" s="15"/>
      <c r="T336" s="103"/>
      <c r="U336" s="15"/>
      <c r="V336" s="15"/>
      <c r="W336" s="15"/>
      <c r="X336" s="99"/>
      <c r="Y336" s="71">
        <f ca="1">Table24[[#This Row],[End Date]]+2-TODAY()</f>
        <v>-45530</v>
      </c>
      <c r="Z336" s="15">
        <f>IF(ISBLANK(Table24[[#This Row],[Roster Received By]]),1,0)</f>
        <v>1</v>
      </c>
      <c r="AA336" s="15">
        <f ca="1">IF(Table24[[#This Row],[Start Date]]&gt;TODAY(),1,)</f>
        <v>0</v>
      </c>
    </row>
    <row r="337" spans="1:27" s="106" customFormat="1" ht="15.75" customHeight="1" x14ac:dyDescent="0.25">
      <c r="A337" s="62"/>
      <c r="B337" s="116"/>
      <c r="C337" s="100" t="e">
        <v>#N/A</v>
      </c>
      <c r="D337" s="100" t="e">
        <v>#N/A</v>
      </c>
      <c r="E337" s="116"/>
      <c r="F337" s="110"/>
      <c r="G337" s="110"/>
      <c r="H337" s="108"/>
      <c r="I337" s="108"/>
      <c r="J337" s="102"/>
      <c r="K337" s="102"/>
      <c r="L337" s="102"/>
      <c r="M337" s="102"/>
      <c r="N337" s="102"/>
      <c r="O337" s="99"/>
      <c r="P337" s="99"/>
      <c r="Q337" s="15" t="e">
        <v>#N/A</v>
      </c>
      <c r="R337" s="15" t="e">
        <v>#N/A</v>
      </c>
      <c r="S337" s="15"/>
      <c r="T337" s="103"/>
      <c r="U337" s="15"/>
      <c r="V337" s="15"/>
      <c r="W337" s="100"/>
      <c r="X337" s="99"/>
      <c r="Y337" s="71">
        <f ca="1">Table24[[#This Row],[End Date]]+2-TODAY()</f>
        <v>-45530</v>
      </c>
      <c r="Z337" s="15">
        <f>IF(ISBLANK(Table24[[#This Row],[Roster Received By]]),1,0)</f>
        <v>1</v>
      </c>
      <c r="AA337" s="15">
        <f ca="1">IF(Table24[[#This Row],[Start Date]]&gt;TODAY(),1,)</f>
        <v>0</v>
      </c>
    </row>
    <row r="338" spans="1:27" s="106" customFormat="1" ht="15.75" customHeight="1" x14ac:dyDescent="0.25">
      <c r="A338" s="62"/>
      <c r="B338" s="116"/>
      <c r="C338" s="100" t="e">
        <v>#N/A</v>
      </c>
      <c r="D338" s="100" t="e">
        <v>#N/A</v>
      </c>
      <c r="E338" s="99"/>
      <c r="F338" s="110"/>
      <c r="G338" s="110"/>
      <c r="H338" s="108"/>
      <c r="I338" s="108"/>
      <c r="J338" s="102"/>
      <c r="K338" s="102"/>
      <c r="L338" s="102"/>
      <c r="M338" s="102"/>
      <c r="N338" s="102"/>
      <c r="O338" s="99"/>
      <c r="P338" s="99"/>
      <c r="Q338" s="15" t="e">
        <v>#N/A</v>
      </c>
      <c r="R338" s="15" t="e">
        <v>#N/A</v>
      </c>
      <c r="S338" s="15"/>
      <c r="T338" s="103"/>
      <c r="U338" s="15"/>
      <c r="V338" s="15"/>
      <c r="W338" s="15"/>
      <c r="X338" s="99"/>
      <c r="Y338" s="71">
        <f ca="1">Table24[[#This Row],[End Date]]+2-TODAY()</f>
        <v>-45530</v>
      </c>
      <c r="Z338" s="15">
        <f>IF(ISBLANK(Table24[[#This Row],[Roster Received By]]),1,0)</f>
        <v>1</v>
      </c>
      <c r="AA338" s="15">
        <f ca="1">IF(Table24[[#This Row],[Start Date]]&gt;TODAY(),1,)</f>
        <v>0</v>
      </c>
    </row>
    <row r="339" spans="1:27" s="106" customFormat="1" ht="15.75" customHeight="1" x14ac:dyDescent="0.25">
      <c r="A339" s="62"/>
      <c r="B339" s="118"/>
      <c r="C339" s="100" t="e">
        <v>#N/A</v>
      </c>
      <c r="D339" s="100" t="e">
        <v>#N/A</v>
      </c>
      <c r="E339" s="116"/>
      <c r="F339" s="110"/>
      <c r="G339" s="110"/>
      <c r="H339" s="102"/>
      <c r="I339" s="101"/>
      <c r="J339" s="101"/>
      <c r="K339" s="101"/>
      <c r="L339" s="101"/>
      <c r="M339" s="101"/>
      <c r="N339" s="101"/>
      <c r="O339" s="99"/>
      <c r="P339" s="99"/>
      <c r="Q339" s="15" t="e">
        <v>#N/A</v>
      </c>
      <c r="R339" s="15" t="e">
        <v>#N/A</v>
      </c>
      <c r="S339" s="15"/>
      <c r="T339" s="103"/>
      <c r="U339" s="15"/>
      <c r="V339" s="15"/>
      <c r="W339" s="15"/>
      <c r="X339" s="99"/>
      <c r="Y339" s="71">
        <f ca="1">Table24[[#This Row],[End Date]]+2-TODAY()</f>
        <v>-45530</v>
      </c>
      <c r="Z339" s="15">
        <f>IF(ISBLANK(Table24[[#This Row],[Roster Received By]]),1,0)</f>
        <v>1</v>
      </c>
      <c r="AA339" s="15">
        <f ca="1">IF(Table24[[#This Row],[Start Date]]&gt;TODAY(),1,)</f>
        <v>0</v>
      </c>
    </row>
    <row r="340" spans="1:27" s="106" customFormat="1" ht="15.75" customHeight="1" x14ac:dyDescent="0.25">
      <c r="A340" s="62"/>
      <c r="B340" s="116"/>
      <c r="C340" s="100" t="e">
        <v>#N/A</v>
      </c>
      <c r="D340" s="100" t="e">
        <v>#N/A</v>
      </c>
      <c r="E340" s="116"/>
      <c r="F340" s="120"/>
      <c r="G340" s="121"/>
      <c r="H340" s="108"/>
      <c r="I340" s="108"/>
      <c r="J340" s="102"/>
      <c r="K340" s="102"/>
      <c r="L340" s="102"/>
      <c r="M340" s="102"/>
      <c r="N340" s="102"/>
      <c r="O340" s="99"/>
      <c r="P340" s="99"/>
      <c r="Q340" s="15" t="e">
        <v>#N/A</v>
      </c>
      <c r="R340" s="15" t="e">
        <v>#N/A</v>
      </c>
      <c r="S340" s="15"/>
      <c r="T340" s="103"/>
      <c r="U340" s="15"/>
      <c r="V340" s="15"/>
      <c r="W340" s="15"/>
      <c r="X340" s="99"/>
      <c r="Y340" s="71">
        <f ca="1">Table24[[#This Row],[End Date]]+2-TODAY()</f>
        <v>-45530</v>
      </c>
      <c r="Z340" s="15">
        <f>IF(ISBLANK(Table24[[#This Row],[Roster Received By]]),1,0)</f>
        <v>1</v>
      </c>
      <c r="AA340" s="15">
        <f ca="1">IF(Table24[[#This Row],[Start Date]]&gt;TODAY(),1,)</f>
        <v>0</v>
      </c>
    </row>
    <row r="341" spans="1:27" s="106" customFormat="1" ht="15.75" customHeight="1" x14ac:dyDescent="0.25">
      <c r="A341" s="99"/>
      <c r="B341" s="116"/>
      <c r="C341" s="100" t="e">
        <v>#N/A</v>
      </c>
      <c r="D341" s="100" t="e">
        <v>#N/A</v>
      </c>
      <c r="E341" s="116"/>
      <c r="F341" s="132"/>
      <c r="G341" s="132"/>
      <c r="H341" s="108"/>
      <c r="I341" s="108"/>
      <c r="J341" s="102"/>
      <c r="K341" s="102"/>
      <c r="L341" s="102"/>
      <c r="M341" s="102"/>
      <c r="N341" s="102"/>
      <c r="O341" s="99"/>
      <c r="P341" s="99"/>
      <c r="Q341" s="15" t="e">
        <v>#N/A</v>
      </c>
      <c r="R341" s="15" t="e">
        <v>#N/A</v>
      </c>
      <c r="S341" s="15"/>
      <c r="T341" s="103"/>
      <c r="U341" s="15"/>
      <c r="V341" s="15"/>
      <c r="W341" s="15"/>
      <c r="X341" s="99"/>
      <c r="Y341" s="71">
        <f ca="1">Table24[[#This Row],[End Date]]+2-TODAY()</f>
        <v>-45530</v>
      </c>
      <c r="Z341" s="15">
        <f>IF(ISBLANK(Table24[[#This Row],[Roster Received By]]),1,0)</f>
        <v>1</v>
      </c>
      <c r="AA341" s="15">
        <f ca="1">IF(Table24[[#This Row],[Start Date]]&gt;TODAY(),1,)</f>
        <v>0</v>
      </c>
    </row>
    <row r="342" spans="1:27" s="106" customFormat="1" ht="15.75" customHeight="1" x14ac:dyDescent="0.25">
      <c r="A342" s="62"/>
      <c r="B342" s="116"/>
      <c r="C342" s="100" t="e">
        <v>#N/A</v>
      </c>
      <c r="D342" s="100" t="e">
        <v>#N/A</v>
      </c>
      <c r="E342" s="66"/>
      <c r="F342" s="133"/>
      <c r="G342" s="133"/>
      <c r="H342" s="101"/>
      <c r="I342" s="101"/>
      <c r="J342" s="102"/>
      <c r="K342" s="102"/>
      <c r="L342" s="102"/>
      <c r="M342" s="102"/>
      <c r="N342" s="102"/>
      <c r="O342" s="99"/>
      <c r="P342" s="99"/>
      <c r="Q342" s="15" t="e">
        <v>#N/A</v>
      </c>
      <c r="R342" s="15" t="e">
        <v>#N/A</v>
      </c>
      <c r="S342" s="15"/>
      <c r="T342" s="103"/>
      <c r="U342" s="15"/>
      <c r="V342" s="15"/>
      <c r="W342" s="15"/>
      <c r="X342" s="99"/>
      <c r="Y342" s="71">
        <f ca="1">Table24[[#This Row],[End Date]]+2-TODAY()</f>
        <v>-45530</v>
      </c>
      <c r="Z342" s="15">
        <f>IF(ISBLANK(Table24[[#This Row],[Roster Received By]]),1,0)</f>
        <v>1</v>
      </c>
      <c r="AA342" s="15">
        <f ca="1">IF(Table24[[#This Row],[Start Date]]&gt;TODAY(),1,)</f>
        <v>0</v>
      </c>
    </row>
    <row r="343" spans="1:27" s="106" customFormat="1" ht="15.75" customHeight="1" x14ac:dyDescent="0.25">
      <c r="A343" s="99"/>
      <c r="B343" s="118"/>
      <c r="C343" s="100" t="e">
        <v>#N/A</v>
      </c>
      <c r="D343" s="100" t="e">
        <v>#N/A</v>
      </c>
      <c r="E343" s="116"/>
      <c r="F343" s="132"/>
      <c r="G343" s="132"/>
      <c r="H343" s="102"/>
      <c r="I343" s="101"/>
      <c r="J343" s="101"/>
      <c r="K343" s="101"/>
      <c r="L343" s="101"/>
      <c r="M343" s="101"/>
      <c r="N343" s="101"/>
      <c r="O343" s="99"/>
      <c r="P343" s="99"/>
      <c r="Q343" s="15" t="e">
        <v>#N/A</v>
      </c>
      <c r="R343" s="15" t="e">
        <v>#N/A</v>
      </c>
      <c r="S343" s="15"/>
      <c r="T343" s="103"/>
      <c r="U343" s="15"/>
      <c r="V343" s="15"/>
      <c r="W343" s="15"/>
      <c r="X343" s="99"/>
      <c r="Y343" s="71">
        <f ca="1">Table24[[#This Row],[End Date]]+2-TODAY()</f>
        <v>-45530</v>
      </c>
      <c r="Z343" s="15">
        <f>IF(ISBLANK(Table24[[#This Row],[Roster Received By]]),1,0)</f>
        <v>1</v>
      </c>
      <c r="AA343" s="15">
        <f ca="1">IF(Table24[[#This Row],[Start Date]]&gt;TODAY(),1,)</f>
        <v>0</v>
      </c>
    </row>
    <row r="344" spans="1:27" s="106" customFormat="1" ht="15.75" customHeight="1" x14ac:dyDescent="0.25">
      <c r="A344" s="99"/>
      <c r="B344" s="116"/>
      <c r="C344" s="100" t="e">
        <v>#N/A</v>
      </c>
      <c r="D344" s="100" t="e">
        <v>#N/A</v>
      </c>
      <c r="E344" s="116"/>
      <c r="F344" s="132"/>
      <c r="G344" s="132"/>
      <c r="H344" s="105"/>
      <c r="I344" s="105"/>
      <c r="J344" s="102"/>
      <c r="K344" s="102"/>
      <c r="L344" s="102"/>
      <c r="M344" s="102"/>
      <c r="N344" s="102"/>
      <c r="O344" s="99"/>
      <c r="P344" s="99"/>
      <c r="Q344" s="15" t="e">
        <v>#N/A</v>
      </c>
      <c r="R344" s="15" t="e">
        <v>#N/A</v>
      </c>
      <c r="S344" s="15"/>
      <c r="T344" s="103"/>
      <c r="U344" s="15"/>
      <c r="V344" s="15"/>
      <c r="W344" s="15"/>
      <c r="X344" s="99"/>
      <c r="Y344" s="71">
        <f ca="1">Table24[[#This Row],[End Date]]+2-TODAY()</f>
        <v>-45530</v>
      </c>
      <c r="Z344" s="15">
        <f>IF(ISBLANK(Table24[[#This Row],[Roster Received By]]),1,0)</f>
        <v>1</v>
      </c>
      <c r="AA344" s="15">
        <f ca="1">IF(Table24[[#This Row],[Start Date]]&gt;TODAY(),1,)</f>
        <v>0</v>
      </c>
    </row>
    <row r="345" spans="1:27" s="106" customFormat="1" ht="15.75" customHeight="1" x14ac:dyDescent="0.25">
      <c r="A345" s="62"/>
      <c r="B345" s="116"/>
      <c r="C345" s="100" t="e">
        <v>#N/A</v>
      </c>
      <c r="D345" s="100" t="e">
        <v>#N/A</v>
      </c>
      <c r="E345" s="66"/>
      <c r="F345" s="132"/>
      <c r="G345" s="132"/>
      <c r="H345" s="105"/>
      <c r="I345" s="105"/>
      <c r="J345" s="102"/>
      <c r="K345" s="102"/>
      <c r="L345" s="102"/>
      <c r="M345" s="102"/>
      <c r="N345" s="102"/>
      <c r="O345" s="99"/>
      <c r="P345" s="99"/>
      <c r="Q345" s="15" t="e">
        <v>#N/A</v>
      </c>
      <c r="R345" s="15" t="e">
        <v>#N/A</v>
      </c>
      <c r="S345" s="15"/>
      <c r="T345" s="103"/>
      <c r="U345" s="15"/>
      <c r="V345" s="15"/>
      <c r="W345" s="15"/>
      <c r="X345" s="99"/>
      <c r="Y345" s="71">
        <f ca="1">Table24[[#This Row],[End Date]]+2-TODAY()</f>
        <v>-45530</v>
      </c>
      <c r="Z345" s="15">
        <f>IF(ISBLANK(Table24[[#This Row],[Roster Received By]]),1,0)</f>
        <v>1</v>
      </c>
      <c r="AA345" s="15">
        <f ca="1">IF(Table24[[#This Row],[Start Date]]&gt;TODAY(),1,)</f>
        <v>0</v>
      </c>
    </row>
    <row r="346" spans="1:27" s="106" customFormat="1" ht="15.75" customHeight="1" x14ac:dyDescent="0.25">
      <c r="A346" s="62"/>
      <c r="B346" s="116"/>
      <c r="C346" s="100" t="e">
        <v>#N/A</v>
      </c>
      <c r="D346" s="100" t="e">
        <v>#N/A</v>
      </c>
      <c r="E346" s="66"/>
      <c r="F346" s="98"/>
      <c r="G346" s="98"/>
      <c r="H346" s="101"/>
      <c r="I346" s="101"/>
      <c r="J346" s="102"/>
      <c r="K346" s="102"/>
      <c r="L346" s="102"/>
      <c r="M346" s="102"/>
      <c r="N346" s="102"/>
      <c r="O346" s="99"/>
      <c r="P346" s="99"/>
      <c r="Q346" s="15" t="e">
        <v>#N/A</v>
      </c>
      <c r="R346" s="15" t="e">
        <v>#N/A</v>
      </c>
      <c r="S346" s="15"/>
      <c r="T346" s="103"/>
      <c r="U346" s="15"/>
      <c r="V346" s="15"/>
      <c r="W346" s="15"/>
      <c r="X346" s="99"/>
      <c r="Y346" s="71">
        <f ca="1">Table24[[#This Row],[End Date]]+2-TODAY()</f>
        <v>-45530</v>
      </c>
      <c r="Z346" s="15">
        <f>IF(ISBLANK(Table24[[#This Row],[Roster Received By]]),1,0)</f>
        <v>1</v>
      </c>
      <c r="AA346" s="15">
        <f ca="1">IF(Table24[[#This Row],[Start Date]]&gt;TODAY(),1,)</f>
        <v>0</v>
      </c>
    </row>
    <row r="347" spans="1:27" s="106" customFormat="1" ht="15.75" customHeight="1" x14ac:dyDescent="0.25">
      <c r="A347" s="62"/>
      <c r="B347" s="116"/>
      <c r="C347" s="100" t="e">
        <v>#N/A</v>
      </c>
      <c r="D347" s="100" t="e">
        <v>#N/A</v>
      </c>
      <c r="E347" s="116"/>
      <c r="F347" s="110"/>
      <c r="G347" s="110"/>
      <c r="H347" s="102"/>
      <c r="I347" s="101"/>
      <c r="J347" s="101"/>
      <c r="K347" s="101"/>
      <c r="L347" s="101"/>
      <c r="M347" s="101"/>
      <c r="N347" s="101"/>
      <c r="O347" s="99"/>
      <c r="P347" s="99"/>
      <c r="Q347" s="15" t="e">
        <v>#N/A</v>
      </c>
      <c r="R347" s="15" t="e">
        <v>#N/A</v>
      </c>
      <c r="S347" s="15"/>
      <c r="T347" s="103"/>
      <c r="U347" s="15"/>
      <c r="V347" s="15"/>
      <c r="W347" s="15"/>
      <c r="X347" s="99"/>
      <c r="Y347" s="71">
        <f ca="1">Table24[[#This Row],[End Date]]+2-TODAY()</f>
        <v>-45530</v>
      </c>
      <c r="Z347" s="15">
        <f>IF(ISBLANK(Table24[[#This Row],[Roster Received By]]),1,0)</f>
        <v>1</v>
      </c>
      <c r="AA347" s="15">
        <f ca="1">IF(Table24[[#This Row],[Start Date]]&gt;TODAY(),1,)</f>
        <v>0</v>
      </c>
    </row>
    <row r="348" spans="1:27" s="100" customFormat="1" x14ac:dyDescent="0.25">
      <c r="A348" s="62"/>
      <c r="B348" s="118"/>
      <c r="C348" s="100" t="e">
        <v>#N/A</v>
      </c>
      <c r="D348" s="100" t="e">
        <v>#N/A</v>
      </c>
      <c r="E348" s="116"/>
      <c r="F348" s="110"/>
      <c r="G348" s="110"/>
      <c r="H348" s="102"/>
      <c r="I348" s="101"/>
      <c r="J348" s="101"/>
      <c r="K348" s="101"/>
      <c r="L348" s="101"/>
      <c r="M348" s="101"/>
      <c r="N348" s="101"/>
      <c r="O348" s="99"/>
      <c r="P348" s="99"/>
      <c r="Q348" s="15" t="e">
        <v>#N/A</v>
      </c>
      <c r="R348" s="15" t="e">
        <v>#N/A</v>
      </c>
      <c r="S348" s="15"/>
      <c r="T348" s="103"/>
      <c r="U348" s="15"/>
      <c r="V348" s="15"/>
      <c r="W348" s="15"/>
      <c r="X348" s="99"/>
      <c r="Y348" s="71">
        <f ca="1">Table24[[#This Row],[End Date]]+2-TODAY()</f>
        <v>-45530</v>
      </c>
      <c r="Z348" s="15">
        <f>IF(ISBLANK(Table24[[#This Row],[Roster Received By]]),1,0)</f>
        <v>1</v>
      </c>
      <c r="AA348" s="15">
        <f ca="1">IF(Table24[[#This Row],[Start Date]]&gt;TODAY(),1,)</f>
        <v>0</v>
      </c>
    </row>
    <row r="349" spans="1:27" s="62" customFormat="1" x14ac:dyDescent="0.25">
      <c r="B349" s="118"/>
      <c r="C349" s="100" t="e">
        <v>#N/A</v>
      </c>
      <c r="D349" s="100" t="e">
        <v>#N/A</v>
      </c>
      <c r="E349" s="66"/>
      <c r="F349" s="98"/>
      <c r="G349" s="98"/>
      <c r="H349" s="101"/>
      <c r="I349" s="101"/>
      <c r="J349" s="102"/>
      <c r="K349" s="102"/>
      <c r="L349" s="102"/>
      <c r="M349" s="102"/>
      <c r="N349" s="102"/>
      <c r="O349" s="99"/>
      <c r="P349" s="99"/>
      <c r="Q349" s="15" t="e">
        <v>#N/A</v>
      </c>
      <c r="R349" s="15" t="e">
        <v>#N/A</v>
      </c>
      <c r="S349" s="15"/>
      <c r="T349" s="103"/>
      <c r="U349" s="15"/>
      <c r="V349" s="15"/>
      <c r="W349" s="100"/>
      <c r="X349" s="99"/>
      <c r="Y349" s="109">
        <f ca="1">Table24[[#This Row],[End Date]]+2-TODAY()</f>
        <v>-45530</v>
      </c>
      <c r="Z349" s="15">
        <f>IF(ISBLANK(Table24[[#This Row],[Roster Received By]]),1,0)</f>
        <v>1</v>
      </c>
      <c r="AA349" s="100">
        <f ca="1">IF(Table24[[#This Row],[Start Date]]&gt;TODAY(),1,)</f>
        <v>0</v>
      </c>
    </row>
    <row r="350" spans="1:27" s="62" customFormat="1" x14ac:dyDescent="0.25">
      <c r="B350" s="116"/>
      <c r="C350" s="100" t="e">
        <v>#N/A</v>
      </c>
      <c r="D350" s="100" t="e">
        <v>#N/A</v>
      </c>
      <c r="E350" s="128"/>
      <c r="F350" s="131"/>
      <c r="G350" s="131"/>
      <c r="H350" s="168"/>
      <c r="I350" s="101"/>
      <c r="J350" s="101"/>
      <c r="K350" s="101"/>
      <c r="L350" s="101"/>
      <c r="M350" s="101"/>
      <c r="N350" s="101"/>
      <c r="O350" s="99"/>
      <c r="P350" s="99"/>
      <c r="Q350" s="15" t="e">
        <v>#N/A</v>
      </c>
      <c r="R350" s="15" t="e">
        <v>#N/A</v>
      </c>
      <c r="S350" s="15"/>
      <c r="T350" s="103"/>
      <c r="U350" s="15"/>
      <c r="V350" s="15"/>
      <c r="W350" s="100"/>
      <c r="X350" s="99"/>
      <c r="Y350" s="109">
        <f ca="1">Table24[[#This Row],[End Date]]+2-TODAY()</f>
        <v>-45530</v>
      </c>
      <c r="Z350" s="15">
        <f>IF(ISBLANK(Table24[[#This Row],[Roster Received By]]),1,0)</f>
        <v>1</v>
      </c>
      <c r="AA350" s="100">
        <f ca="1">IF(Table24[[#This Row],[Start Date]]&gt;TODAY(),1,)</f>
        <v>0</v>
      </c>
    </row>
    <row r="351" spans="1:27" s="62" customFormat="1" x14ac:dyDescent="0.25">
      <c r="B351" s="116"/>
      <c r="C351" s="100" t="e">
        <v>#N/A</v>
      </c>
      <c r="D351" s="100" t="e">
        <v>#N/A</v>
      </c>
      <c r="E351" s="116"/>
      <c r="F351" s="110"/>
      <c r="G351" s="110"/>
      <c r="H351" s="102"/>
      <c r="I351" s="101"/>
      <c r="J351" s="101"/>
      <c r="K351" s="101"/>
      <c r="L351" s="101"/>
      <c r="M351" s="101"/>
      <c r="N351" s="101"/>
      <c r="O351" s="99"/>
      <c r="P351" s="99"/>
      <c r="Q351" s="15" t="e">
        <v>#N/A</v>
      </c>
      <c r="R351" s="15" t="e">
        <v>#N/A</v>
      </c>
      <c r="S351" s="15"/>
      <c r="T351" s="103"/>
      <c r="U351" s="15"/>
      <c r="V351" s="15"/>
      <c r="W351" s="100"/>
      <c r="X351" s="99"/>
      <c r="Y351" s="109">
        <f ca="1">Table24[[#This Row],[End Date]]+2-TODAY()</f>
        <v>-45530</v>
      </c>
      <c r="Z351" s="15">
        <f>IF(ISBLANK(Table24[[#This Row],[Roster Received By]]),1,0)</f>
        <v>1</v>
      </c>
      <c r="AA351" s="100">
        <f ca="1">IF(Table24[[#This Row],[Start Date]]&gt;TODAY(),1,)</f>
        <v>0</v>
      </c>
    </row>
    <row r="352" spans="1:27" s="62" customFormat="1" x14ac:dyDescent="0.25">
      <c r="B352" s="116"/>
      <c r="C352" s="100" t="e">
        <v>#N/A</v>
      </c>
      <c r="D352" s="100" t="e">
        <v>#N/A</v>
      </c>
      <c r="E352" s="116"/>
      <c r="F352" s="110"/>
      <c r="G352" s="110"/>
      <c r="H352" s="102"/>
      <c r="I352" s="101"/>
      <c r="J352" s="101"/>
      <c r="K352" s="101"/>
      <c r="L352" s="101"/>
      <c r="M352" s="101"/>
      <c r="N352" s="101"/>
      <c r="O352" s="99"/>
      <c r="P352" s="99"/>
      <c r="Q352" s="15" t="e">
        <v>#N/A</v>
      </c>
      <c r="R352" s="15" t="e">
        <v>#N/A</v>
      </c>
      <c r="S352" s="15"/>
      <c r="T352" s="103"/>
      <c r="U352" s="15"/>
      <c r="V352" s="15"/>
      <c r="W352" s="100"/>
      <c r="X352" s="99"/>
      <c r="Y352" s="109">
        <f ca="1">Table24[[#This Row],[End Date]]+2-TODAY()</f>
        <v>-45530</v>
      </c>
      <c r="Z352" s="15">
        <f>IF(ISBLANK(Table24[[#This Row],[Roster Received By]]),1,0)</f>
        <v>1</v>
      </c>
      <c r="AA352" s="100">
        <f ca="1">IF(Table24[[#This Row],[Start Date]]&gt;TODAY(),1,)</f>
        <v>0</v>
      </c>
    </row>
    <row r="353" spans="1:27" s="62" customFormat="1" x14ac:dyDescent="0.25">
      <c r="B353" s="116"/>
      <c r="C353" s="100" t="e">
        <v>#N/A</v>
      </c>
      <c r="D353" s="100" t="e">
        <v>#N/A</v>
      </c>
      <c r="E353" s="116"/>
      <c r="F353" s="110"/>
      <c r="G353" s="110"/>
      <c r="H353" s="105"/>
      <c r="I353" s="105"/>
      <c r="J353" s="105"/>
      <c r="K353" s="105"/>
      <c r="L353" s="105"/>
      <c r="M353" s="105"/>
      <c r="N353" s="102"/>
      <c r="O353" s="99"/>
      <c r="P353" s="99"/>
      <c r="Q353" s="15" t="e">
        <v>#N/A</v>
      </c>
      <c r="R353" s="15" t="e">
        <v>#N/A</v>
      </c>
      <c r="S353" s="15"/>
      <c r="T353" s="103"/>
      <c r="U353" s="15"/>
      <c r="V353" s="15"/>
      <c r="W353" s="100"/>
      <c r="X353" s="99"/>
      <c r="Y353" s="109">
        <f ca="1">Table24[[#This Row],[End Date]]+2-TODAY()</f>
        <v>-45530</v>
      </c>
      <c r="Z353" s="15">
        <f>IF(ISBLANK(Table24[[#This Row],[Roster Received By]]),1,0)</f>
        <v>1</v>
      </c>
      <c r="AA353" s="100">
        <f ca="1">IF(Table24[[#This Row],[Start Date]]&gt;TODAY(),1,)</f>
        <v>0</v>
      </c>
    </row>
    <row r="354" spans="1:27" s="62" customFormat="1" x14ac:dyDescent="0.25">
      <c r="A354" s="99"/>
      <c r="B354" s="118"/>
      <c r="C354" s="100" t="e">
        <v>#N/A</v>
      </c>
      <c r="D354" s="100" t="e">
        <v>#N/A</v>
      </c>
      <c r="E354" s="116"/>
      <c r="F354" s="110"/>
      <c r="G354" s="110"/>
      <c r="H354" s="105"/>
      <c r="I354" s="105"/>
      <c r="J354" s="102"/>
      <c r="K354" s="102"/>
      <c r="L354" s="102"/>
      <c r="M354" s="102"/>
      <c r="N354" s="102"/>
      <c r="O354" s="99"/>
      <c r="P354" s="99"/>
      <c r="Q354" s="15" t="e">
        <v>#N/A</v>
      </c>
      <c r="R354" s="15" t="e">
        <v>#N/A</v>
      </c>
      <c r="S354" s="15"/>
      <c r="T354" s="103"/>
      <c r="U354" s="15"/>
      <c r="V354" s="15"/>
      <c r="W354" s="100"/>
      <c r="X354" s="99"/>
      <c r="Y354" s="109">
        <f ca="1">Table24[[#This Row],[End Date]]+2-TODAY()</f>
        <v>-45530</v>
      </c>
      <c r="Z354" s="15">
        <f>IF(ISBLANK(Table24[[#This Row],[Roster Received By]]),1,0)</f>
        <v>1</v>
      </c>
      <c r="AA354" s="100">
        <f ca="1">IF(Table24[[#This Row],[Start Date]]&gt;TODAY(),1,)</f>
        <v>0</v>
      </c>
    </row>
    <row r="355" spans="1:27" s="62" customFormat="1" x14ac:dyDescent="0.25">
      <c r="B355" s="116"/>
      <c r="C355" s="100" t="e">
        <v>#N/A</v>
      </c>
      <c r="D355" s="100" t="e">
        <v>#N/A</v>
      </c>
      <c r="E355" s="116"/>
      <c r="F355" s="110"/>
      <c r="G355" s="110"/>
      <c r="H355" s="105"/>
      <c r="I355" s="105"/>
      <c r="J355" s="102"/>
      <c r="K355" s="102"/>
      <c r="L355" s="102"/>
      <c r="M355" s="102"/>
      <c r="N355" s="102"/>
      <c r="O355" s="99"/>
      <c r="P355" s="99"/>
      <c r="Q355" s="15" t="e">
        <v>#N/A</v>
      </c>
      <c r="R355" s="15" t="e">
        <v>#N/A</v>
      </c>
      <c r="S355" s="103"/>
      <c r="T355" s="103"/>
      <c r="U355" s="15"/>
      <c r="V355" s="15"/>
      <c r="W355" s="100"/>
      <c r="X355" s="99"/>
      <c r="Y355" s="109">
        <f ca="1">Table24[[#This Row],[End Date]]+2-TODAY()</f>
        <v>-45530</v>
      </c>
      <c r="Z355" s="15">
        <f>IF(ISBLANK(Table24[[#This Row],[Roster Received By]]),1,0)</f>
        <v>1</v>
      </c>
      <c r="AA355" s="100">
        <f ca="1">IF(Table24[[#This Row],[Start Date]]&gt;TODAY(),1,)</f>
        <v>0</v>
      </c>
    </row>
    <row r="356" spans="1:27" s="62" customFormat="1" x14ac:dyDescent="0.25">
      <c r="B356" s="116"/>
      <c r="C356" s="100" t="e">
        <v>#N/A</v>
      </c>
      <c r="D356" s="100" t="e">
        <v>#N/A</v>
      </c>
      <c r="E356" s="66"/>
      <c r="F356" s="110"/>
      <c r="G356" s="110"/>
      <c r="H356" s="105"/>
      <c r="I356" s="105"/>
      <c r="J356" s="102"/>
      <c r="K356" s="102"/>
      <c r="L356" s="102"/>
      <c r="M356" s="102"/>
      <c r="N356" s="102"/>
      <c r="O356" s="99"/>
      <c r="P356" s="99"/>
      <c r="Q356" s="15" t="e">
        <v>#N/A</v>
      </c>
      <c r="R356" s="15" t="e">
        <v>#N/A</v>
      </c>
      <c r="S356" s="15"/>
      <c r="T356" s="103"/>
      <c r="U356" s="15"/>
      <c r="V356" s="15"/>
      <c r="W356" s="100"/>
      <c r="X356" s="99"/>
      <c r="Y356" s="109">
        <f ca="1">Table24[[#This Row],[End Date]]+2-TODAY()</f>
        <v>-45530</v>
      </c>
      <c r="Z356" s="15">
        <f>IF(ISBLANK(Table24[[#This Row],[Roster Received By]]),1,0)</f>
        <v>1</v>
      </c>
      <c r="AA356" s="100">
        <f ca="1">IF(Table24[[#This Row],[Start Date]]&gt;TODAY(),1,)</f>
        <v>0</v>
      </c>
    </row>
    <row r="357" spans="1:27" s="62" customFormat="1" x14ac:dyDescent="0.25">
      <c r="A357" s="99"/>
      <c r="B357" s="118"/>
      <c r="C357" s="100" t="e">
        <v>#N/A</v>
      </c>
      <c r="D357" s="100" t="e">
        <v>#N/A</v>
      </c>
      <c r="E357" s="116"/>
      <c r="F357" s="102"/>
      <c r="G357" s="102"/>
      <c r="H357" s="105"/>
      <c r="I357" s="105"/>
      <c r="J357" s="102"/>
      <c r="K357" s="102"/>
      <c r="L357" s="102"/>
      <c r="M357" s="102"/>
      <c r="N357" s="102"/>
      <c r="O357" s="99"/>
      <c r="P357" s="99"/>
      <c r="Q357" s="15" t="e">
        <v>#N/A</v>
      </c>
      <c r="R357" s="15" t="e">
        <v>#N/A</v>
      </c>
      <c r="S357" s="15"/>
      <c r="T357" s="103"/>
      <c r="U357" s="15"/>
      <c r="V357" s="15"/>
      <c r="W357" s="100"/>
      <c r="X357" s="99"/>
      <c r="Y357" s="109">
        <f ca="1">Table24[[#This Row],[End Date]]+2-TODAY()</f>
        <v>-45530</v>
      </c>
      <c r="Z357" s="15">
        <f>IF(ISBLANK(Table24[[#This Row],[Roster Received By]]),1,0)</f>
        <v>1</v>
      </c>
      <c r="AA357" s="100">
        <f ca="1">IF(Table24[[#This Row],[Start Date]]&gt;TODAY(),1,)</f>
        <v>0</v>
      </c>
    </row>
    <row r="358" spans="1:27" s="62" customFormat="1" x14ac:dyDescent="0.25">
      <c r="B358" s="127"/>
      <c r="C358" s="100" t="e">
        <v>#N/A</v>
      </c>
      <c r="D358" s="100" t="e">
        <v>#N/A</v>
      </c>
      <c r="E358" s="116"/>
      <c r="F358" s="102"/>
      <c r="G358" s="102"/>
      <c r="H358" s="102"/>
      <c r="I358" s="101"/>
      <c r="J358" s="101"/>
      <c r="K358" s="101"/>
      <c r="L358" s="101"/>
      <c r="M358" s="101"/>
      <c r="N358" s="101"/>
      <c r="O358" s="99"/>
      <c r="P358" s="99"/>
      <c r="Q358" s="15" t="e">
        <v>#N/A</v>
      </c>
      <c r="R358" s="15" t="e">
        <v>#N/A</v>
      </c>
      <c r="S358" s="15"/>
      <c r="T358" s="103"/>
      <c r="U358" s="15"/>
      <c r="V358" s="15"/>
      <c r="W358" s="100"/>
      <c r="X358" s="99"/>
      <c r="Y358" s="109">
        <f ca="1">Table24[[#This Row],[End Date]]+2-TODAY()</f>
        <v>-45530</v>
      </c>
      <c r="Z358" s="15">
        <f>IF(ISBLANK(Table24[[#This Row],[Roster Received By]]),1,0)</f>
        <v>1</v>
      </c>
      <c r="AA358" s="100">
        <f ca="1">IF(Table24[[#This Row],[Start Date]]&gt;TODAY(),1,)</f>
        <v>0</v>
      </c>
    </row>
    <row r="359" spans="1:27" s="62" customFormat="1" x14ac:dyDescent="0.25">
      <c r="B359" s="118"/>
      <c r="C359" s="100" t="e">
        <v>#N/A</v>
      </c>
      <c r="D359" s="100" t="e">
        <v>#N/A</v>
      </c>
      <c r="E359" s="116"/>
      <c r="F359" s="102"/>
      <c r="G359" s="102"/>
      <c r="H359" s="105"/>
      <c r="I359" s="105"/>
      <c r="J359" s="102"/>
      <c r="K359" s="102"/>
      <c r="L359" s="102"/>
      <c r="M359" s="102"/>
      <c r="N359" s="102"/>
      <c r="O359" s="99"/>
      <c r="P359" s="99"/>
      <c r="Q359" s="15" t="e">
        <v>#N/A</v>
      </c>
      <c r="R359" s="15" t="e">
        <v>#N/A</v>
      </c>
      <c r="S359" s="15"/>
      <c r="T359" s="103"/>
      <c r="U359" s="15"/>
      <c r="V359" s="15"/>
      <c r="W359" s="100"/>
      <c r="X359" s="99"/>
      <c r="Y359" s="109">
        <f ca="1">Table24[[#This Row],[End Date]]+2-TODAY()</f>
        <v>-45530</v>
      </c>
      <c r="Z359" s="15">
        <f>IF(ISBLANK(Table24[[#This Row],[Roster Received By]]),1,0)</f>
        <v>1</v>
      </c>
      <c r="AA359" s="100">
        <f ca="1">IF(Table24[[#This Row],[Start Date]]&gt;TODAY(),1,)</f>
        <v>0</v>
      </c>
    </row>
    <row r="360" spans="1:27" s="62" customFormat="1" x14ac:dyDescent="0.25">
      <c r="B360" s="116"/>
      <c r="C360" s="100" t="e">
        <v>#N/A</v>
      </c>
      <c r="D360" s="100" t="e">
        <v>#N/A</v>
      </c>
      <c r="E360" s="99"/>
      <c r="F360" s="102"/>
      <c r="G360" s="102"/>
      <c r="H360" s="105"/>
      <c r="I360" s="112"/>
      <c r="J360" s="112"/>
      <c r="K360" s="112"/>
      <c r="L360" s="112"/>
      <c r="M360" s="112"/>
      <c r="N360" s="112"/>
      <c r="O360" s="99"/>
      <c r="P360" s="99"/>
      <c r="Q360" s="15" t="e">
        <v>#N/A</v>
      </c>
      <c r="R360" s="15" t="e">
        <v>#N/A</v>
      </c>
      <c r="S360" s="103"/>
      <c r="T360" s="113"/>
      <c r="U360" s="113"/>
      <c r="V360" s="113"/>
      <c r="W360" s="113"/>
      <c r="X360" s="99"/>
      <c r="Y360" s="113"/>
    </row>
    <row r="361" spans="1:27" s="62" customFormat="1" x14ac:dyDescent="0.25">
      <c r="A361" s="65"/>
      <c r="B361" s="116"/>
      <c r="C361" s="100" t="e">
        <v>#N/A</v>
      </c>
      <c r="D361" s="100" t="e">
        <v>#N/A</v>
      </c>
      <c r="E361" s="116"/>
      <c r="F361" s="102"/>
      <c r="G361" s="102"/>
      <c r="H361" s="102"/>
      <c r="I361" s="101"/>
      <c r="J361" s="101"/>
      <c r="K361" s="101"/>
      <c r="L361" s="101"/>
      <c r="M361" s="101"/>
      <c r="N361" s="101"/>
      <c r="O361" s="99"/>
      <c r="P361" s="99"/>
      <c r="Q361" s="15" t="e">
        <v>#N/A</v>
      </c>
      <c r="R361" s="15" t="e">
        <v>#N/A</v>
      </c>
      <c r="S361" s="15"/>
      <c r="T361" s="103"/>
      <c r="U361" s="15"/>
      <c r="V361" s="15"/>
      <c r="W361" s="100"/>
      <c r="X361" s="99"/>
      <c r="Y361" s="109">
        <f ca="1">Table24[[#This Row],[End Date]]+2-TODAY()</f>
        <v>-45530</v>
      </c>
      <c r="Z361" s="15">
        <f>IF(ISBLANK(Table24[[#This Row],[Roster Received By]]),1,0)</f>
        <v>1</v>
      </c>
      <c r="AA361" s="100">
        <f ca="1">IF(Table24[[#This Row],[Start Date]]&gt;TODAY(),1,)</f>
        <v>0</v>
      </c>
    </row>
    <row r="362" spans="1:27" s="62" customFormat="1" x14ac:dyDescent="0.25">
      <c r="B362" s="116"/>
      <c r="C362" s="100" t="e">
        <v>#N/A</v>
      </c>
      <c r="D362" s="100" t="e">
        <v>#N/A</v>
      </c>
      <c r="E362" s="116"/>
      <c r="F362" s="102"/>
      <c r="G362" s="102"/>
      <c r="H362" s="105"/>
      <c r="I362" s="105"/>
      <c r="J362" s="102"/>
      <c r="K362" s="102"/>
      <c r="L362" s="102"/>
      <c r="M362" s="102"/>
      <c r="N362" s="102"/>
      <c r="O362" s="99"/>
      <c r="P362" s="99"/>
      <c r="Q362" s="15" t="e">
        <v>#N/A</v>
      </c>
      <c r="R362" s="15" t="e">
        <v>#N/A</v>
      </c>
      <c r="S362" s="15"/>
      <c r="T362" s="103"/>
      <c r="U362" s="15"/>
      <c r="V362" s="15"/>
      <c r="W362" s="100"/>
      <c r="X362" s="99"/>
      <c r="Y362" s="109">
        <f ca="1">Table24[[#This Row],[End Date]]+2-TODAY()</f>
        <v>-45530</v>
      </c>
      <c r="Z362" s="15">
        <f>IF(ISBLANK(Table24[[#This Row],[Roster Received By]]),1,0)</f>
        <v>1</v>
      </c>
      <c r="AA362" s="100">
        <f ca="1">IF(Table24[[#This Row],[Start Date]]&gt;TODAY(),1,)</f>
        <v>0</v>
      </c>
    </row>
    <row r="363" spans="1:27" s="62" customFormat="1" x14ac:dyDescent="0.25">
      <c r="A363" s="99"/>
      <c r="B363" s="118"/>
      <c r="C363" s="100" t="e">
        <v>#N/A</v>
      </c>
      <c r="D363" s="100" t="e">
        <v>#N/A</v>
      </c>
      <c r="E363" s="116"/>
      <c r="F363" s="102"/>
      <c r="G363" s="102"/>
      <c r="H363" s="105"/>
      <c r="I363" s="105"/>
      <c r="J363" s="102"/>
      <c r="K363" s="102"/>
      <c r="L363" s="102"/>
      <c r="M363" s="102"/>
      <c r="N363" s="102"/>
      <c r="O363" s="99"/>
      <c r="P363" s="99"/>
      <c r="Q363" s="15" t="e">
        <v>#N/A</v>
      </c>
      <c r="R363" s="15" t="e">
        <v>#N/A</v>
      </c>
      <c r="S363" s="15"/>
      <c r="T363" s="103"/>
      <c r="U363" s="15"/>
      <c r="V363" s="15"/>
      <c r="W363" s="100"/>
      <c r="X363" s="99"/>
      <c r="Y363" s="109">
        <f ca="1">Table24[[#This Row],[End Date]]+2-TODAY()</f>
        <v>-45530</v>
      </c>
      <c r="Z363" s="15">
        <f>IF(ISBLANK(Table24[[#This Row],[Roster Received By]]),1,0)</f>
        <v>1</v>
      </c>
      <c r="AA363" s="100">
        <f ca="1">IF(Table24[[#This Row],[Start Date]]&gt;TODAY(),1,)</f>
        <v>0</v>
      </c>
    </row>
    <row r="364" spans="1:27" s="62" customFormat="1" x14ac:dyDescent="0.25">
      <c r="B364" s="116"/>
      <c r="C364" s="100" t="e">
        <v>#N/A</v>
      </c>
      <c r="D364" s="100" t="e">
        <v>#N/A</v>
      </c>
      <c r="E364" s="116"/>
      <c r="F364" s="102"/>
      <c r="G364" s="102"/>
      <c r="H364" s="102"/>
      <c r="I364" s="101"/>
      <c r="J364" s="101"/>
      <c r="K364" s="101"/>
      <c r="L364" s="101"/>
      <c r="M364" s="101"/>
      <c r="N364" s="101"/>
      <c r="O364" s="99"/>
      <c r="P364" s="99"/>
      <c r="Q364" s="15" t="e">
        <v>#N/A</v>
      </c>
      <c r="R364" s="15" t="e">
        <v>#N/A</v>
      </c>
      <c r="S364" s="15"/>
      <c r="T364" s="103"/>
      <c r="U364" s="15"/>
      <c r="V364" s="15"/>
      <c r="W364" s="100"/>
      <c r="X364" s="99"/>
      <c r="Y364" s="109">
        <f ca="1">Table24[[#This Row],[End Date]]+2-TODAY()</f>
        <v>-45530</v>
      </c>
      <c r="Z364" s="15">
        <f>IF(ISBLANK(Table24[[#This Row],[Roster Received By]]),1,0)</f>
        <v>1</v>
      </c>
      <c r="AA364" s="100">
        <f ca="1">IF(Table24[[#This Row],[Start Date]]&gt;TODAY(),1,)</f>
        <v>0</v>
      </c>
    </row>
    <row r="365" spans="1:27" s="62" customFormat="1" x14ac:dyDescent="0.25">
      <c r="B365" s="116"/>
      <c r="C365" s="100" t="e">
        <v>#N/A</v>
      </c>
      <c r="D365" s="100" t="e">
        <v>#N/A</v>
      </c>
      <c r="E365" s="116"/>
      <c r="F365" s="102"/>
      <c r="G365" s="102"/>
      <c r="H365" s="102"/>
      <c r="I365" s="101"/>
      <c r="J365" s="101"/>
      <c r="K365" s="101"/>
      <c r="L365" s="101"/>
      <c r="M365" s="101"/>
      <c r="N365" s="101"/>
      <c r="O365" s="99"/>
      <c r="P365" s="99"/>
      <c r="Q365" s="15" t="e">
        <v>#N/A</v>
      </c>
      <c r="R365" s="15" t="e">
        <v>#N/A</v>
      </c>
      <c r="S365" s="15"/>
      <c r="T365" s="103"/>
      <c r="U365" s="15"/>
      <c r="V365" s="15"/>
      <c r="W365" s="100"/>
      <c r="X365" s="99"/>
      <c r="Y365" s="109">
        <f ca="1">Table24[[#This Row],[End Date]]+2-TODAY()</f>
        <v>-45530</v>
      </c>
      <c r="Z365" s="15">
        <f>IF(ISBLANK(Table24[[#This Row],[Roster Received By]]),1,0)</f>
        <v>1</v>
      </c>
      <c r="AA365" s="100">
        <f ca="1">IF(Table24[[#This Row],[Start Date]]&gt;TODAY(),1,)</f>
        <v>0</v>
      </c>
    </row>
    <row r="366" spans="1:27" s="62" customFormat="1" x14ac:dyDescent="0.25">
      <c r="B366" s="116"/>
      <c r="C366" s="100" t="e">
        <v>#N/A</v>
      </c>
      <c r="D366" s="100" t="e">
        <v>#N/A</v>
      </c>
      <c r="E366" s="116"/>
      <c r="F366" s="102"/>
      <c r="G366" s="102"/>
      <c r="H366" s="102"/>
      <c r="I366" s="101"/>
      <c r="J366" s="101"/>
      <c r="K366" s="101"/>
      <c r="L366" s="101"/>
      <c r="M366" s="101"/>
      <c r="N366" s="101"/>
      <c r="O366" s="99"/>
      <c r="P366" s="99"/>
      <c r="Q366" s="15" t="e">
        <v>#N/A</v>
      </c>
      <c r="R366" s="15" t="e">
        <v>#N/A</v>
      </c>
      <c r="S366" s="15"/>
      <c r="T366" s="103"/>
      <c r="U366" s="15"/>
      <c r="V366" s="15"/>
      <c r="W366" s="100"/>
      <c r="X366" s="99"/>
      <c r="Y366" s="109">
        <f ca="1">Table24[[#This Row],[End Date]]+2-TODAY()</f>
        <v>-45530</v>
      </c>
      <c r="Z366" s="15">
        <f>IF(ISBLANK(Table24[[#This Row],[Roster Received By]]),1,0)</f>
        <v>1</v>
      </c>
      <c r="AA366" s="100">
        <f ca="1">IF(Table24[[#This Row],[Start Date]]&gt;TODAY(),1,)</f>
        <v>0</v>
      </c>
    </row>
    <row r="367" spans="1:27" s="62" customFormat="1" x14ac:dyDescent="0.25">
      <c r="B367" s="116"/>
      <c r="C367" s="100" t="e">
        <v>#N/A</v>
      </c>
      <c r="D367" s="100" t="e">
        <v>#N/A</v>
      </c>
      <c r="E367" s="99"/>
      <c r="F367" s="102"/>
      <c r="G367" s="102"/>
      <c r="H367" s="102"/>
      <c r="I367" s="101"/>
      <c r="J367" s="101"/>
      <c r="K367" s="101"/>
      <c r="L367" s="101"/>
      <c r="M367" s="101"/>
      <c r="N367" s="101"/>
      <c r="O367" s="99"/>
      <c r="P367" s="99"/>
      <c r="Q367" s="15" t="e">
        <v>#N/A</v>
      </c>
      <c r="R367" s="15" t="e">
        <v>#N/A</v>
      </c>
      <c r="S367" s="15"/>
      <c r="T367" s="103"/>
      <c r="U367" s="15"/>
      <c r="V367" s="15"/>
      <c r="W367" s="100"/>
      <c r="X367" s="99"/>
      <c r="Y367" s="109">
        <f ca="1">Table24[[#This Row],[End Date]]+2-TODAY()</f>
        <v>-45530</v>
      </c>
      <c r="Z367" s="15">
        <f>IF(ISBLANK(Table24[[#This Row],[Roster Received By]]),1,0)</f>
        <v>1</v>
      </c>
      <c r="AA367" s="100">
        <f ca="1">IF(Table24[[#This Row],[Start Date]]&gt;TODAY(),1,)</f>
        <v>0</v>
      </c>
    </row>
    <row r="368" spans="1:27" s="62" customFormat="1" x14ac:dyDescent="0.25">
      <c r="B368" s="116"/>
      <c r="C368" s="100" t="e">
        <v>#N/A</v>
      </c>
      <c r="D368" s="100" t="e">
        <v>#N/A</v>
      </c>
      <c r="E368" s="116"/>
      <c r="F368" s="102"/>
      <c r="G368" s="102"/>
      <c r="H368" s="105"/>
      <c r="I368" s="105"/>
      <c r="J368" s="102"/>
      <c r="K368" s="102"/>
      <c r="L368" s="102"/>
      <c r="M368" s="102"/>
      <c r="N368" s="102"/>
      <c r="O368" s="99"/>
      <c r="P368" s="99"/>
      <c r="Q368" s="15" t="e">
        <v>#N/A</v>
      </c>
      <c r="R368" s="15" t="e">
        <v>#N/A</v>
      </c>
      <c r="S368" s="15"/>
      <c r="T368" s="103"/>
      <c r="U368" s="15"/>
      <c r="V368" s="15"/>
      <c r="W368" s="100"/>
      <c r="X368" s="99"/>
      <c r="Y368" s="109">
        <f ca="1">Table24[[#This Row],[End Date]]+2-TODAY()</f>
        <v>-45530</v>
      </c>
      <c r="Z368" s="15">
        <f>IF(ISBLANK(Table24[[#This Row],[Roster Received By]]),1,0)</f>
        <v>1</v>
      </c>
      <c r="AA368" s="100">
        <f ca="1">IF(Table24[[#This Row],[Start Date]]&gt;TODAY(),1,)</f>
        <v>0</v>
      </c>
    </row>
    <row r="369" spans="1:27" s="62" customFormat="1" x14ac:dyDescent="0.25">
      <c r="B369" s="116"/>
      <c r="C369" s="100" t="e">
        <v>#N/A</v>
      </c>
      <c r="D369" s="100" t="e">
        <v>#N/A</v>
      </c>
      <c r="E369" s="116"/>
      <c r="F369" s="102"/>
      <c r="G369" s="102"/>
      <c r="H369" s="105"/>
      <c r="I369" s="105"/>
      <c r="J369" s="102"/>
      <c r="K369" s="102"/>
      <c r="L369" s="102"/>
      <c r="M369" s="102"/>
      <c r="N369" s="102"/>
      <c r="O369" s="99"/>
      <c r="P369" s="99"/>
      <c r="Q369" s="15" t="e">
        <v>#N/A</v>
      </c>
      <c r="R369" s="15" t="e">
        <v>#N/A</v>
      </c>
      <c r="S369" s="15"/>
      <c r="T369" s="103"/>
      <c r="U369" s="15"/>
      <c r="V369" s="15"/>
      <c r="W369" s="100"/>
      <c r="X369" s="99"/>
      <c r="Y369" s="109">
        <f ca="1">Table24[[#This Row],[End Date]]+2-TODAY()</f>
        <v>-45530</v>
      </c>
      <c r="Z369" s="15">
        <f>IF(ISBLANK(Table24[[#This Row],[Roster Received By]]),1,0)</f>
        <v>1</v>
      </c>
      <c r="AA369" s="100">
        <f ca="1">IF(Table24[[#This Row],[Start Date]]&gt;TODAY(),1,)</f>
        <v>0</v>
      </c>
    </row>
    <row r="370" spans="1:27" s="62" customFormat="1" x14ac:dyDescent="0.25">
      <c r="B370" s="116"/>
      <c r="C370" s="100" t="e">
        <v>#N/A</v>
      </c>
      <c r="D370" s="100" t="e">
        <v>#N/A</v>
      </c>
      <c r="E370" s="116"/>
      <c r="F370" s="102"/>
      <c r="G370" s="102"/>
      <c r="H370" s="105"/>
      <c r="I370" s="105"/>
      <c r="J370" s="102"/>
      <c r="K370" s="102"/>
      <c r="L370" s="102"/>
      <c r="M370" s="102"/>
      <c r="N370" s="102"/>
      <c r="O370" s="99"/>
      <c r="P370" s="99"/>
      <c r="Q370" s="15" t="e">
        <v>#N/A</v>
      </c>
      <c r="R370" s="15" t="e">
        <v>#N/A</v>
      </c>
      <c r="S370" s="15"/>
      <c r="T370" s="103"/>
      <c r="U370" s="15"/>
      <c r="V370" s="15"/>
      <c r="W370" s="100"/>
      <c r="X370" s="99"/>
      <c r="Y370" s="109">
        <f ca="1">Table24[[#This Row],[End Date]]+2-TODAY()</f>
        <v>-45530</v>
      </c>
      <c r="Z370" s="15">
        <f>IF(ISBLANK(Table24[[#This Row],[Roster Received By]]),1,0)</f>
        <v>1</v>
      </c>
      <c r="AA370" s="100">
        <f ca="1">IF(Table24[[#This Row],[Start Date]]&gt;TODAY(),1,)</f>
        <v>0</v>
      </c>
    </row>
    <row r="371" spans="1:27" s="62" customFormat="1" x14ac:dyDescent="0.25">
      <c r="B371" s="116"/>
      <c r="C371" s="100" t="e">
        <v>#N/A</v>
      </c>
      <c r="D371" s="100" t="e">
        <v>#N/A</v>
      </c>
      <c r="E371" s="116"/>
      <c r="F371" s="102"/>
      <c r="G371" s="102"/>
      <c r="H371" s="105"/>
      <c r="I371" s="105"/>
      <c r="J371" s="102"/>
      <c r="K371" s="102"/>
      <c r="L371" s="102"/>
      <c r="M371" s="102"/>
      <c r="N371" s="102"/>
      <c r="O371" s="99"/>
      <c r="P371" s="99"/>
      <c r="Q371" s="15" t="e">
        <v>#N/A</v>
      </c>
      <c r="R371" s="15" t="e">
        <v>#N/A</v>
      </c>
      <c r="S371" s="15"/>
      <c r="T371" s="103"/>
      <c r="U371" s="15"/>
      <c r="V371" s="15"/>
      <c r="W371" s="100"/>
      <c r="X371" s="99"/>
      <c r="Y371" s="109">
        <f ca="1">Table24[[#This Row],[End Date]]+2-TODAY()</f>
        <v>-45530</v>
      </c>
      <c r="Z371" s="15">
        <f>IF(ISBLANK(Table24[[#This Row],[Roster Received By]]),1,0)</f>
        <v>1</v>
      </c>
      <c r="AA371" s="100">
        <f ca="1">IF(Table24[[#This Row],[Start Date]]&gt;TODAY(),1,)</f>
        <v>0</v>
      </c>
    </row>
    <row r="372" spans="1:27" s="62" customFormat="1" x14ac:dyDescent="0.25">
      <c r="B372" s="116"/>
      <c r="C372" s="100" t="e">
        <v>#N/A</v>
      </c>
      <c r="D372" s="100" t="e">
        <v>#N/A</v>
      </c>
      <c r="E372" s="66"/>
      <c r="F372" s="98"/>
      <c r="G372" s="98"/>
      <c r="H372" s="67"/>
      <c r="I372" s="101"/>
      <c r="J372" s="101"/>
      <c r="K372" s="101"/>
      <c r="L372" s="101"/>
      <c r="M372" s="101"/>
      <c r="N372" s="101"/>
      <c r="O372" s="99"/>
      <c r="P372" s="99"/>
      <c r="Q372" s="15" t="e">
        <v>#N/A</v>
      </c>
      <c r="R372" s="15" t="e">
        <v>#N/A</v>
      </c>
      <c r="S372" s="15"/>
      <c r="T372" s="103"/>
      <c r="U372" s="15"/>
      <c r="V372" s="15"/>
      <c r="W372" s="100"/>
      <c r="X372" s="99"/>
      <c r="Y372" s="109">
        <f ca="1">Table24[[#This Row],[End Date]]+2-TODAY()</f>
        <v>-45530</v>
      </c>
      <c r="Z372" s="15">
        <f>IF(ISBLANK(Table24[[#This Row],[Roster Received By]]),1,0)</f>
        <v>1</v>
      </c>
      <c r="AA372" s="100">
        <f ca="1">IF(Table24[[#This Row],[Start Date]]&gt;TODAY(),1,)</f>
        <v>0</v>
      </c>
    </row>
    <row r="373" spans="1:27" s="62" customFormat="1" x14ac:dyDescent="0.25">
      <c r="B373" s="116"/>
      <c r="C373" s="100" t="e">
        <v>#N/A</v>
      </c>
      <c r="D373" s="100" t="e">
        <v>#N/A</v>
      </c>
      <c r="E373" s="116"/>
      <c r="F373" s="110"/>
      <c r="G373" s="110"/>
      <c r="H373" s="105"/>
      <c r="I373" s="105"/>
      <c r="J373" s="102"/>
      <c r="K373" s="102"/>
      <c r="L373" s="102"/>
      <c r="M373" s="102"/>
      <c r="N373" s="102"/>
      <c r="O373" s="99"/>
      <c r="P373" s="99"/>
      <c r="Q373" s="15" t="e">
        <v>#N/A</v>
      </c>
      <c r="R373" s="15" t="e">
        <v>#N/A</v>
      </c>
      <c r="S373" s="15"/>
      <c r="T373" s="103"/>
      <c r="U373" s="15"/>
      <c r="V373" s="15"/>
      <c r="W373" s="100"/>
      <c r="X373" s="99"/>
      <c r="Y373" s="109">
        <f ca="1">Table24[[#This Row],[End Date]]+2-TODAY()</f>
        <v>-45530</v>
      </c>
      <c r="Z373" s="15">
        <f>IF(ISBLANK(Table24[[#This Row],[Roster Received By]]),1,0)</f>
        <v>1</v>
      </c>
      <c r="AA373" s="100">
        <f ca="1">IF(Table24[[#This Row],[Start Date]]&gt;TODAY(),1,)</f>
        <v>0</v>
      </c>
    </row>
    <row r="374" spans="1:27" s="62" customFormat="1" x14ac:dyDescent="0.25">
      <c r="A374" s="99"/>
      <c r="B374" s="116"/>
      <c r="C374" s="100" t="e">
        <v>#N/A</v>
      </c>
      <c r="D374" s="100" t="e">
        <v>#N/A</v>
      </c>
      <c r="E374" s="116"/>
      <c r="F374" s="110"/>
      <c r="G374" s="110"/>
      <c r="H374" s="105"/>
      <c r="I374" s="105"/>
      <c r="J374" s="102"/>
      <c r="K374" s="102"/>
      <c r="L374" s="102"/>
      <c r="M374" s="102"/>
      <c r="N374" s="102"/>
      <c r="O374" s="99"/>
      <c r="P374" s="99"/>
      <c r="Q374" s="15" t="e">
        <v>#N/A</v>
      </c>
      <c r="R374" s="15" t="e">
        <v>#N/A</v>
      </c>
      <c r="S374" s="15"/>
      <c r="T374" s="103"/>
      <c r="U374" s="15"/>
      <c r="V374" s="15"/>
      <c r="W374" s="100"/>
      <c r="X374" s="99"/>
      <c r="Y374" s="109">
        <f ca="1">Table24[[#This Row],[End Date]]+2-TODAY()</f>
        <v>-45530</v>
      </c>
      <c r="Z374" s="15">
        <f>IF(ISBLANK(Table24[[#This Row],[Roster Received By]]),1,0)</f>
        <v>1</v>
      </c>
      <c r="AA374" s="100">
        <f ca="1">IF(Table24[[#This Row],[Start Date]]&gt;TODAY(),1,)</f>
        <v>0</v>
      </c>
    </row>
    <row r="375" spans="1:27" s="62" customFormat="1" x14ac:dyDescent="0.25">
      <c r="B375" s="116"/>
      <c r="C375" s="100" t="e">
        <v>#N/A</v>
      </c>
      <c r="D375" s="100" t="e">
        <v>#N/A</v>
      </c>
      <c r="E375" s="66"/>
      <c r="F375" s="110"/>
      <c r="G375" s="110"/>
      <c r="H375" s="105"/>
      <c r="I375" s="105"/>
      <c r="J375" s="102"/>
      <c r="K375" s="102"/>
      <c r="L375" s="102"/>
      <c r="M375" s="102"/>
      <c r="N375" s="102"/>
      <c r="O375" s="99"/>
      <c r="P375" s="99"/>
      <c r="Q375" s="15" t="e">
        <v>#N/A</v>
      </c>
      <c r="R375" s="15" t="e">
        <v>#N/A</v>
      </c>
      <c r="S375" s="15"/>
      <c r="T375" s="103"/>
      <c r="U375" s="15"/>
      <c r="V375" s="15"/>
      <c r="W375" s="100"/>
      <c r="X375" s="99"/>
      <c r="Y375" s="109">
        <f ca="1">Table24[[#This Row],[End Date]]+2-TODAY()</f>
        <v>-45530</v>
      </c>
      <c r="Z375" s="15">
        <f>IF(ISBLANK(Table24[[#This Row],[Roster Received By]]),1,0)</f>
        <v>1</v>
      </c>
      <c r="AA375" s="100">
        <f ca="1">IF(Table24[[#This Row],[Start Date]]&gt;TODAY(),1,)</f>
        <v>0</v>
      </c>
    </row>
    <row r="376" spans="1:27" s="62" customFormat="1" x14ac:dyDescent="0.25">
      <c r="B376" s="116"/>
      <c r="C376" s="100" t="e">
        <v>#N/A</v>
      </c>
      <c r="D376" s="100" t="e">
        <v>#N/A</v>
      </c>
      <c r="E376" s="116"/>
      <c r="F376" s="110"/>
      <c r="G376" s="110"/>
      <c r="H376" s="105"/>
      <c r="I376" s="105"/>
      <c r="J376" s="102"/>
      <c r="K376" s="102"/>
      <c r="L376" s="102"/>
      <c r="M376" s="102"/>
      <c r="N376" s="102"/>
      <c r="O376" s="99"/>
      <c r="P376" s="99"/>
      <c r="Q376" s="15" t="e">
        <v>#N/A</v>
      </c>
      <c r="R376" s="15" t="e">
        <v>#N/A</v>
      </c>
      <c r="S376" s="15"/>
      <c r="T376" s="103"/>
      <c r="U376" s="15"/>
      <c r="V376" s="15"/>
      <c r="W376" s="100"/>
      <c r="X376" s="99"/>
      <c r="Y376" s="109">
        <f ca="1">Table24[[#This Row],[End Date]]+2-TODAY()</f>
        <v>-45530</v>
      </c>
      <c r="Z376" s="15">
        <f>IF(ISBLANK(Table24[[#This Row],[Roster Received By]]),1,0)</f>
        <v>1</v>
      </c>
      <c r="AA376" s="100">
        <f ca="1">IF(Table24[[#This Row],[Start Date]]&gt;TODAY(),1,)</f>
        <v>0</v>
      </c>
    </row>
    <row r="377" spans="1:27" s="62" customFormat="1" x14ac:dyDescent="0.25">
      <c r="B377" s="116"/>
      <c r="C377" s="100" t="e">
        <v>#N/A</v>
      </c>
      <c r="D377" s="100" t="e">
        <v>#N/A</v>
      </c>
      <c r="E377" s="116"/>
      <c r="F377" s="110"/>
      <c r="G377" s="110"/>
      <c r="H377" s="102"/>
      <c r="I377" s="101"/>
      <c r="J377" s="101"/>
      <c r="K377" s="101"/>
      <c r="L377" s="101"/>
      <c r="M377" s="101"/>
      <c r="N377" s="101"/>
      <c r="O377" s="99"/>
      <c r="P377" s="99"/>
      <c r="Q377" s="15" t="e">
        <v>#N/A</v>
      </c>
      <c r="R377" s="15" t="e">
        <v>#N/A</v>
      </c>
      <c r="S377" s="15"/>
      <c r="T377" s="103"/>
      <c r="U377" s="15"/>
      <c r="V377" s="15"/>
      <c r="W377" s="100"/>
      <c r="X377" s="99"/>
      <c r="Y377" s="109">
        <f ca="1">Table24[[#This Row],[End Date]]+2-TODAY()</f>
        <v>-45530</v>
      </c>
      <c r="Z377" s="15">
        <f>IF(ISBLANK(Table24[[#This Row],[Roster Received By]]),1,0)</f>
        <v>1</v>
      </c>
      <c r="AA377" s="100">
        <f ca="1">IF(Table24[[#This Row],[Start Date]]&gt;TODAY(),1,)</f>
        <v>0</v>
      </c>
    </row>
    <row r="378" spans="1:27" s="62" customFormat="1" x14ac:dyDescent="0.25">
      <c r="B378" s="116"/>
      <c r="C378" s="100" t="e">
        <v>#N/A</v>
      </c>
      <c r="D378" s="100" t="e">
        <v>#N/A</v>
      </c>
      <c r="E378" s="116"/>
      <c r="F378" s="110"/>
      <c r="G378" s="110"/>
      <c r="H378" s="102"/>
      <c r="I378" s="101"/>
      <c r="J378" s="101"/>
      <c r="K378" s="101"/>
      <c r="L378" s="101"/>
      <c r="M378" s="101"/>
      <c r="N378" s="101"/>
      <c r="O378" s="99"/>
      <c r="P378" s="99"/>
      <c r="Q378" s="15" t="e">
        <v>#N/A</v>
      </c>
      <c r="R378" s="15" t="e">
        <v>#N/A</v>
      </c>
      <c r="S378" s="15"/>
      <c r="T378" s="103"/>
      <c r="U378" s="15"/>
      <c r="V378" s="15"/>
      <c r="W378" s="100"/>
      <c r="X378" s="99"/>
      <c r="Y378" s="109">
        <f ca="1">Table24[[#This Row],[End Date]]+2-TODAY()</f>
        <v>-45530</v>
      </c>
      <c r="Z378" s="15">
        <f>IF(ISBLANK(Table24[[#This Row],[Roster Received By]]),1,0)</f>
        <v>1</v>
      </c>
      <c r="AA378" s="100">
        <f ca="1">IF(Table24[[#This Row],[Start Date]]&gt;TODAY(),1,)</f>
        <v>0</v>
      </c>
    </row>
    <row r="379" spans="1:27" s="62" customFormat="1" x14ac:dyDescent="0.25">
      <c r="B379" s="126"/>
      <c r="C379" s="100" t="e">
        <v>#N/A</v>
      </c>
      <c r="D379" s="100" t="e">
        <v>#N/A</v>
      </c>
      <c r="E379" s="116"/>
      <c r="F379" s="110"/>
      <c r="G379" s="110"/>
      <c r="H379" s="102"/>
      <c r="I379" s="101"/>
      <c r="J379" s="101"/>
      <c r="K379" s="101"/>
      <c r="L379" s="101"/>
      <c r="M379" s="101"/>
      <c r="N379" s="101"/>
      <c r="O379" s="99"/>
      <c r="P379" s="99"/>
      <c r="Q379" s="15" t="e">
        <v>#N/A</v>
      </c>
      <c r="R379" s="15" t="e">
        <v>#N/A</v>
      </c>
      <c r="S379" s="15"/>
      <c r="T379" s="103"/>
      <c r="U379" s="15"/>
      <c r="V379" s="15"/>
      <c r="W379" s="100"/>
      <c r="X379" s="99"/>
      <c r="Y379" s="109">
        <f ca="1">Table24[[#This Row],[End Date]]+2-TODAY()</f>
        <v>-45530</v>
      </c>
      <c r="Z379" s="15">
        <f>IF(ISBLANK(Table24[[#This Row],[Roster Received By]]),1,0)</f>
        <v>1</v>
      </c>
      <c r="AA379" s="100">
        <f ca="1">IF(Table24[[#This Row],[Start Date]]&gt;TODAY(),1,)</f>
        <v>0</v>
      </c>
    </row>
    <row r="380" spans="1:27" s="62" customFormat="1" x14ac:dyDescent="0.25">
      <c r="B380" s="116"/>
      <c r="C380" s="100" t="e">
        <v>#N/A</v>
      </c>
      <c r="D380" s="100" t="e">
        <v>#N/A</v>
      </c>
      <c r="E380" s="99"/>
      <c r="F380" s="102"/>
      <c r="G380" s="102"/>
      <c r="H380" s="105"/>
      <c r="I380" s="105"/>
      <c r="J380" s="102"/>
      <c r="K380" s="102"/>
      <c r="L380" s="102"/>
      <c r="M380" s="102"/>
      <c r="N380" s="102"/>
      <c r="O380" s="99"/>
      <c r="P380" s="99"/>
      <c r="Q380" s="15" t="e">
        <v>#N/A</v>
      </c>
      <c r="R380" s="15" t="e">
        <v>#N/A</v>
      </c>
      <c r="S380" s="103"/>
      <c r="T380" s="103"/>
      <c r="U380" s="15"/>
      <c r="V380" s="15"/>
      <c r="W380" s="100"/>
      <c r="X380" s="99"/>
      <c r="Y380" s="109">
        <f ca="1">Table24[[#This Row],[End Date]]+2-TODAY()</f>
        <v>-45530</v>
      </c>
      <c r="Z380" s="15">
        <f>IF(ISBLANK(Table24[[#This Row],[Roster Received By]]),1,0)</f>
        <v>1</v>
      </c>
      <c r="AA380" s="100">
        <f ca="1">IF(Table24[[#This Row],[Start Date]]&gt;TODAY(),1,)</f>
        <v>0</v>
      </c>
    </row>
    <row r="381" spans="1:27" s="62" customFormat="1" x14ac:dyDescent="0.25">
      <c r="B381" s="66"/>
      <c r="C381" s="100" t="e">
        <v>#N/A</v>
      </c>
      <c r="D381" s="100" t="e">
        <v>#N/A</v>
      </c>
      <c r="E381" s="68"/>
      <c r="F381" s="67"/>
      <c r="G381" s="67"/>
      <c r="H381" s="101"/>
      <c r="I381" s="101"/>
      <c r="J381" s="102"/>
      <c r="K381" s="102"/>
      <c r="L381" s="102"/>
      <c r="M381" s="102"/>
      <c r="N381" s="102"/>
      <c r="O381" s="99"/>
      <c r="P381" s="99"/>
      <c r="Q381" s="15" t="e">
        <v>#N/A</v>
      </c>
      <c r="R381" s="15" t="e">
        <v>#N/A</v>
      </c>
      <c r="S381" s="15"/>
      <c r="T381" s="103"/>
      <c r="U381" s="15"/>
      <c r="V381" s="15"/>
      <c r="W381" s="100"/>
      <c r="X381" s="99"/>
      <c r="Y381" s="109">
        <f ca="1">Table24[[#This Row],[End Date]]+2-TODAY()</f>
        <v>-45530</v>
      </c>
      <c r="Z381" s="15">
        <f>IF(ISBLANK(Table24[[#This Row],[Roster Received By]]),1,0)</f>
        <v>1</v>
      </c>
      <c r="AA381" s="100">
        <f ca="1">IF(Table24[[#This Row],[Start Date]]&gt;TODAY(),1,)</f>
        <v>0</v>
      </c>
    </row>
    <row r="382" spans="1:27" s="62" customFormat="1" x14ac:dyDescent="0.25">
      <c r="A382" s="99"/>
      <c r="B382" s="116"/>
      <c r="C382" s="100" t="e">
        <v>#N/A</v>
      </c>
      <c r="D382" s="100" t="e">
        <v>#N/A</v>
      </c>
      <c r="E382" s="122"/>
      <c r="F382" s="102"/>
      <c r="G382" s="102"/>
      <c r="H382" s="102"/>
      <c r="I382" s="101"/>
      <c r="J382" s="101"/>
      <c r="K382" s="101"/>
      <c r="L382" s="101"/>
      <c r="M382" s="101"/>
      <c r="N382" s="101"/>
      <c r="O382" s="99"/>
      <c r="P382" s="99"/>
      <c r="Q382" s="15" t="e">
        <v>#N/A</v>
      </c>
      <c r="R382" s="15" t="e">
        <v>#N/A</v>
      </c>
      <c r="S382" s="15"/>
      <c r="T382" s="103"/>
      <c r="U382" s="15"/>
      <c r="V382" s="15"/>
      <c r="W382" s="100"/>
      <c r="X382" s="99"/>
      <c r="Y382" s="109">
        <f ca="1">Table24[[#This Row],[End Date]]+2-TODAY()</f>
        <v>-45530</v>
      </c>
      <c r="Z382" s="15">
        <f>IF(ISBLANK(Table24[[#This Row],[Roster Received By]]),1,0)</f>
        <v>1</v>
      </c>
      <c r="AA382" s="100">
        <f ca="1">IF(Table24[[#This Row],[Start Date]]&gt;TODAY(),1,)</f>
        <v>0</v>
      </c>
    </row>
    <row r="383" spans="1:27" s="62" customFormat="1" x14ac:dyDescent="0.25">
      <c r="B383" s="116"/>
      <c r="C383" s="100" t="e">
        <v>#N/A</v>
      </c>
      <c r="D383" s="100" t="e">
        <v>#N/A</v>
      </c>
      <c r="E383" s="68"/>
      <c r="F383" s="67"/>
      <c r="G383" s="67"/>
      <c r="H383" s="67"/>
      <c r="I383" s="101"/>
      <c r="J383" s="101"/>
      <c r="K383" s="101"/>
      <c r="L383" s="101"/>
      <c r="M383" s="101"/>
      <c r="N383" s="101"/>
      <c r="O383" s="99"/>
      <c r="P383" s="99"/>
      <c r="Q383" s="15" t="e">
        <v>#N/A</v>
      </c>
      <c r="R383" s="15" t="e">
        <v>#N/A</v>
      </c>
      <c r="S383" s="15"/>
      <c r="T383" s="103"/>
      <c r="U383" s="15"/>
      <c r="V383" s="15"/>
      <c r="W383" s="100"/>
      <c r="X383" s="99"/>
      <c r="Y383" s="109">
        <f ca="1">Table24[[#This Row],[End Date]]+2-TODAY()</f>
        <v>-45530</v>
      </c>
      <c r="Z383" s="15">
        <f>IF(ISBLANK(Table24[[#This Row],[Roster Received By]]),1,0)</f>
        <v>1</v>
      </c>
      <c r="AA383" s="100">
        <f ca="1">IF(Table24[[#This Row],[Start Date]]&gt;TODAY(),1,)</f>
        <v>0</v>
      </c>
    </row>
    <row r="384" spans="1:27" s="62" customFormat="1" x14ac:dyDescent="0.25">
      <c r="B384" s="116"/>
      <c r="C384" s="100" t="e">
        <v>#N/A</v>
      </c>
      <c r="D384" s="100" t="e">
        <v>#N/A</v>
      </c>
      <c r="E384" s="68"/>
      <c r="F384" s="67"/>
      <c r="G384" s="67"/>
      <c r="H384" s="67"/>
      <c r="I384" s="101"/>
      <c r="J384" s="101"/>
      <c r="K384" s="101"/>
      <c r="L384" s="101"/>
      <c r="M384" s="101"/>
      <c r="N384" s="101"/>
      <c r="O384" s="99"/>
      <c r="P384" s="99"/>
      <c r="Q384" s="15" t="e">
        <v>#N/A</v>
      </c>
      <c r="R384" s="15" t="e">
        <v>#N/A</v>
      </c>
      <c r="S384" s="15"/>
      <c r="T384" s="103"/>
      <c r="U384" s="15"/>
      <c r="V384" s="15"/>
      <c r="W384" s="100"/>
      <c r="X384" s="99"/>
      <c r="Y384" s="109">
        <f ca="1">Table24[[#This Row],[End Date]]+2-TODAY()</f>
        <v>-45530</v>
      </c>
      <c r="Z384" s="15">
        <f>IF(ISBLANK(Table24[[#This Row],[Roster Received By]]),1,0)</f>
        <v>1</v>
      </c>
      <c r="AA384" s="100">
        <f ca="1">IF(Table24[[#This Row],[Start Date]]&gt;TODAY(),1,)</f>
        <v>0</v>
      </c>
    </row>
    <row r="385" spans="1:27" s="62" customFormat="1" x14ac:dyDescent="0.25">
      <c r="B385" s="116"/>
      <c r="C385" s="100" t="e">
        <v>#N/A</v>
      </c>
      <c r="D385" s="100" t="e">
        <v>#N/A</v>
      </c>
      <c r="E385" s="68"/>
      <c r="F385" s="67"/>
      <c r="G385" s="67"/>
      <c r="H385" s="101"/>
      <c r="I385" s="101"/>
      <c r="J385" s="102"/>
      <c r="K385" s="102"/>
      <c r="L385" s="102"/>
      <c r="M385" s="102"/>
      <c r="N385" s="102"/>
      <c r="O385" s="99"/>
      <c r="P385" s="99"/>
      <c r="Q385" s="15" t="e">
        <v>#N/A</v>
      </c>
      <c r="R385" s="15" t="e">
        <v>#N/A</v>
      </c>
      <c r="S385" s="15"/>
      <c r="T385" s="103"/>
      <c r="U385" s="15"/>
      <c r="V385" s="15"/>
      <c r="W385" s="100"/>
      <c r="X385" s="99"/>
      <c r="Y385" s="109">
        <f ca="1">Table24[[#This Row],[End Date]]+2-TODAY()</f>
        <v>-45530</v>
      </c>
      <c r="Z385" s="15">
        <f>IF(ISBLANK(Table24[[#This Row],[Roster Received By]]),1,0)</f>
        <v>1</v>
      </c>
      <c r="AA385" s="100">
        <f ca="1">IF(Table24[[#This Row],[Start Date]]&gt;TODAY(),1,)</f>
        <v>0</v>
      </c>
    </row>
    <row r="386" spans="1:27" s="62" customFormat="1" x14ac:dyDescent="0.25">
      <c r="B386" s="116"/>
      <c r="C386" s="100" t="e">
        <v>#N/A</v>
      </c>
      <c r="D386" s="100" t="e">
        <v>#N/A</v>
      </c>
      <c r="E386" s="99"/>
      <c r="F386" s="67"/>
      <c r="G386" s="102"/>
      <c r="H386" s="102"/>
      <c r="I386" s="101"/>
      <c r="J386" s="101"/>
      <c r="K386" s="101"/>
      <c r="L386" s="101"/>
      <c r="M386" s="101"/>
      <c r="N386" s="101"/>
      <c r="O386" s="99"/>
      <c r="P386" s="99"/>
      <c r="Q386" s="15" t="e">
        <v>#N/A</v>
      </c>
      <c r="R386" s="15" t="e">
        <v>#N/A</v>
      </c>
      <c r="S386" s="15"/>
      <c r="T386" s="103"/>
      <c r="U386" s="15"/>
      <c r="V386" s="15"/>
      <c r="W386" s="100"/>
      <c r="X386" s="99"/>
      <c r="Y386" s="109">
        <f ca="1">Table24[[#This Row],[End Date]]+2-TODAY()</f>
        <v>-45530</v>
      </c>
      <c r="Z386" s="15">
        <f>IF(ISBLANK(Table24[[#This Row],[Roster Received By]]),1,0)</f>
        <v>1</v>
      </c>
      <c r="AA386" s="100">
        <f ca="1">IF(Table24[[#This Row],[Start Date]]&gt;TODAY(),1,)</f>
        <v>0</v>
      </c>
    </row>
    <row r="387" spans="1:27" s="62" customFormat="1" x14ac:dyDescent="0.25">
      <c r="B387" s="116"/>
      <c r="C387" s="100" t="e">
        <v>#N/A</v>
      </c>
      <c r="D387" s="100" t="e">
        <v>#N/A</v>
      </c>
      <c r="E387" s="116"/>
      <c r="F387" s="102"/>
      <c r="G387" s="102"/>
      <c r="H387" s="102"/>
      <c r="I387" s="101"/>
      <c r="J387" s="101"/>
      <c r="K387" s="101"/>
      <c r="L387" s="101"/>
      <c r="M387" s="101"/>
      <c r="N387" s="101"/>
      <c r="O387" s="99"/>
      <c r="P387" s="99"/>
      <c r="Q387" s="15" t="e">
        <v>#N/A</v>
      </c>
      <c r="R387" s="15" t="e">
        <v>#N/A</v>
      </c>
      <c r="S387" s="15"/>
      <c r="T387" s="103"/>
      <c r="U387" s="15"/>
      <c r="V387" s="15"/>
      <c r="W387" s="100"/>
      <c r="X387" s="99"/>
      <c r="Y387" s="109">
        <f ca="1">Table24[[#This Row],[End Date]]+2-TODAY()</f>
        <v>-45530</v>
      </c>
      <c r="Z387" s="15">
        <f>IF(ISBLANK(Table24[[#This Row],[Roster Received By]]),1,0)</f>
        <v>1</v>
      </c>
      <c r="AA387" s="100">
        <f ca="1">IF(Table24[[#This Row],[Start Date]]&gt;TODAY(),1,)</f>
        <v>0</v>
      </c>
    </row>
    <row r="388" spans="1:27" s="62" customFormat="1" x14ac:dyDescent="0.25">
      <c r="B388" s="66"/>
      <c r="C388" s="100" t="e">
        <v>#N/A</v>
      </c>
      <c r="D388" s="100" t="e">
        <v>#N/A</v>
      </c>
      <c r="E388" s="68"/>
      <c r="F388" s="67"/>
      <c r="G388" s="67"/>
      <c r="H388" s="101"/>
      <c r="I388" s="101"/>
      <c r="J388" s="102"/>
      <c r="K388" s="102"/>
      <c r="L388" s="102"/>
      <c r="M388" s="102"/>
      <c r="N388" s="102"/>
      <c r="O388" s="99"/>
      <c r="P388" s="99"/>
      <c r="Q388" s="15" t="e">
        <v>#N/A</v>
      </c>
      <c r="R388" s="15" t="e">
        <v>#N/A</v>
      </c>
      <c r="S388" s="15"/>
      <c r="T388" s="103"/>
      <c r="U388" s="15"/>
      <c r="V388" s="15"/>
      <c r="W388" s="100"/>
      <c r="X388" s="99"/>
      <c r="Y388" s="109">
        <f ca="1">Table24[[#This Row],[End Date]]+2-TODAY()</f>
        <v>-45530</v>
      </c>
      <c r="Z388" s="15">
        <f>IF(ISBLANK(Table24[[#This Row],[Roster Received By]]),1,0)</f>
        <v>1</v>
      </c>
      <c r="AA388" s="100">
        <f ca="1">IF(Table24[[#This Row],[Start Date]]&gt;TODAY(),1,)</f>
        <v>0</v>
      </c>
    </row>
    <row r="389" spans="1:27" s="62" customFormat="1" x14ac:dyDescent="0.25">
      <c r="B389" s="116"/>
      <c r="C389" s="100" t="e">
        <v>#N/A</v>
      </c>
      <c r="D389" s="100" t="e">
        <v>#N/A</v>
      </c>
      <c r="E389" s="68"/>
      <c r="F389" s="102"/>
      <c r="G389" s="102"/>
      <c r="H389" s="105"/>
      <c r="I389" s="105"/>
      <c r="J389" s="102"/>
      <c r="K389" s="102"/>
      <c r="L389" s="102"/>
      <c r="M389" s="102"/>
      <c r="N389" s="102"/>
      <c r="O389" s="99"/>
      <c r="P389" s="99"/>
      <c r="Q389" s="15" t="e">
        <v>#N/A</v>
      </c>
      <c r="R389" s="15" t="e">
        <v>#N/A</v>
      </c>
      <c r="S389" s="15"/>
      <c r="T389" s="103"/>
      <c r="U389" s="15"/>
      <c r="V389" s="15"/>
      <c r="W389" s="100"/>
      <c r="X389" s="99"/>
      <c r="Y389" s="109">
        <f ca="1">Table24[[#This Row],[End Date]]+2-TODAY()</f>
        <v>-45530</v>
      </c>
      <c r="Z389" s="15">
        <f>IF(ISBLANK(Table24[[#This Row],[Roster Received By]]),1,0)</f>
        <v>1</v>
      </c>
      <c r="AA389" s="100">
        <f ca="1">IF(Table24[[#This Row],[Start Date]]&gt;TODAY(),1,)</f>
        <v>0</v>
      </c>
    </row>
    <row r="390" spans="1:27" s="62" customFormat="1" x14ac:dyDescent="0.25">
      <c r="A390" s="99"/>
      <c r="B390" s="99"/>
      <c r="C390" s="100" t="e">
        <v>#N/A</v>
      </c>
      <c r="D390" s="100" t="e">
        <v>#N/A</v>
      </c>
      <c r="E390" s="122"/>
      <c r="F390" s="102"/>
      <c r="G390" s="102"/>
      <c r="H390" s="102"/>
      <c r="I390" s="101"/>
      <c r="J390" s="101"/>
      <c r="K390" s="101"/>
      <c r="L390" s="101"/>
      <c r="M390" s="101"/>
      <c r="N390" s="101"/>
      <c r="O390" s="99"/>
      <c r="P390" s="99"/>
      <c r="Q390" s="15" t="e">
        <v>#N/A</v>
      </c>
      <c r="R390" s="15" t="e">
        <v>#N/A</v>
      </c>
      <c r="S390" s="15"/>
      <c r="T390" s="103"/>
      <c r="U390" s="15"/>
      <c r="V390" s="15"/>
      <c r="W390" s="100"/>
      <c r="X390" s="99"/>
      <c r="Y390" s="109">
        <f ca="1">Table24[[#This Row],[End Date]]+2-TODAY()</f>
        <v>-45530</v>
      </c>
      <c r="Z390" s="15">
        <f>IF(ISBLANK(Table24[[#This Row],[Roster Received By]]),1,0)</f>
        <v>1</v>
      </c>
      <c r="AA390" s="100">
        <f ca="1">IF(Table24[[#This Row],[Start Date]]&gt;TODAY(),1,)</f>
        <v>0</v>
      </c>
    </row>
    <row r="391" spans="1:27" s="62" customFormat="1" x14ac:dyDescent="0.25">
      <c r="B391" s="99"/>
      <c r="C391" s="100" t="e">
        <v>#N/A</v>
      </c>
      <c r="D391" s="100" t="e">
        <v>#N/A</v>
      </c>
      <c r="E391" s="122"/>
      <c r="F391" s="102"/>
      <c r="G391" s="102"/>
      <c r="H391" s="102"/>
      <c r="I391" s="101"/>
      <c r="J391" s="101"/>
      <c r="K391" s="101"/>
      <c r="L391" s="101"/>
      <c r="M391" s="101"/>
      <c r="N391" s="101"/>
      <c r="O391" s="99"/>
      <c r="P391" s="99"/>
      <c r="Q391" s="15" t="e">
        <v>#N/A</v>
      </c>
      <c r="R391" s="15" t="e">
        <v>#N/A</v>
      </c>
      <c r="S391" s="15"/>
      <c r="T391" s="103"/>
      <c r="U391" s="15"/>
      <c r="V391" s="15"/>
      <c r="W391" s="100"/>
      <c r="X391" s="99"/>
      <c r="Y391" s="109">
        <f ca="1">Table24[[#This Row],[End Date]]+2-TODAY()</f>
        <v>-45530</v>
      </c>
      <c r="Z391" s="15">
        <f>IF(ISBLANK(Table24[[#This Row],[Roster Received By]]),1,0)</f>
        <v>1</v>
      </c>
      <c r="AA391" s="100">
        <f ca="1">IF(Table24[[#This Row],[Start Date]]&gt;TODAY(),1,)</f>
        <v>0</v>
      </c>
    </row>
    <row r="392" spans="1:27" s="62" customFormat="1" x14ac:dyDescent="0.25">
      <c r="B392" s="116"/>
      <c r="C392" s="100" t="e">
        <v>#N/A</v>
      </c>
      <c r="D392" s="100" t="e">
        <v>#N/A</v>
      </c>
      <c r="E392" s="122"/>
      <c r="F392" s="102"/>
      <c r="G392" s="102"/>
      <c r="H392" s="102"/>
      <c r="I392" s="101"/>
      <c r="J392" s="101"/>
      <c r="K392" s="101"/>
      <c r="L392" s="101"/>
      <c r="M392" s="101"/>
      <c r="N392" s="101"/>
      <c r="O392" s="99"/>
      <c r="P392" s="99"/>
      <c r="Q392" s="15" t="e">
        <v>#N/A</v>
      </c>
      <c r="R392" s="15" t="e">
        <v>#N/A</v>
      </c>
      <c r="S392" s="15"/>
      <c r="T392" s="103"/>
      <c r="U392" s="15"/>
      <c r="V392" s="15"/>
      <c r="W392" s="100"/>
      <c r="X392" s="99"/>
      <c r="Y392" s="109">
        <f ca="1">Table24[[#This Row],[End Date]]+2-TODAY()</f>
        <v>-45530</v>
      </c>
      <c r="Z392" s="15">
        <f>IF(ISBLANK(Table24[[#This Row],[Roster Received By]]),1,0)</f>
        <v>1</v>
      </c>
      <c r="AA392" s="100">
        <f ca="1">IF(Table24[[#This Row],[Start Date]]&gt;TODAY(),1,)</f>
        <v>0</v>
      </c>
    </row>
    <row r="393" spans="1:27" s="62" customFormat="1" x14ac:dyDescent="0.25">
      <c r="B393" s="116"/>
      <c r="C393" s="100" t="e">
        <v>#N/A</v>
      </c>
      <c r="D393" s="100" t="e">
        <v>#N/A</v>
      </c>
      <c r="E393" s="68"/>
      <c r="F393" s="102"/>
      <c r="G393" s="102"/>
      <c r="H393" s="108"/>
      <c r="I393" s="108"/>
      <c r="J393" s="102"/>
      <c r="K393" s="102"/>
      <c r="L393" s="102"/>
      <c r="M393" s="102"/>
      <c r="N393" s="102"/>
      <c r="O393" s="99"/>
      <c r="P393" s="99"/>
      <c r="Q393" s="15" t="e">
        <v>#N/A</v>
      </c>
      <c r="R393" s="15" t="e">
        <v>#N/A</v>
      </c>
      <c r="S393" s="15"/>
      <c r="T393" s="103"/>
      <c r="U393" s="15"/>
      <c r="V393" s="15"/>
      <c r="W393" s="100"/>
      <c r="X393" s="99"/>
      <c r="Y393" s="109">
        <f ca="1">Table24[[#This Row],[End Date]]+2-TODAY()</f>
        <v>-45530</v>
      </c>
      <c r="Z393" s="15">
        <f>IF(ISBLANK(Table24[[#This Row],[Roster Received By]]),1,0)</f>
        <v>1</v>
      </c>
      <c r="AA393" s="100">
        <f ca="1">IF(Table24[[#This Row],[Start Date]]&gt;TODAY(),1,)</f>
        <v>0</v>
      </c>
    </row>
    <row r="394" spans="1:27" s="62" customFormat="1" x14ac:dyDescent="0.25">
      <c r="B394" s="99"/>
      <c r="C394" s="100" t="e">
        <v>#N/A</v>
      </c>
      <c r="D394" s="100" t="e">
        <v>#N/A</v>
      </c>
      <c r="E394" s="99"/>
      <c r="F394" s="102"/>
      <c r="G394" s="102"/>
      <c r="H394" s="102"/>
      <c r="I394" s="101"/>
      <c r="J394" s="101"/>
      <c r="K394" s="101"/>
      <c r="L394" s="101"/>
      <c r="M394" s="101"/>
      <c r="N394" s="101"/>
      <c r="O394" s="99"/>
      <c r="P394" s="99"/>
      <c r="Q394" s="15" t="e">
        <v>#N/A</v>
      </c>
      <c r="R394" s="15" t="e">
        <v>#N/A</v>
      </c>
      <c r="S394" s="15"/>
      <c r="T394" s="103"/>
      <c r="U394" s="15"/>
      <c r="V394" s="15"/>
      <c r="W394" s="100"/>
      <c r="X394" s="99"/>
      <c r="Y394" s="109">
        <f ca="1">Table24[[#This Row],[End Date]]+2-TODAY()</f>
        <v>-45530</v>
      </c>
      <c r="Z394" s="15">
        <f>IF(ISBLANK(Table24[[#This Row],[Roster Received By]]),1,0)</f>
        <v>1</v>
      </c>
      <c r="AA394" s="100">
        <f ca="1">IF(Table24[[#This Row],[Start Date]]&gt;TODAY(),1,)</f>
        <v>0</v>
      </c>
    </row>
    <row r="395" spans="1:27" s="62" customFormat="1" x14ac:dyDescent="0.25">
      <c r="A395" s="99"/>
      <c r="B395" s="99"/>
      <c r="C395" s="100" t="e">
        <v>#N/A</v>
      </c>
      <c r="D395" s="100" t="e">
        <v>#N/A</v>
      </c>
      <c r="E395" s="122"/>
      <c r="F395" s="102"/>
      <c r="G395" s="102"/>
      <c r="H395" s="102"/>
      <c r="I395" s="101"/>
      <c r="J395" s="101"/>
      <c r="K395" s="101"/>
      <c r="L395" s="101"/>
      <c r="M395" s="101"/>
      <c r="N395" s="101"/>
      <c r="O395" s="99"/>
      <c r="P395" s="99"/>
      <c r="Q395" s="15" t="e">
        <v>#N/A</v>
      </c>
      <c r="R395" s="15" t="e">
        <v>#N/A</v>
      </c>
      <c r="S395" s="15"/>
      <c r="T395" s="103"/>
      <c r="U395" s="15"/>
      <c r="V395" s="15"/>
      <c r="W395" s="100"/>
      <c r="X395" s="99"/>
      <c r="Y395" s="109">
        <f ca="1">Table24[[#This Row],[End Date]]+2-TODAY()</f>
        <v>-45530</v>
      </c>
      <c r="Z395" s="15">
        <f>IF(ISBLANK(Table24[[#This Row],[Roster Received By]]),1,0)</f>
        <v>1</v>
      </c>
      <c r="AA395" s="100">
        <f ca="1">IF(Table24[[#This Row],[Start Date]]&gt;TODAY(),1,)</f>
        <v>0</v>
      </c>
    </row>
    <row r="396" spans="1:27" s="62" customFormat="1" x14ac:dyDescent="0.25">
      <c r="B396" s="99"/>
      <c r="C396" s="100" t="e">
        <v>#N/A</v>
      </c>
      <c r="D396" s="100" t="e">
        <v>#N/A</v>
      </c>
      <c r="E396" s="122"/>
      <c r="F396" s="102"/>
      <c r="G396" s="102"/>
      <c r="H396" s="105"/>
      <c r="I396" s="105"/>
      <c r="J396" s="102"/>
      <c r="K396" s="102"/>
      <c r="L396" s="125"/>
      <c r="M396" s="102"/>
      <c r="N396" s="102"/>
      <c r="O396" s="99"/>
      <c r="P396" s="99"/>
      <c r="Q396" s="15" t="e">
        <v>#N/A</v>
      </c>
      <c r="R396" s="15" t="e">
        <v>#N/A</v>
      </c>
      <c r="S396" s="103"/>
      <c r="T396" s="103"/>
      <c r="U396" s="15"/>
      <c r="V396" s="15"/>
      <c r="W396" s="100"/>
      <c r="X396" s="99"/>
      <c r="Y396" s="109">
        <f ca="1">Table24[[#This Row],[End Date]]+2-TODAY()</f>
        <v>-45530</v>
      </c>
      <c r="Z396" s="15">
        <f>IF(ISBLANK(Table24[[#This Row],[Roster Received By]]),1,0)</f>
        <v>1</v>
      </c>
      <c r="AA396" s="100">
        <f ca="1">IF(Table24[[#This Row],[Start Date]]&gt;TODAY(),1,)</f>
        <v>0</v>
      </c>
    </row>
    <row r="397" spans="1:27" s="62" customFormat="1" x14ac:dyDescent="0.25">
      <c r="B397" s="99"/>
      <c r="C397" s="100" t="e">
        <v>#N/A</v>
      </c>
      <c r="D397" s="100" t="e">
        <v>#N/A</v>
      </c>
      <c r="E397" s="122"/>
      <c r="F397" s="102"/>
      <c r="G397" s="102"/>
      <c r="H397" s="105"/>
      <c r="I397" s="105"/>
      <c r="J397" s="102"/>
      <c r="K397" s="102"/>
      <c r="L397" s="102"/>
      <c r="M397" s="102"/>
      <c r="N397" s="102"/>
      <c r="O397" s="99"/>
      <c r="P397" s="99"/>
      <c r="Q397" s="15" t="e">
        <v>#N/A</v>
      </c>
      <c r="R397" s="15" t="e">
        <v>#N/A</v>
      </c>
      <c r="S397" s="15"/>
      <c r="T397" s="103"/>
      <c r="U397" s="15"/>
      <c r="V397" s="15"/>
      <c r="W397" s="15"/>
      <c r="X397" s="99"/>
      <c r="Y397" s="71">
        <f ca="1">Table24[[#This Row],[End Date]]+2-TODAY()</f>
        <v>-45530</v>
      </c>
      <c r="Z397" s="15">
        <f>IF(ISBLANK(Table24[[#This Row],[Roster Received By]]),1,0)</f>
        <v>1</v>
      </c>
      <c r="AA397" s="15">
        <f ca="1">IF(Table24[[#This Row],[Start Date]]&gt;TODAY(),1,)</f>
        <v>0</v>
      </c>
    </row>
    <row r="398" spans="1:27" s="62" customFormat="1" x14ac:dyDescent="0.25">
      <c r="B398" s="99"/>
      <c r="C398" s="100" t="e">
        <v>#N/A</v>
      </c>
      <c r="D398" s="100" t="e">
        <v>#N/A</v>
      </c>
      <c r="E398" s="66"/>
      <c r="F398" s="67"/>
      <c r="G398" s="67"/>
      <c r="H398" s="101"/>
      <c r="I398" s="101"/>
      <c r="J398" s="102"/>
      <c r="K398" s="102"/>
      <c r="L398" s="102"/>
      <c r="M398" s="102"/>
      <c r="N398" s="102"/>
      <c r="O398" s="99"/>
      <c r="P398" s="99"/>
      <c r="Q398" s="15" t="e">
        <v>#N/A</v>
      </c>
      <c r="R398" s="15" t="e">
        <v>#N/A</v>
      </c>
      <c r="S398" s="15"/>
      <c r="T398" s="103"/>
      <c r="U398" s="15"/>
      <c r="V398" s="15"/>
      <c r="W398" s="15"/>
      <c r="X398" s="99"/>
      <c r="Y398" s="71">
        <f ca="1">Table24[[#This Row],[End Date]]+2-TODAY()</f>
        <v>-45530</v>
      </c>
      <c r="Z398" s="15">
        <f>IF(ISBLANK(Table24[[#This Row],[Roster Received By]]),1,0)</f>
        <v>1</v>
      </c>
      <c r="AA398" s="15">
        <f ca="1">IF(Table24[[#This Row],[Start Date]]&gt;TODAY(),1,)</f>
        <v>0</v>
      </c>
    </row>
    <row r="399" spans="1:27" s="62" customFormat="1" x14ac:dyDescent="0.25">
      <c r="B399" s="99"/>
      <c r="C399" s="100" t="e">
        <v>#N/A</v>
      </c>
      <c r="D399" s="100" t="e">
        <v>#N/A</v>
      </c>
      <c r="E399" s="68"/>
      <c r="F399" s="102"/>
      <c r="G399" s="102"/>
      <c r="H399" s="105"/>
      <c r="I399" s="105"/>
      <c r="J399" s="102"/>
      <c r="K399" s="102"/>
      <c r="L399" s="102"/>
      <c r="M399" s="102"/>
      <c r="N399" s="102"/>
      <c r="O399" s="99"/>
      <c r="P399" s="99"/>
      <c r="Q399" s="15" t="e">
        <v>#N/A</v>
      </c>
      <c r="R399" s="15" t="e">
        <v>#N/A</v>
      </c>
      <c r="S399" s="15"/>
      <c r="T399" s="103"/>
      <c r="U399" s="15"/>
      <c r="V399" s="15"/>
      <c r="W399" s="100"/>
      <c r="X399" s="99"/>
      <c r="Y399" s="109">
        <f ca="1">Table24[[#This Row],[End Date]]+2-TODAY()</f>
        <v>-45530</v>
      </c>
      <c r="Z399" s="15">
        <f>IF(ISBLANK(Table24[[#This Row],[Roster Received By]]),1,0)</f>
        <v>1</v>
      </c>
      <c r="AA399" s="100">
        <f ca="1">IF(Table24[[#This Row],[Start Date]]&gt;TODAY(),1,)</f>
        <v>0</v>
      </c>
    </row>
    <row r="400" spans="1:27" s="62" customFormat="1" x14ac:dyDescent="0.25">
      <c r="B400" s="116"/>
      <c r="C400" s="100" t="e">
        <v>#N/A</v>
      </c>
      <c r="D400" s="100" t="e">
        <v>#N/A</v>
      </c>
      <c r="E400" s="68"/>
      <c r="F400" s="102"/>
      <c r="G400" s="102"/>
      <c r="H400" s="105"/>
      <c r="I400" s="105"/>
      <c r="J400" s="102"/>
      <c r="K400" s="102"/>
      <c r="L400" s="102"/>
      <c r="M400" s="102"/>
      <c r="N400" s="102"/>
      <c r="O400" s="99"/>
      <c r="P400" s="99"/>
      <c r="Q400" s="15" t="e">
        <v>#N/A</v>
      </c>
      <c r="R400" s="15" t="e">
        <v>#N/A</v>
      </c>
      <c r="S400" s="15"/>
      <c r="T400" s="103"/>
      <c r="U400" s="15"/>
      <c r="V400" s="15"/>
      <c r="W400" s="100"/>
      <c r="X400" s="99"/>
      <c r="Y400" s="109">
        <f ca="1">Table24[[#This Row],[End Date]]+2-TODAY()</f>
        <v>-45530</v>
      </c>
      <c r="Z400" s="15">
        <f>IF(ISBLANK(Table24[[#This Row],[Roster Received By]]),1,0)</f>
        <v>1</v>
      </c>
      <c r="AA400" s="100">
        <f ca="1">IF(Table24[[#This Row],[Start Date]]&gt;TODAY(),1,)</f>
        <v>0</v>
      </c>
    </row>
    <row r="401" spans="1:27" s="62" customFormat="1" x14ac:dyDescent="0.25">
      <c r="B401" s="99"/>
      <c r="C401" s="100" t="e">
        <v>#N/A</v>
      </c>
      <c r="D401" s="100" t="e">
        <v>#N/A</v>
      </c>
      <c r="E401" s="122"/>
      <c r="F401" s="102"/>
      <c r="G401" s="102"/>
      <c r="H401" s="105"/>
      <c r="I401" s="105"/>
      <c r="J401" s="102"/>
      <c r="K401" s="102"/>
      <c r="L401" s="102"/>
      <c r="M401" s="102"/>
      <c r="N401" s="102"/>
      <c r="O401" s="99"/>
      <c r="P401" s="99"/>
      <c r="Q401" s="15" t="e">
        <v>#N/A</v>
      </c>
      <c r="R401" s="15" t="e">
        <v>#N/A</v>
      </c>
      <c r="S401" s="103"/>
      <c r="T401" s="103"/>
      <c r="U401" s="15"/>
      <c r="V401" s="15"/>
      <c r="W401" s="100"/>
      <c r="X401" s="99"/>
      <c r="Y401" s="109">
        <f ca="1">Table24[[#This Row],[End Date]]+2-TODAY()</f>
        <v>-45530</v>
      </c>
      <c r="Z401" s="15">
        <f>IF(ISBLANK(Table24[[#This Row],[Roster Received By]]),1,0)</f>
        <v>1</v>
      </c>
      <c r="AA401" s="100">
        <f ca="1">IF(Table24[[#This Row],[Start Date]]&gt;TODAY(),1,)</f>
        <v>0</v>
      </c>
    </row>
    <row r="402" spans="1:27" s="62" customFormat="1" x14ac:dyDescent="0.25">
      <c r="B402" s="99"/>
      <c r="C402" s="100" t="e">
        <v>#N/A</v>
      </c>
      <c r="D402" s="100" t="e">
        <v>#N/A</v>
      </c>
      <c r="E402" s="122"/>
      <c r="F402" s="102"/>
      <c r="G402" s="102"/>
      <c r="H402" s="105"/>
      <c r="I402" s="105"/>
      <c r="J402" s="105"/>
      <c r="K402" s="105"/>
      <c r="L402" s="105"/>
      <c r="M402" s="105"/>
      <c r="N402" s="105"/>
      <c r="O402" s="99"/>
      <c r="P402" s="99"/>
      <c r="Q402" s="15" t="e">
        <v>#N/A</v>
      </c>
      <c r="R402" s="15" t="e">
        <v>#N/A</v>
      </c>
      <c r="S402" s="15"/>
      <c r="T402" s="103"/>
      <c r="U402" s="15"/>
      <c r="V402" s="15"/>
      <c r="W402" s="15"/>
      <c r="X402" s="99"/>
      <c r="Y402" s="109">
        <f ca="1">Table24[[#This Row],[End Date]]+2-TODAY()</f>
        <v>-45530</v>
      </c>
      <c r="Z402" s="15">
        <f>IF(ISBLANK(Table24[[#This Row],[Roster Received By]]),1,0)</f>
        <v>1</v>
      </c>
      <c r="AA402" s="100">
        <f ca="1">IF(Table24[[#This Row],[Start Date]]&gt;TODAY(),1,)</f>
        <v>0</v>
      </c>
    </row>
    <row r="403" spans="1:27" s="62" customFormat="1" x14ac:dyDescent="0.25">
      <c r="B403" s="99"/>
      <c r="C403" s="100" t="e">
        <v>#N/A</v>
      </c>
      <c r="D403" s="100" t="e">
        <v>#N/A</v>
      </c>
      <c r="E403" s="99"/>
      <c r="F403" s="102"/>
      <c r="G403" s="102"/>
      <c r="H403" s="102"/>
      <c r="I403" s="101"/>
      <c r="J403" s="101"/>
      <c r="K403" s="101"/>
      <c r="L403" s="101"/>
      <c r="M403" s="101"/>
      <c r="N403" s="101"/>
      <c r="O403" s="99"/>
      <c r="P403" s="99"/>
      <c r="Q403" s="15" t="e">
        <v>#N/A</v>
      </c>
      <c r="R403" s="15" t="e">
        <v>#N/A</v>
      </c>
      <c r="S403" s="15"/>
      <c r="T403" s="103"/>
      <c r="U403" s="15"/>
      <c r="V403" s="15"/>
      <c r="W403" s="100"/>
      <c r="X403" s="99"/>
      <c r="Y403" s="109">
        <f ca="1">Table24[[#This Row],[End Date]]+2-TODAY()</f>
        <v>-45530</v>
      </c>
      <c r="Z403" s="15">
        <f>IF(ISBLANK(Table24[[#This Row],[Roster Received By]]),1,0)</f>
        <v>1</v>
      </c>
      <c r="AA403" s="100">
        <f ca="1">IF(Table24[[#This Row],[Start Date]]&gt;TODAY(),1,)</f>
        <v>0</v>
      </c>
    </row>
    <row r="404" spans="1:27" s="62" customFormat="1" x14ac:dyDescent="0.25">
      <c r="B404" s="99"/>
      <c r="C404" s="100" t="e">
        <v>#N/A</v>
      </c>
      <c r="D404" s="100" t="e">
        <v>#N/A</v>
      </c>
      <c r="E404" s="99"/>
      <c r="F404" s="102"/>
      <c r="G404" s="102"/>
      <c r="H404" s="105"/>
      <c r="I404" s="105"/>
      <c r="J404" s="105"/>
      <c r="K404" s="105"/>
      <c r="L404" s="105"/>
      <c r="M404" s="105"/>
      <c r="N404" s="102"/>
      <c r="O404" s="99"/>
      <c r="P404" s="99"/>
      <c r="Q404" s="15" t="e">
        <v>#N/A</v>
      </c>
      <c r="R404" s="15" t="e">
        <v>#N/A</v>
      </c>
      <c r="S404" s="15"/>
      <c r="T404" s="103"/>
      <c r="U404" s="15"/>
      <c r="V404" s="15"/>
      <c r="W404" s="100"/>
      <c r="X404" s="99"/>
      <c r="Y404" s="109">
        <f ca="1">Table24[[#This Row],[End Date]]+2-TODAY()</f>
        <v>-45530</v>
      </c>
      <c r="Z404" s="15">
        <f>IF(ISBLANK(Table24[[#This Row],[Roster Received By]]),1,0)</f>
        <v>1</v>
      </c>
      <c r="AA404" s="100">
        <f ca="1">IF(Table24[[#This Row],[Start Date]]&gt;TODAY(),1,)</f>
        <v>0</v>
      </c>
    </row>
    <row r="405" spans="1:27" s="62" customFormat="1" x14ac:dyDescent="0.25">
      <c r="B405" s="116"/>
      <c r="C405" s="100" t="e">
        <v>#N/A</v>
      </c>
      <c r="D405" s="100" t="e">
        <v>#N/A</v>
      </c>
      <c r="E405" s="99"/>
      <c r="F405" s="102"/>
      <c r="G405" s="102"/>
      <c r="H405" s="105"/>
      <c r="I405" s="105"/>
      <c r="J405" s="102"/>
      <c r="K405" s="102"/>
      <c r="L405" s="102"/>
      <c r="M405" s="102"/>
      <c r="N405" s="102"/>
      <c r="O405" s="99"/>
      <c r="P405" s="99"/>
      <c r="Q405" s="15" t="e">
        <v>#N/A</v>
      </c>
      <c r="R405" s="15" t="e">
        <v>#N/A</v>
      </c>
      <c r="S405" s="15"/>
      <c r="T405" s="103"/>
      <c r="U405" s="15"/>
      <c r="V405" s="15"/>
      <c r="W405" s="100"/>
      <c r="X405" s="99"/>
      <c r="Y405" s="109">
        <f ca="1">Table24[[#This Row],[End Date]]+2-TODAY()</f>
        <v>-45530</v>
      </c>
      <c r="Z405" s="15">
        <f>IF(ISBLANK(Table24[[#This Row],[Roster Received By]]),1,0)</f>
        <v>1</v>
      </c>
      <c r="AA405" s="100">
        <f ca="1">IF(Table24[[#This Row],[Start Date]]&gt;TODAY(),1,)</f>
        <v>0</v>
      </c>
    </row>
    <row r="406" spans="1:27" s="62" customFormat="1" x14ac:dyDescent="0.25">
      <c r="A406" s="142"/>
      <c r="B406" s="99"/>
      <c r="C406" s="100" t="e">
        <v>#N/A</v>
      </c>
      <c r="D406" s="100" t="e">
        <v>#N/A</v>
      </c>
      <c r="E406" s="99"/>
      <c r="F406" s="102"/>
      <c r="G406" s="102"/>
      <c r="H406" s="105"/>
      <c r="I406" s="105"/>
      <c r="J406" s="102"/>
      <c r="K406" s="102"/>
      <c r="L406" s="102"/>
      <c r="M406" s="102"/>
      <c r="N406" s="102"/>
      <c r="O406" s="99"/>
      <c r="P406" s="99"/>
      <c r="Q406" s="15" t="e">
        <v>#N/A</v>
      </c>
      <c r="R406" s="15" t="e">
        <v>#N/A</v>
      </c>
      <c r="S406" s="103"/>
      <c r="T406" s="103"/>
      <c r="U406" s="15"/>
      <c r="V406" s="15"/>
      <c r="W406" s="100"/>
      <c r="X406" s="99"/>
      <c r="Y406" s="109">
        <f ca="1">Table24[[#This Row],[End Date]]+2-TODAY()</f>
        <v>-45530</v>
      </c>
      <c r="Z406" s="15">
        <f>IF(ISBLANK(Table24[[#This Row],[Roster Received By]]),1,0)</f>
        <v>1</v>
      </c>
      <c r="AA406" s="100">
        <f ca="1">IF(Table24[[#This Row],[Start Date]]&gt;TODAY(),1,)</f>
        <v>0</v>
      </c>
    </row>
    <row r="407" spans="1:27" s="62" customFormat="1" x14ac:dyDescent="0.25">
      <c r="B407" s="99"/>
      <c r="C407" s="100" t="e">
        <v>#N/A</v>
      </c>
      <c r="D407" s="100" t="e">
        <v>#N/A</v>
      </c>
      <c r="E407" s="114"/>
      <c r="F407" s="115"/>
      <c r="G407" s="115"/>
      <c r="H407" s="115"/>
      <c r="I407" s="101"/>
      <c r="J407" s="101"/>
      <c r="K407" s="101"/>
      <c r="L407" s="101"/>
      <c r="M407" s="101"/>
      <c r="N407" s="101"/>
      <c r="O407" s="99"/>
      <c r="P407" s="99"/>
      <c r="Q407" s="15" t="e">
        <v>#N/A</v>
      </c>
      <c r="R407" s="15" t="e">
        <v>#N/A</v>
      </c>
      <c r="S407" s="15"/>
      <c r="T407" s="103"/>
      <c r="U407" s="15"/>
      <c r="V407" s="15"/>
      <c r="W407" s="100"/>
      <c r="X407" s="99"/>
      <c r="Y407" s="109">
        <f ca="1">Table24[[#This Row],[End Date]]+2-TODAY()</f>
        <v>-45530</v>
      </c>
      <c r="Z407" s="15">
        <f>IF(ISBLANK(Table24[[#This Row],[Roster Received By]]),1,0)</f>
        <v>1</v>
      </c>
      <c r="AA407" s="100">
        <f ca="1">IF(Table24[[#This Row],[Start Date]]&gt;TODAY(),1,)</f>
        <v>0</v>
      </c>
    </row>
    <row r="408" spans="1:27" s="62" customFormat="1" x14ac:dyDescent="0.25">
      <c r="B408" s="99"/>
      <c r="C408" s="100" t="e">
        <v>#N/A</v>
      </c>
      <c r="D408" s="100" t="e">
        <v>#N/A</v>
      </c>
      <c r="E408" s="65"/>
      <c r="F408" s="102"/>
      <c r="G408" s="102"/>
      <c r="H408" s="105"/>
      <c r="I408" s="105"/>
      <c r="J408" s="102"/>
      <c r="K408" s="102"/>
      <c r="L408" s="102"/>
      <c r="M408" s="102"/>
      <c r="N408" s="102"/>
      <c r="O408" s="99"/>
      <c r="P408" s="99"/>
      <c r="Q408" s="15" t="e">
        <v>#N/A</v>
      </c>
      <c r="R408" s="15" t="e">
        <v>#N/A</v>
      </c>
      <c r="S408" s="15"/>
      <c r="T408" s="103"/>
      <c r="U408" s="15"/>
      <c r="V408" s="15"/>
      <c r="W408" s="100"/>
      <c r="X408" s="99"/>
      <c r="Y408" s="109">
        <f ca="1">Table24[[#This Row],[End Date]]+2-TODAY()</f>
        <v>-45530</v>
      </c>
      <c r="Z408" s="15">
        <f>IF(ISBLANK(Table24[[#This Row],[Roster Received By]]),1,0)</f>
        <v>1</v>
      </c>
      <c r="AA408" s="100">
        <f ca="1">IF(Table24[[#This Row],[Start Date]]&gt;TODAY(),1,)</f>
        <v>0</v>
      </c>
    </row>
    <row r="409" spans="1:27" s="62" customFormat="1" x14ac:dyDescent="0.25">
      <c r="B409" s="99"/>
      <c r="C409" s="100" t="e">
        <v>#N/A</v>
      </c>
      <c r="D409" s="100" t="e">
        <v>#N/A</v>
      </c>
      <c r="E409" s="116"/>
      <c r="F409" s="110"/>
      <c r="G409" s="110"/>
      <c r="H409" s="105"/>
      <c r="I409" s="105"/>
      <c r="J409" s="102"/>
      <c r="K409" s="102"/>
      <c r="L409" s="102"/>
      <c r="M409" s="102"/>
      <c r="N409" s="102"/>
      <c r="O409" s="99"/>
      <c r="P409" s="99"/>
      <c r="Q409" s="15" t="e">
        <v>#N/A</v>
      </c>
      <c r="R409" s="15" t="e">
        <v>#N/A</v>
      </c>
      <c r="S409" s="15"/>
      <c r="T409" s="103"/>
      <c r="U409" s="15"/>
      <c r="V409" s="15"/>
      <c r="W409" s="100"/>
      <c r="X409" s="99"/>
      <c r="Y409" s="109">
        <f ca="1">Table24[[#This Row],[End Date]]+2-TODAY()</f>
        <v>-45530</v>
      </c>
      <c r="Z409" s="15">
        <f>IF(ISBLANK(Table24[[#This Row],[Roster Received By]]),1,0)</f>
        <v>1</v>
      </c>
      <c r="AA409" s="100">
        <f ca="1">IF(Table24[[#This Row],[Start Date]]&gt;TODAY(),1,)</f>
        <v>0</v>
      </c>
    </row>
    <row r="410" spans="1:27" s="62" customFormat="1" x14ac:dyDescent="0.25">
      <c r="B410" s="99"/>
      <c r="C410" s="100" t="e">
        <v>#N/A</v>
      </c>
      <c r="D410" s="100" t="e">
        <v>#N/A</v>
      </c>
      <c r="E410" s="116"/>
      <c r="F410" s="110"/>
      <c r="G410" s="110"/>
      <c r="H410" s="105"/>
      <c r="I410" s="105"/>
      <c r="J410" s="105"/>
      <c r="K410" s="105"/>
      <c r="L410" s="105"/>
      <c r="M410" s="105"/>
      <c r="N410" s="102"/>
      <c r="O410" s="99"/>
      <c r="P410" s="99"/>
      <c r="Q410" s="15" t="e">
        <v>#N/A</v>
      </c>
      <c r="R410" s="15" t="e">
        <v>#N/A</v>
      </c>
      <c r="S410" s="15"/>
      <c r="T410" s="103"/>
      <c r="U410" s="15"/>
      <c r="V410" s="15"/>
      <c r="W410" s="100"/>
      <c r="X410" s="99"/>
      <c r="Y410" s="109">
        <f ca="1">Table24[[#This Row],[End Date]]+2-TODAY()</f>
        <v>-45530</v>
      </c>
      <c r="Z410" s="15">
        <f>IF(ISBLANK(Table24[[#This Row],[Roster Received By]]),1,0)</f>
        <v>1</v>
      </c>
      <c r="AA410" s="100">
        <f ca="1">IF(Table24[[#This Row],[Start Date]]&gt;TODAY(),1,)</f>
        <v>0</v>
      </c>
    </row>
    <row r="411" spans="1:27" s="62" customFormat="1" x14ac:dyDescent="0.25">
      <c r="B411" s="99"/>
      <c r="C411" s="100" t="e">
        <v>#N/A</v>
      </c>
      <c r="D411" s="100" t="e">
        <v>#N/A</v>
      </c>
      <c r="E411" s="66"/>
      <c r="F411" s="98"/>
      <c r="G411" s="110"/>
      <c r="H411" s="105"/>
      <c r="I411" s="105"/>
      <c r="J411" s="102"/>
      <c r="K411" s="102"/>
      <c r="L411" s="102"/>
      <c r="M411" s="102"/>
      <c r="N411" s="102"/>
      <c r="O411" s="99"/>
      <c r="P411" s="99"/>
      <c r="Q411" s="15" t="e">
        <v>#N/A</v>
      </c>
      <c r="R411" s="15" t="e">
        <v>#N/A</v>
      </c>
      <c r="S411" s="15"/>
      <c r="T411" s="103"/>
      <c r="U411" s="15"/>
      <c r="V411" s="15"/>
      <c r="W411" s="100"/>
      <c r="X411" s="99"/>
      <c r="Y411" s="109">
        <f ca="1">Table24[[#This Row],[End Date]]+2-TODAY()</f>
        <v>-45530</v>
      </c>
      <c r="Z411" s="15">
        <f>IF(ISBLANK(Table24[[#This Row],[Roster Received By]]),1,0)</f>
        <v>1</v>
      </c>
      <c r="AA411" s="100">
        <f ca="1">IF(Table24[[#This Row],[Start Date]]&gt;TODAY(),1,)</f>
        <v>0</v>
      </c>
    </row>
    <row r="412" spans="1:27" s="62" customFormat="1" x14ac:dyDescent="0.25">
      <c r="B412" s="99"/>
      <c r="C412" s="100" t="e">
        <v>#N/A</v>
      </c>
      <c r="D412" s="100" t="e">
        <v>#N/A</v>
      </c>
      <c r="E412" s="122"/>
      <c r="F412" s="110"/>
      <c r="G412" s="110"/>
      <c r="H412" s="102"/>
      <c r="I412" s="101"/>
      <c r="J412" s="101"/>
      <c r="K412" s="101"/>
      <c r="L412" s="101"/>
      <c r="M412" s="101"/>
      <c r="N412" s="101"/>
      <c r="O412" s="99"/>
      <c r="P412" s="99"/>
      <c r="Q412" s="15" t="e">
        <v>#N/A</v>
      </c>
      <c r="R412" s="15" t="e">
        <v>#N/A</v>
      </c>
      <c r="S412" s="15"/>
      <c r="T412" s="103"/>
      <c r="U412" s="15"/>
      <c r="V412" s="15"/>
      <c r="W412" s="100"/>
      <c r="X412" s="99"/>
      <c r="Y412" s="109">
        <f ca="1">Table24[[#This Row],[End Date]]+2-TODAY()</f>
        <v>-45530</v>
      </c>
      <c r="Z412" s="15">
        <f>IF(ISBLANK(Table24[[#This Row],[Roster Received By]]),1,0)</f>
        <v>1</v>
      </c>
      <c r="AA412" s="100">
        <f ca="1">IF(Table24[[#This Row],[Start Date]]&gt;TODAY(),1,)</f>
        <v>0</v>
      </c>
    </row>
    <row r="413" spans="1:27" s="62" customFormat="1" x14ac:dyDescent="0.25">
      <c r="B413" s="99"/>
      <c r="C413" s="100" t="e">
        <v>#N/A</v>
      </c>
      <c r="D413" s="100" t="e">
        <v>#N/A</v>
      </c>
      <c r="E413" s="122"/>
      <c r="F413" s="110"/>
      <c r="G413" s="110"/>
      <c r="H413" s="102"/>
      <c r="I413" s="101"/>
      <c r="J413" s="101"/>
      <c r="K413" s="101"/>
      <c r="L413" s="101"/>
      <c r="M413" s="101"/>
      <c r="N413" s="101"/>
      <c r="O413" s="99"/>
      <c r="P413" s="99"/>
      <c r="Q413" s="15" t="e">
        <v>#N/A</v>
      </c>
      <c r="R413" s="15" t="e">
        <v>#N/A</v>
      </c>
      <c r="S413" s="15"/>
      <c r="T413" s="103"/>
      <c r="U413" s="15"/>
      <c r="V413" s="15"/>
      <c r="W413" s="100"/>
      <c r="X413" s="99"/>
      <c r="Y413" s="109">
        <f ca="1">Table24[[#This Row],[End Date]]+2-TODAY()</f>
        <v>-45530</v>
      </c>
      <c r="Z413" s="15">
        <f>IF(ISBLANK(Table24[[#This Row],[Roster Received By]]),1,0)</f>
        <v>1</v>
      </c>
      <c r="AA413" s="100">
        <f ca="1">IF(Table24[[#This Row],[Start Date]]&gt;TODAY(),1,)</f>
        <v>0</v>
      </c>
    </row>
    <row r="414" spans="1:27" s="62" customFormat="1" x14ac:dyDescent="0.25">
      <c r="B414" s="99"/>
      <c r="C414" s="100" t="e">
        <v>#N/A</v>
      </c>
      <c r="D414" s="100" t="e">
        <v>#N/A</v>
      </c>
      <c r="E414" s="122"/>
      <c r="F414" s="110"/>
      <c r="G414" s="110"/>
      <c r="H414" s="102"/>
      <c r="I414" s="101"/>
      <c r="J414" s="101"/>
      <c r="K414" s="101"/>
      <c r="L414" s="101"/>
      <c r="M414" s="101"/>
      <c r="N414" s="101"/>
      <c r="O414" s="99"/>
      <c r="P414" s="99"/>
      <c r="Q414" s="15" t="e">
        <v>#N/A</v>
      </c>
      <c r="R414" s="15" t="e">
        <v>#N/A</v>
      </c>
      <c r="S414" s="15"/>
      <c r="T414" s="103"/>
      <c r="U414" s="15"/>
      <c r="V414" s="15"/>
      <c r="W414" s="100"/>
      <c r="X414" s="99"/>
      <c r="Y414" s="109">
        <f ca="1">Table24[[#This Row],[End Date]]+2-TODAY()</f>
        <v>-45530</v>
      </c>
      <c r="Z414" s="15">
        <f>IF(ISBLANK(Table24[[#This Row],[Roster Received By]]),1,0)</f>
        <v>1</v>
      </c>
      <c r="AA414" s="100">
        <f ca="1">IF(Table24[[#This Row],[Start Date]]&gt;TODAY(),1,)</f>
        <v>0</v>
      </c>
    </row>
    <row r="415" spans="1:27" s="62" customFormat="1" x14ac:dyDescent="0.25">
      <c r="B415" s="99"/>
      <c r="C415" s="100" t="e">
        <v>#N/A</v>
      </c>
      <c r="D415" s="100" t="e">
        <v>#N/A</v>
      </c>
      <c r="E415" s="122"/>
      <c r="F415" s="102"/>
      <c r="G415" s="102"/>
      <c r="H415" s="102"/>
      <c r="I415" s="101"/>
      <c r="J415" s="101"/>
      <c r="K415" s="101"/>
      <c r="L415" s="101"/>
      <c r="M415" s="101"/>
      <c r="N415" s="101"/>
      <c r="O415" s="99"/>
      <c r="P415" s="99"/>
      <c r="Q415" s="15" t="e">
        <v>#N/A</v>
      </c>
      <c r="R415" s="15" t="e">
        <v>#N/A</v>
      </c>
      <c r="S415" s="15"/>
      <c r="T415" s="103"/>
      <c r="U415" s="15"/>
      <c r="V415" s="15"/>
      <c r="W415" s="100"/>
      <c r="X415" s="99"/>
      <c r="Y415" s="109">
        <f ca="1">Table24[[#This Row],[End Date]]+2-TODAY()</f>
        <v>-45530</v>
      </c>
      <c r="Z415" s="15">
        <f>IF(ISBLANK(Table24[[#This Row],[Roster Received By]]),1,0)</f>
        <v>1</v>
      </c>
      <c r="AA415" s="100">
        <f ca="1">IF(Table24[[#This Row],[Start Date]]&gt;TODAY(),1,)</f>
        <v>0</v>
      </c>
    </row>
    <row r="416" spans="1:27" s="62" customFormat="1" x14ac:dyDescent="0.25">
      <c r="B416" s="99"/>
      <c r="C416" s="100" t="e">
        <v>#N/A</v>
      </c>
      <c r="D416" s="100" t="e">
        <v>#N/A</v>
      </c>
      <c r="E416" s="122"/>
      <c r="F416" s="102"/>
      <c r="G416" s="102"/>
      <c r="H416" s="108"/>
      <c r="I416" s="108"/>
      <c r="J416" s="102"/>
      <c r="K416" s="102"/>
      <c r="L416" s="102"/>
      <c r="M416" s="102"/>
      <c r="N416" s="102"/>
      <c r="O416" s="99"/>
      <c r="P416" s="99"/>
      <c r="Q416" s="15" t="e">
        <v>#N/A</v>
      </c>
      <c r="R416" s="15" t="e">
        <v>#N/A</v>
      </c>
      <c r="S416" s="15"/>
      <c r="T416" s="103"/>
      <c r="U416" s="15"/>
      <c r="V416" s="15"/>
      <c r="W416" s="100"/>
      <c r="X416" s="99"/>
      <c r="Y416" s="109">
        <f ca="1">Table24[[#This Row],[End Date]]+2-TODAY()</f>
        <v>-45530</v>
      </c>
      <c r="Z416" s="15">
        <f>IF(ISBLANK(Table24[[#This Row],[Roster Received By]]),1,0)</f>
        <v>1</v>
      </c>
      <c r="AA416" s="100">
        <f ca="1">IF(Table24[[#This Row],[Start Date]]&gt;TODAY(),1,)</f>
        <v>0</v>
      </c>
    </row>
    <row r="417" spans="1:27" s="62" customFormat="1" x14ac:dyDescent="0.25">
      <c r="A417" s="99"/>
      <c r="B417" s="99"/>
      <c r="C417" s="100" t="e">
        <v>#N/A</v>
      </c>
      <c r="D417" s="100" t="e">
        <v>#N/A</v>
      </c>
      <c r="E417" s="122"/>
      <c r="F417" s="102"/>
      <c r="G417" s="102"/>
      <c r="H417" s="108"/>
      <c r="I417" s="108"/>
      <c r="J417" s="102"/>
      <c r="K417" s="102"/>
      <c r="L417" s="102"/>
      <c r="M417" s="102"/>
      <c r="N417" s="102"/>
      <c r="O417" s="99"/>
      <c r="P417" s="99"/>
      <c r="Q417" s="15" t="e">
        <v>#N/A</v>
      </c>
      <c r="R417" s="15" t="e">
        <v>#N/A</v>
      </c>
      <c r="S417" s="15"/>
      <c r="T417" s="103"/>
      <c r="U417" s="15"/>
      <c r="V417" s="15"/>
      <c r="W417" s="100"/>
      <c r="X417" s="99"/>
      <c r="Y417" s="109">
        <f ca="1">Table24[[#This Row],[End Date]]+2-TODAY()</f>
        <v>-45530</v>
      </c>
      <c r="Z417" s="15">
        <f>IF(ISBLANK(Table24[[#This Row],[Roster Received By]]),1,0)</f>
        <v>1</v>
      </c>
      <c r="AA417" s="100">
        <f ca="1">IF(Table24[[#This Row],[Start Date]]&gt;TODAY(),1,)</f>
        <v>0</v>
      </c>
    </row>
    <row r="418" spans="1:27" s="62" customFormat="1" x14ac:dyDescent="0.25">
      <c r="B418" s="99"/>
      <c r="C418" s="100" t="e">
        <v>#N/A</v>
      </c>
      <c r="D418" s="100" t="e">
        <v>#N/A</v>
      </c>
      <c r="E418" s="122"/>
      <c r="F418" s="102"/>
      <c r="G418" s="102"/>
      <c r="H418" s="102"/>
      <c r="I418" s="101"/>
      <c r="J418" s="101"/>
      <c r="K418" s="101"/>
      <c r="L418" s="101"/>
      <c r="M418" s="101"/>
      <c r="N418" s="101"/>
      <c r="O418" s="99"/>
      <c r="P418" s="99"/>
      <c r="Q418" s="15" t="e">
        <v>#N/A</v>
      </c>
      <c r="R418" s="15" t="e">
        <v>#N/A</v>
      </c>
      <c r="S418" s="15"/>
      <c r="T418" s="103"/>
      <c r="U418" s="15"/>
      <c r="V418" s="15"/>
      <c r="W418" s="100"/>
      <c r="X418" s="99"/>
      <c r="Y418" s="109">
        <f ca="1">Table24[[#This Row],[End Date]]+2-TODAY()</f>
        <v>-45530</v>
      </c>
      <c r="Z418" s="15">
        <f>IF(ISBLANK(Table24[[#This Row],[Roster Received By]]),1,0)</f>
        <v>1</v>
      </c>
      <c r="AA418" s="100">
        <f ca="1">IF(Table24[[#This Row],[Start Date]]&gt;TODAY(),1,)</f>
        <v>0</v>
      </c>
    </row>
    <row r="419" spans="1:27" s="62" customFormat="1" x14ac:dyDescent="0.25">
      <c r="B419" s="99"/>
      <c r="C419" s="100" t="e">
        <v>#N/A</v>
      </c>
      <c r="D419" s="100" t="e">
        <v>#N/A</v>
      </c>
      <c r="E419" s="99"/>
      <c r="F419" s="102"/>
      <c r="G419" s="102"/>
      <c r="H419" s="102"/>
      <c r="I419" s="101"/>
      <c r="J419" s="101"/>
      <c r="K419" s="101"/>
      <c r="L419" s="101"/>
      <c r="M419" s="101"/>
      <c r="N419" s="101"/>
      <c r="O419" s="99"/>
      <c r="P419" s="99"/>
      <c r="Q419" s="15" t="e">
        <v>#N/A</v>
      </c>
      <c r="R419" s="15" t="e">
        <v>#N/A</v>
      </c>
      <c r="S419" s="15"/>
      <c r="T419" s="103"/>
      <c r="U419" s="15"/>
      <c r="V419" s="15"/>
      <c r="W419" s="100"/>
      <c r="X419" s="99"/>
      <c r="Y419" s="109">
        <f ca="1">Table24[[#This Row],[End Date]]+2-TODAY()</f>
        <v>-45530</v>
      </c>
      <c r="Z419" s="15">
        <f>IF(ISBLANK(Table24[[#This Row],[Roster Received By]]),1,0)</f>
        <v>1</v>
      </c>
      <c r="AA419" s="100">
        <f ca="1">IF(Table24[[#This Row],[Start Date]]&gt;TODAY(),1,)</f>
        <v>0</v>
      </c>
    </row>
    <row r="420" spans="1:27" s="62" customFormat="1" x14ac:dyDescent="0.25">
      <c r="B420" s="99"/>
      <c r="C420" s="100" t="e">
        <v>#N/A</v>
      </c>
      <c r="D420" s="100" t="e">
        <v>#N/A</v>
      </c>
      <c r="E420" s="99"/>
      <c r="F420" s="102"/>
      <c r="G420" s="102"/>
      <c r="H420" s="105"/>
      <c r="I420" s="112"/>
      <c r="J420" s="112"/>
      <c r="K420" s="112"/>
      <c r="L420" s="112"/>
      <c r="M420" s="112"/>
      <c r="N420" s="112"/>
      <c r="O420" s="99"/>
      <c r="P420" s="99"/>
      <c r="Q420" s="15" t="e">
        <v>#N/A</v>
      </c>
      <c r="R420" s="15" t="e">
        <v>#N/A</v>
      </c>
      <c r="S420" s="103"/>
      <c r="T420" s="113"/>
      <c r="U420" s="113"/>
      <c r="V420" s="113"/>
      <c r="W420" s="113"/>
      <c r="X420" s="99"/>
      <c r="Y420" s="113"/>
    </row>
    <row r="421" spans="1:27" s="62" customFormat="1" x14ac:dyDescent="0.25">
      <c r="B421" s="99"/>
      <c r="C421" s="100" t="e">
        <v>#N/A</v>
      </c>
      <c r="D421" s="100" t="e">
        <v>#N/A</v>
      </c>
      <c r="E421" s="99"/>
      <c r="F421" s="102"/>
      <c r="G421" s="102"/>
      <c r="H421" s="105"/>
      <c r="I421" s="105"/>
      <c r="J421" s="102"/>
      <c r="K421" s="102"/>
      <c r="L421" s="102"/>
      <c r="M421" s="102"/>
      <c r="N421" s="102"/>
      <c r="O421" s="99"/>
      <c r="P421" s="99"/>
      <c r="Q421" s="15" t="e">
        <v>#N/A</v>
      </c>
      <c r="R421" s="15" t="e">
        <v>#N/A</v>
      </c>
      <c r="S421" s="103"/>
      <c r="T421" s="103"/>
      <c r="U421" s="15"/>
      <c r="V421" s="15"/>
      <c r="W421" s="100"/>
      <c r="X421" s="99"/>
      <c r="Y421" s="109">
        <f ca="1">Table24[[#This Row],[End Date]]+2-TODAY()</f>
        <v>-45530</v>
      </c>
      <c r="Z421" s="15">
        <f>IF(ISBLANK(Table24[[#This Row],[Roster Received By]]),1,0)</f>
        <v>1</v>
      </c>
      <c r="AA421" s="100">
        <f ca="1">IF(Table24[[#This Row],[Start Date]]&gt;TODAY(),1,)</f>
        <v>0</v>
      </c>
    </row>
    <row r="422" spans="1:27" s="62" customFormat="1" x14ac:dyDescent="0.25">
      <c r="B422" s="99"/>
      <c r="C422" s="100" t="e">
        <v>#N/A</v>
      </c>
      <c r="D422" s="100" t="e">
        <v>#N/A</v>
      </c>
      <c r="E422" s="65"/>
      <c r="F422" s="102"/>
      <c r="G422" s="102"/>
      <c r="H422" s="105"/>
      <c r="I422" s="105"/>
      <c r="J422" s="102"/>
      <c r="K422" s="102"/>
      <c r="L422" s="102"/>
      <c r="M422" s="102"/>
      <c r="N422" s="102"/>
      <c r="O422" s="99"/>
      <c r="P422" s="99"/>
      <c r="Q422" s="15" t="e">
        <v>#N/A</v>
      </c>
      <c r="R422" s="15" t="e">
        <v>#N/A</v>
      </c>
      <c r="S422" s="15"/>
      <c r="T422" s="103"/>
      <c r="U422" s="15"/>
      <c r="V422" s="15"/>
      <c r="W422" s="15"/>
      <c r="X422" s="99"/>
      <c r="Y422" s="71">
        <f ca="1">Table24[[#This Row],[End Date]]+2-TODAY()</f>
        <v>-45530</v>
      </c>
      <c r="Z422" s="15">
        <f>IF(ISBLANK(Table24[[#This Row],[Roster Received By]]),1,0)</f>
        <v>1</v>
      </c>
      <c r="AA422" s="15">
        <f ca="1">IF(Table24[[#This Row],[Start Date]]&gt;TODAY(),1,)</f>
        <v>0</v>
      </c>
    </row>
    <row r="423" spans="1:27" s="62" customFormat="1" x14ac:dyDescent="0.25">
      <c r="B423" s="99"/>
      <c r="C423" s="100" t="e">
        <v>#N/A</v>
      </c>
      <c r="D423" s="100" t="e">
        <v>#N/A</v>
      </c>
      <c r="E423" s="99"/>
      <c r="F423" s="102"/>
      <c r="G423" s="102"/>
      <c r="H423" s="105"/>
      <c r="I423" s="105"/>
      <c r="J423" s="102"/>
      <c r="K423" s="102"/>
      <c r="L423" s="102"/>
      <c r="M423" s="102"/>
      <c r="N423" s="102"/>
      <c r="O423" s="99"/>
      <c r="P423" s="99"/>
      <c r="Q423" s="15" t="e">
        <v>#N/A</v>
      </c>
      <c r="R423" s="15" t="e">
        <v>#N/A</v>
      </c>
      <c r="S423" s="15"/>
      <c r="T423" s="103"/>
      <c r="U423" s="15"/>
      <c r="V423" s="15"/>
      <c r="W423" s="100"/>
      <c r="X423" s="99"/>
      <c r="Y423" s="109">
        <f ca="1">Table24[[#This Row],[End Date]]+2-TODAY()</f>
        <v>-45530</v>
      </c>
      <c r="Z423" s="15">
        <f>IF(ISBLANK(Table24[[#This Row],[Roster Received By]]),1,0)</f>
        <v>1</v>
      </c>
      <c r="AA423" s="100">
        <f ca="1">IF(Table24[[#This Row],[Start Date]]&gt;TODAY(),1,)</f>
        <v>0</v>
      </c>
    </row>
    <row r="424" spans="1:27" s="62" customFormat="1" x14ac:dyDescent="0.25">
      <c r="B424" s="99"/>
      <c r="C424" s="100" t="e">
        <v>#N/A</v>
      </c>
      <c r="D424" s="100" t="e">
        <v>#N/A</v>
      </c>
      <c r="E424" s="65"/>
      <c r="F424" s="102"/>
      <c r="G424" s="102"/>
      <c r="H424" s="105"/>
      <c r="I424" s="105"/>
      <c r="J424" s="102"/>
      <c r="K424" s="102"/>
      <c r="L424" s="102"/>
      <c r="M424" s="102"/>
      <c r="N424" s="102"/>
      <c r="O424" s="99"/>
      <c r="P424" s="99"/>
      <c r="Q424" s="15" t="e">
        <v>#N/A</v>
      </c>
      <c r="R424" s="15" t="e">
        <v>#N/A</v>
      </c>
      <c r="S424" s="15"/>
      <c r="T424" s="103"/>
      <c r="U424" s="15"/>
      <c r="V424" s="15"/>
      <c r="W424" s="100"/>
      <c r="X424" s="99"/>
      <c r="Y424" s="109">
        <f ca="1">Table24[[#This Row],[End Date]]+2-TODAY()</f>
        <v>-45530</v>
      </c>
      <c r="Z424" s="15">
        <f>IF(ISBLANK(Table24[[#This Row],[Roster Received By]]),1,0)</f>
        <v>1</v>
      </c>
      <c r="AA424" s="100">
        <f ca="1">IF(Table24[[#This Row],[Start Date]]&gt;TODAY(),1,)</f>
        <v>0</v>
      </c>
    </row>
    <row r="425" spans="1:27" s="62" customFormat="1" x14ac:dyDescent="0.25">
      <c r="B425" s="99"/>
      <c r="C425" s="100" t="e">
        <v>#N/A</v>
      </c>
      <c r="D425" s="100" t="e">
        <v>#N/A</v>
      </c>
      <c r="E425" s="99"/>
      <c r="F425" s="102"/>
      <c r="G425" s="102"/>
      <c r="H425" s="105"/>
      <c r="I425" s="105"/>
      <c r="J425" s="102"/>
      <c r="K425" s="102"/>
      <c r="L425" s="102"/>
      <c r="M425" s="102"/>
      <c r="N425" s="102"/>
      <c r="O425" s="99"/>
      <c r="P425" s="99"/>
      <c r="Q425" s="15" t="e">
        <v>#N/A</v>
      </c>
      <c r="R425" s="15" t="e">
        <v>#N/A</v>
      </c>
      <c r="S425" s="15"/>
      <c r="T425" s="103"/>
      <c r="U425" s="15"/>
      <c r="V425" s="15"/>
      <c r="W425" s="15"/>
      <c r="X425" s="99"/>
      <c r="Y425" s="109">
        <f ca="1">Table24[[#This Row],[End Date]]+2-TODAY()</f>
        <v>-45530</v>
      </c>
      <c r="Z425" s="15">
        <f>IF(ISBLANK(Table24[[#This Row],[Roster Received By]]),1,0)</f>
        <v>1</v>
      </c>
      <c r="AA425" s="100">
        <f ca="1">IF(Table24[[#This Row],[Start Date]]&gt;TODAY(),1,)</f>
        <v>0</v>
      </c>
    </row>
    <row r="426" spans="1:27" s="62" customFormat="1" x14ac:dyDescent="0.25">
      <c r="A426" s="99"/>
      <c r="B426" s="99"/>
      <c r="C426" s="100" t="e">
        <v>#N/A</v>
      </c>
      <c r="D426" s="100" t="e">
        <v>#N/A</v>
      </c>
      <c r="E426" s="99"/>
      <c r="F426" s="102"/>
      <c r="G426" s="102"/>
      <c r="H426" s="105"/>
      <c r="I426" s="105"/>
      <c r="J426" s="102"/>
      <c r="K426" s="102"/>
      <c r="L426" s="102"/>
      <c r="M426" s="102"/>
      <c r="N426" s="102"/>
      <c r="O426" s="99"/>
      <c r="P426" s="99"/>
      <c r="Q426" s="15" t="e">
        <v>#N/A</v>
      </c>
      <c r="R426" s="15" t="e">
        <v>#N/A</v>
      </c>
      <c r="S426" s="15"/>
      <c r="T426" s="103"/>
      <c r="U426" s="15"/>
      <c r="V426" s="15"/>
      <c r="W426" s="100"/>
      <c r="X426" s="99"/>
      <c r="Y426" s="109">
        <f ca="1">Table24[[#This Row],[End Date]]+2-TODAY()</f>
        <v>-45530</v>
      </c>
      <c r="Z426" s="15">
        <f>IF(ISBLANK(Table24[[#This Row],[Roster Received By]]),1,0)</f>
        <v>1</v>
      </c>
      <c r="AA426" s="100">
        <f ca="1">IF(Table24[[#This Row],[Start Date]]&gt;TODAY(),1,)</f>
        <v>0</v>
      </c>
    </row>
    <row r="427" spans="1:27" s="62" customFormat="1" x14ac:dyDescent="0.25">
      <c r="B427" s="99"/>
      <c r="C427" s="100" t="e">
        <v>#N/A</v>
      </c>
      <c r="D427" s="100" t="e">
        <v>#N/A</v>
      </c>
      <c r="E427" s="99"/>
      <c r="F427" s="102"/>
      <c r="G427" s="102"/>
      <c r="H427" s="105"/>
      <c r="I427" s="105"/>
      <c r="J427" s="102"/>
      <c r="K427" s="102"/>
      <c r="L427" s="102"/>
      <c r="M427" s="102"/>
      <c r="N427" s="102"/>
      <c r="O427" s="99"/>
      <c r="P427" s="99"/>
      <c r="Q427" s="15" t="e">
        <v>#N/A</v>
      </c>
      <c r="R427" s="15" t="e">
        <v>#N/A</v>
      </c>
      <c r="S427" s="15"/>
      <c r="T427" s="103"/>
      <c r="U427" s="15"/>
      <c r="V427" s="15"/>
      <c r="W427" s="100"/>
      <c r="X427" s="99"/>
      <c r="Y427" s="109">
        <f ca="1">Table24[[#This Row],[End Date]]+2-TODAY()</f>
        <v>-45530</v>
      </c>
      <c r="Z427" s="15">
        <f>IF(ISBLANK(Table24[[#This Row],[Roster Received By]]),1,0)</f>
        <v>1</v>
      </c>
      <c r="AA427" s="100">
        <f ca="1">IF(Table24[[#This Row],[Start Date]]&gt;TODAY(),1,)</f>
        <v>0</v>
      </c>
    </row>
    <row r="428" spans="1:27" s="62" customFormat="1" x14ac:dyDescent="0.25">
      <c r="B428" s="99"/>
      <c r="C428" s="100" t="e">
        <v>#N/A</v>
      </c>
      <c r="D428" s="100" t="e">
        <v>#N/A</v>
      </c>
      <c r="E428" s="99"/>
      <c r="F428" s="102"/>
      <c r="G428" s="102"/>
      <c r="H428" s="105"/>
      <c r="I428" s="105"/>
      <c r="J428" s="102"/>
      <c r="K428" s="102"/>
      <c r="L428" s="102"/>
      <c r="M428" s="102"/>
      <c r="N428" s="102"/>
      <c r="O428" s="99"/>
      <c r="P428" s="99"/>
      <c r="Q428" s="15" t="e">
        <v>#N/A</v>
      </c>
      <c r="R428" s="15" t="e">
        <v>#N/A</v>
      </c>
      <c r="S428" s="103"/>
      <c r="T428" s="103"/>
      <c r="U428" s="15"/>
      <c r="V428" s="15"/>
      <c r="W428" s="15"/>
      <c r="X428" s="99"/>
      <c r="Y428" s="71">
        <f ca="1">Table24[[#This Row],[End Date]]+2-TODAY()</f>
        <v>-45530</v>
      </c>
      <c r="Z428" s="15">
        <f>IF(ISBLANK(Table24[[#This Row],[Roster Received By]]),1,0)</f>
        <v>1</v>
      </c>
      <c r="AA428" s="15">
        <f ca="1">IF(Table24[[#This Row],[Start Date]]&gt;TODAY(),1,)</f>
        <v>0</v>
      </c>
    </row>
    <row r="429" spans="1:27" s="62" customFormat="1" x14ac:dyDescent="0.25">
      <c r="B429" s="99"/>
      <c r="C429" s="100" t="e">
        <v>#N/A</v>
      </c>
      <c r="D429" s="100" t="e">
        <v>#N/A</v>
      </c>
      <c r="E429" s="65"/>
      <c r="F429" s="102"/>
      <c r="G429" s="102"/>
      <c r="H429" s="105"/>
      <c r="I429" s="105"/>
      <c r="J429" s="102"/>
      <c r="K429" s="102"/>
      <c r="L429" s="102"/>
      <c r="M429" s="102"/>
      <c r="N429" s="102"/>
      <c r="O429" s="99"/>
      <c r="P429" s="99"/>
      <c r="Q429" s="15" t="e">
        <v>#N/A</v>
      </c>
      <c r="R429" s="15" t="e">
        <v>#N/A</v>
      </c>
      <c r="S429" s="15"/>
      <c r="T429" s="103"/>
      <c r="U429" s="15"/>
      <c r="V429" s="15"/>
      <c r="W429" s="100"/>
      <c r="X429" s="99"/>
      <c r="Y429" s="109">
        <f ca="1">Table24[[#This Row],[End Date]]+2-TODAY()</f>
        <v>-45530</v>
      </c>
      <c r="Z429" s="15">
        <f>IF(ISBLANK(Table24[[#This Row],[Roster Received By]]),1,0)</f>
        <v>1</v>
      </c>
      <c r="AA429" s="100">
        <f ca="1">IF(Table24[[#This Row],[Start Date]]&gt;TODAY(),1,)</f>
        <v>0</v>
      </c>
    </row>
    <row r="430" spans="1:27" s="62" customFormat="1" x14ac:dyDescent="0.25">
      <c r="B430" s="99"/>
      <c r="C430" s="100" t="e">
        <v>#N/A</v>
      </c>
      <c r="D430" s="100" t="e">
        <v>#N/A</v>
      </c>
      <c r="E430" s="99"/>
      <c r="F430" s="102"/>
      <c r="G430" s="102"/>
      <c r="H430" s="102"/>
      <c r="I430" s="101"/>
      <c r="J430" s="101"/>
      <c r="K430" s="101"/>
      <c r="L430" s="101"/>
      <c r="M430" s="101"/>
      <c r="N430" s="101"/>
      <c r="O430" s="99"/>
      <c r="P430" s="99"/>
      <c r="Q430" s="15" t="e">
        <v>#N/A</v>
      </c>
      <c r="R430" s="15" t="e">
        <v>#N/A</v>
      </c>
      <c r="S430" s="15"/>
      <c r="T430" s="103"/>
      <c r="U430" s="15"/>
      <c r="V430" s="15"/>
      <c r="W430" s="100"/>
      <c r="X430" s="99"/>
      <c r="Y430" s="109">
        <f ca="1">Table24[[#This Row],[End Date]]+2-TODAY()</f>
        <v>-45530</v>
      </c>
      <c r="Z430" s="15">
        <f>IF(ISBLANK(Table24[[#This Row],[Roster Received By]]),1,0)</f>
        <v>1</v>
      </c>
      <c r="AA430" s="100">
        <f ca="1">IF(Table24[[#This Row],[Start Date]]&gt;TODAY(),1,)</f>
        <v>0</v>
      </c>
    </row>
    <row r="431" spans="1:27" s="62" customFormat="1" x14ac:dyDescent="0.25">
      <c r="A431" s="99"/>
      <c r="B431" s="99"/>
      <c r="C431" s="100" t="e">
        <v>#N/A</v>
      </c>
      <c r="D431" s="100" t="e">
        <v>#N/A</v>
      </c>
      <c r="E431" s="99"/>
      <c r="F431" s="102"/>
      <c r="G431" s="102"/>
      <c r="H431" s="105"/>
      <c r="I431" s="105"/>
      <c r="J431" s="102"/>
      <c r="K431" s="102"/>
      <c r="L431" s="102"/>
      <c r="M431" s="102"/>
      <c r="N431" s="102"/>
      <c r="O431" s="99"/>
      <c r="P431" s="99"/>
      <c r="Q431" s="15" t="e">
        <v>#N/A</v>
      </c>
      <c r="R431" s="15" t="e">
        <v>#N/A</v>
      </c>
      <c r="S431" s="15"/>
      <c r="T431" s="103"/>
      <c r="U431" s="15"/>
      <c r="V431" s="15"/>
      <c r="W431" s="100"/>
      <c r="X431" s="99"/>
      <c r="Y431" s="109">
        <f ca="1">Table24[[#This Row],[End Date]]+2-TODAY()</f>
        <v>-45530</v>
      </c>
      <c r="Z431" s="15">
        <f>IF(ISBLANK(Table24[[#This Row],[Roster Received By]]),1,0)</f>
        <v>1</v>
      </c>
      <c r="AA431" s="100">
        <f ca="1">IF(Table24[[#This Row],[Start Date]]&gt;TODAY(),1,)</f>
        <v>0</v>
      </c>
    </row>
    <row r="432" spans="1:27" s="62" customFormat="1" x14ac:dyDescent="0.25">
      <c r="A432" s="99"/>
      <c r="B432" s="99"/>
      <c r="C432" s="100" t="e">
        <v>#N/A</v>
      </c>
      <c r="D432" s="100" t="e">
        <v>#N/A</v>
      </c>
      <c r="E432" s="65"/>
      <c r="F432" s="102"/>
      <c r="G432" s="102"/>
      <c r="H432" s="105"/>
      <c r="I432" s="105"/>
      <c r="J432" s="102"/>
      <c r="K432" s="102"/>
      <c r="L432" s="102"/>
      <c r="M432" s="102"/>
      <c r="N432" s="102"/>
      <c r="O432" s="99"/>
      <c r="P432" s="99"/>
      <c r="Q432" s="15" t="e">
        <v>#N/A</v>
      </c>
      <c r="R432" s="15" t="e">
        <v>#N/A</v>
      </c>
      <c r="S432" s="15"/>
      <c r="T432" s="103"/>
      <c r="U432" s="15"/>
      <c r="V432" s="15"/>
      <c r="W432" s="100"/>
      <c r="X432" s="99"/>
      <c r="Y432" s="109">
        <f ca="1">Table24[[#This Row],[End Date]]+2-TODAY()</f>
        <v>-45530</v>
      </c>
      <c r="Z432" s="15">
        <f>IF(ISBLANK(Table24[[#This Row],[Roster Received By]]),1,0)</f>
        <v>1</v>
      </c>
      <c r="AA432" s="100">
        <f ca="1">IF(Table24[[#This Row],[Start Date]]&gt;TODAY(),1,)</f>
        <v>0</v>
      </c>
    </row>
    <row r="433" spans="1:27" s="62" customFormat="1" x14ac:dyDescent="0.25">
      <c r="B433" s="99"/>
      <c r="C433" s="100" t="e">
        <v>#N/A</v>
      </c>
      <c r="D433" s="100" t="e">
        <v>#N/A</v>
      </c>
      <c r="E433" s="99"/>
      <c r="F433" s="102"/>
      <c r="G433" s="102"/>
      <c r="H433" s="102"/>
      <c r="I433" s="101"/>
      <c r="J433" s="101"/>
      <c r="K433" s="101"/>
      <c r="L433" s="101"/>
      <c r="M433" s="101"/>
      <c r="N433" s="101"/>
      <c r="O433" s="99"/>
      <c r="P433" s="99"/>
      <c r="Q433" s="15" t="e">
        <v>#N/A</v>
      </c>
      <c r="R433" s="15" t="e">
        <v>#N/A</v>
      </c>
      <c r="S433" s="15"/>
      <c r="T433" s="103"/>
      <c r="U433" s="15"/>
      <c r="V433" s="15"/>
      <c r="W433" s="100"/>
      <c r="X433" s="99"/>
      <c r="Y433" s="109">
        <f ca="1">Table24[[#This Row],[End Date]]+2-TODAY()</f>
        <v>-45530</v>
      </c>
      <c r="Z433" s="15">
        <f>IF(ISBLANK(Table24[[#This Row],[Roster Received By]]),1,0)</f>
        <v>1</v>
      </c>
      <c r="AA433" s="100">
        <f ca="1">IF(Table24[[#This Row],[Start Date]]&gt;TODAY(),1,)</f>
        <v>0</v>
      </c>
    </row>
    <row r="434" spans="1:27" s="62" customFormat="1" x14ac:dyDescent="0.25">
      <c r="B434" s="99"/>
      <c r="C434" s="100" t="e">
        <v>#N/A</v>
      </c>
      <c r="D434" s="100" t="e">
        <v>#N/A</v>
      </c>
      <c r="E434" s="65"/>
      <c r="F434" s="102"/>
      <c r="G434" s="102"/>
      <c r="H434" s="105"/>
      <c r="I434" s="105"/>
      <c r="J434" s="102"/>
      <c r="K434" s="102"/>
      <c r="L434" s="102"/>
      <c r="M434" s="102"/>
      <c r="N434" s="102"/>
      <c r="O434" s="99"/>
      <c r="P434" s="99"/>
      <c r="Q434" s="15" t="e">
        <v>#N/A</v>
      </c>
      <c r="R434" s="15" t="e">
        <v>#N/A</v>
      </c>
      <c r="S434" s="15"/>
      <c r="T434" s="103"/>
      <c r="U434" s="15"/>
      <c r="V434" s="15"/>
      <c r="W434" s="100"/>
      <c r="X434" s="99"/>
      <c r="Y434" s="109">
        <f ca="1">Table24[[#This Row],[End Date]]+2-TODAY()</f>
        <v>-45530</v>
      </c>
      <c r="Z434" s="15">
        <f>IF(ISBLANK(Table24[[#This Row],[Roster Received By]]),1,0)</f>
        <v>1</v>
      </c>
      <c r="AA434" s="100">
        <f ca="1">IF(Table24[[#This Row],[Start Date]]&gt;TODAY(),1,)</f>
        <v>0</v>
      </c>
    </row>
    <row r="435" spans="1:27" s="62" customFormat="1" x14ac:dyDescent="0.25">
      <c r="B435" s="99"/>
      <c r="C435" s="100" t="e">
        <v>#N/A</v>
      </c>
      <c r="D435" s="100" t="e">
        <v>#N/A</v>
      </c>
      <c r="E435" s="65"/>
      <c r="F435" s="102"/>
      <c r="G435" s="102"/>
      <c r="H435" s="105"/>
      <c r="I435" s="105"/>
      <c r="J435" s="102"/>
      <c r="K435" s="102"/>
      <c r="L435" s="102"/>
      <c r="M435" s="102"/>
      <c r="N435" s="102"/>
      <c r="O435" s="99"/>
      <c r="P435" s="99"/>
      <c r="Q435" s="15" t="e">
        <v>#N/A</v>
      </c>
      <c r="R435" s="15" t="e">
        <v>#N/A</v>
      </c>
      <c r="S435" s="15"/>
      <c r="T435" s="103"/>
      <c r="U435" s="15"/>
      <c r="V435" s="15"/>
      <c r="W435" s="15"/>
      <c r="X435" s="99"/>
      <c r="Y435" s="71">
        <f ca="1">Table24[[#This Row],[End Date]]+2-TODAY()</f>
        <v>-45530</v>
      </c>
      <c r="Z435" s="15">
        <f>IF(ISBLANK(Table24[[#This Row],[Roster Received By]]),1,0)</f>
        <v>1</v>
      </c>
      <c r="AA435" s="15">
        <f ca="1">IF(Table24[[#This Row],[Start Date]]&gt;TODAY(),1,)</f>
        <v>0</v>
      </c>
    </row>
    <row r="436" spans="1:27" s="62" customFormat="1" x14ac:dyDescent="0.25">
      <c r="B436" s="99"/>
      <c r="C436" s="100" t="e">
        <v>#N/A</v>
      </c>
      <c r="D436" s="100" t="e">
        <v>#N/A</v>
      </c>
      <c r="E436" s="99"/>
      <c r="F436" s="102"/>
      <c r="G436" s="102"/>
      <c r="H436" s="105"/>
      <c r="I436" s="105"/>
      <c r="J436" s="102"/>
      <c r="K436" s="102"/>
      <c r="L436" s="102"/>
      <c r="M436" s="102"/>
      <c r="N436" s="102"/>
      <c r="O436" s="99"/>
      <c r="P436" s="99"/>
      <c r="Q436" s="15" t="e">
        <v>#N/A</v>
      </c>
      <c r="R436" s="15" t="e">
        <v>#N/A</v>
      </c>
      <c r="S436" s="15"/>
      <c r="T436" s="103"/>
      <c r="U436" s="15"/>
      <c r="V436" s="15"/>
      <c r="W436" s="15"/>
      <c r="X436" s="99"/>
      <c r="Y436" s="71">
        <f ca="1">Table24[[#This Row],[End Date]]+2-TODAY()</f>
        <v>-45530</v>
      </c>
      <c r="Z436" s="15">
        <f>IF(ISBLANK(Table24[[#This Row],[Roster Received By]]),1,0)</f>
        <v>1</v>
      </c>
      <c r="AA436" s="15">
        <f ca="1">IF(Table24[[#This Row],[Start Date]]&gt;TODAY(),1,)</f>
        <v>0</v>
      </c>
    </row>
    <row r="437" spans="1:27" s="62" customFormat="1" x14ac:dyDescent="0.25">
      <c r="B437" s="99"/>
      <c r="C437" s="100" t="e">
        <v>#N/A</v>
      </c>
      <c r="D437" s="100" t="e">
        <v>#N/A</v>
      </c>
      <c r="E437" s="99"/>
      <c r="F437" s="102"/>
      <c r="G437" s="102"/>
      <c r="H437" s="105"/>
      <c r="I437" s="105"/>
      <c r="J437" s="102"/>
      <c r="K437" s="102"/>
      <c r="L437" s="102"/>
      <c r="M437" s="102"/>
      <c r="N437" s="102"/>
      <c r="O437" s="99"/>
      <c r="P437" s="99"/>
      <c r="Q437" s="15" t="e">
        <v>#N/A</v>
      </c>
      <c r="R437" s="15" t="e">
        <v>#N/A</v>
      </c>
      <c r="S437" s="103"/>
      <c r="T437" s="103"/>
      <c r="U437" s="15"/>
      <c r="V437" s="15"/>
      <c r="W437" s="100"/>
      <c r="X437" s="99"/>
      <c r="Y437" s="109">
        <f ca="1">Table24[[#This Row],[End Date]]+2-TODAY()</f>
        <v>-45530</v>
      </c>
      <c r="Z437" s="15">
        <f>IF(ISBLANK(Table24[[#This Row],[Roster Received By]]),1,0)</f>
        <v>1</v>
      </c>
      <c r="AA437" s="100">
        <f ca="1">IF(Table24[[#This Row],[Start Date]]&gt;TODAY(),1,)</f>
        <v>0</v>
      </c>
    </row>
    <row r="438" spans="1:27" s="62" customFormat="1" x14ac:dyDescent="0.25">
      <c r="B438" s="116"/>
      <c r="C438" s="100" t="e">
        <v>#N/A</v>
      </c>
      <c r="D438" s="100" t="e">
        <v>#N/A</v>
      </c>
      <c r="E438" s="99"/>
      <c r="F438" s="67"/>
      <c r="G438" s="102"/>
      <c r="H438" s="102"/>
      <c r="I438" s="101"/>
      <c r="J438" s="101"/>
      <c r="K438" s="101"/>
      <c r="L438" s="101"/>
      <c r="M438" s="101"/>
      <c r="N438" s="101"/>
      <c r="O438" s="99"/>
      <c r="P438" s="99"/>
      <c r="Q438" s="15" t="e">
        <v>#N/A</v>
      </c>
      <c r="R438" s="15" t="e">
        <v>#N/A</v>
      </c>
      <c r="S438" s="15"/>
      <c r="T438" s="103"/>
      <c r="U438" s="15"/>
      <c r="V438" s="15"/>
      <c r="W438" s="100"/>
      <c r="X438" s="99"/>
      <c r="Y438" s="109">
        <f ca="1">Table24[[#This Row],[End Date]]+2-TODAY()</f>
        <v>-45530</v>
      </c>
      <c r="Z438" s="15">
        <f>IF(ISBLANK(Table24[[#This Row],[Roster Received By]]),1,0)</f>
        <v>1</v>
      </c>
      <c r="AA438" s="100">
        <f ca="1">IF(Table24[[#This Row],[Start Date]]&gt;TODAY(),1,)</f>
        <v>0</v>
      </c>
    </row>
    <row r="439" spans="1:27" s="62" customFormat="1" x14ac:dyDescent="0.25">
      <c r="A439" s="99"/>
      <c r="B439" s="116"/>
      <c r="C439" s="100" t="e">
        <v>#N/A</v>
      </c>
      <c r="D439" s="100" t="e">
        <v>#N/A</v>
      </c>
      <c r="E439" s="99"/>
      <c r="F439" s="102"/>
      <c r="G439" s="102"/>
      <c r="H439" s="105"/>
      <c r="I439" s="105"/>
      <c r="J439" s="102"/>
      <c r="K439" s="102"/>
      <c r="L439" s="102"/>
      <c r="M439" s="102"/>
      <c r="N439" s="102"/>
      <c r="O439" s="99"/>
      <c r="P439" s="99"/>
      <c r="Q439" s="15" t="e">
        <v>#N/A</v>
      </c>
      <c r="R439" s="15" t="e">
        <v>#N/A</v>
      </c>
      <c r="S439" s="15"/>
      <c r="T439" s="103"/>
      <c r="U439" s="15"/>
      <c r="V439" s="15"/>
      <c r="W439" s="100"/>
      <c r="X439" s="99"/>
      <c r="Y439" s="109">
        <f ca="1">Table24[[#This Row],[End Date]]+2-TODAY()</f>
        <v>-45530</v>
      </c>
      <c r="Z439" s="15">
        <f>IF(ISBLANK(Table24[[#This Row],[Roster Received By]]),1,0)</f>
        <v>1</v>
      </c>
      <c r="AA439" s="100">
        <f ca="1">IF(Table24[[#This Row],[Start Date]]&gt;TODAY(),1,)</f>
        <v>0</v>
      </c>
    </row>
    <row r="440" spans="1:27" s="62" customFormat="1" x14ac:dyDescent="0.25">
      <c r="B440" s="116"/>
      <c r="C440" s="100" t="e">
        <v>#N/A</v>
      </c>
      <c r="D440" s="100" t="e">
        <v>#N/A</v>
      </c>
      <c r="E440" s="99"/>
      <c r="F440" s="102"/>
      <c r="G440" s="102"/>
      <c r="H440" s="105"/>
      <c r="I440" s="105"/>
      <c r="J440" s="102"/>
      <c r="K440" s="102"/>
      <c r="L440" s="102"/>
      <c r="M440" s="102"/>
      <c r="N440" s="102"/>
      <c r="O440" s="99"/>
      <c r="P440" s="99"/>
      <c r="Q440" s="15" t="e">
        <v>#N/A</v>
      </c>
      <c r="R440" s="15" t="e">
        <v>#N/A</v>
      </c>
      <c r="S440" s="103"/>
      <c r="T440" s="103"/>
      <c r="U440" s="15"/>
      <c r="V440" s="15"/>
      <c r="W440" s="100"/>
      <c r="X440" s="99"/>
      <c r="Y440" s="109">
        <f ca="1">Table24[[#This Row],[End Date]]+2-TODAY()</f>
        <v>-45530</v>
      </c>
      <c r="Z440" s="15">
        <f>IF(ISBLANK(Table24[[#This Row],[Roster Received By]]),1,0)</f>
        <v>1</v>
      </c>
      <c r="AA440" s="100">
        <f ca="1">IF(Table24[[#This Row],[Start Date]]&gt;TODAY(),1,)</f>
        <v>0</v>
      </c>
    </row>
    <row r="441" spans="1:27" s="62" customFormat="1" x14ac:dyDescent="0.25">
      <c r="B441" s="99"/>
      <c r="C441" s="100" t="e">
        <v>#N/A</v>
      </c>
      <c r="D441" s="100" t="e">
        <v>#N/A</v>
      </c>
      <c r="E441" s="99"/>
      <c r="F441" s="102"/>
      <c r="G441" s="102"/>
      <c r="H441" s="102"/>
      <c r="I441" s="101"/>
      <c r="J441" s="101"/>
      <c r="K441" s="101"/>
      <c r="L441" s="101"/>
      <c r="M441" s="101"/>
      <c r="N441" s="101"/>
      <c r="O441" s="99"/>
      <c r="P441" s="99"/>
      <c r="Q441" s="15" t="e">
        <v>#N/A</v>
      </c>
      <c r="R441" s="15" t="e">
        <v>#N/A</v>
      </c>
      <c r="S441" s="15"/>
      <c r="T441" s="103"/>
      <c r="U441" s="15"/>
      <c r="V441" s="15"/>
      <c r="W441" s="100"/>
      <c r="X441" s="99"/>
      <c r="Y441" s="109">
        <f ca="1">Table24[[#This Row],[End Date]]+2-TODAY()</f>
        <v>-45530</v>
      </c>
      <c r="Z441" s="15">
        <f>IF(ISBLANK(Table24[[#This Row],[Roster Received By]]),1,0)</f>
        <v>1</v>
      </c>
      <c r="AA441" s="100">
        <f ca="1">IF(Table24[[#This Row],[Start Date]]&gt;TODAY(),1,)</f>
        <v>0</v>
      </c>
    </row>
    <row r="442" spans="1:27" s="62" customFormat="1" x14ac:dyDescent="0.25">
      <c r="B442" s="116"/>
      <c r="C442" s="100" t="e">
        <v>#N/A</v>
      </c>
      <c r="D442" s="100" t="e">
        <v>#N/A</v>
      </c>
      <c r="E442" s="99"/>
      <c r="F442" s="102"/>
      <c r="G442" s="102"/>
      <c r="H442" s="102"/>
      <c r="I442" s="101"/>
      <c r="J442" s="101"/>
      <c r="K442" s="101"/>
      <c r="L442" s="101"/>
      <c r="M442" s="101"/>
      <c r="N442" s="101"/>
      <c r="O442" s="99"/>
      <c r="P442" s="99"/>
      <c r="Q442" s="15" t="e">
        <v>#N/A</v>
      </c>
      <c r="R442" s="15" t="e">
        <v>#N/A</v>
      </c>
      <c r="S442" s="15"/>
      <c r="T442" s="103"/>
      <c r="U442" s="15"/>
      <c r="V442" s="15"/>
      <c r="W442" s="100"/>
      <c r="X442" s="99"/>
      <c r="Y442" s="109">
        <f ca="1">Table24[[#This Row],[End Date]]+2-TODAY()</f>
        <v>-45530</v>
      </c>
      <c r="Z442" s="15">
        <f>IF(ISBLANK(Table24[[#This Row],[Roster Received By]]),1,0)</f>
        <v>1</v>
      </c>
      <c r="AA442" s="100">
        <f ca="1">IF(Table24[[#This Row],[Start Date]]&gt;TODAY(),1,)</f>
        <v>0</v>
      </c>
    </row>
    <row r="443" spans="1:27" s="62" customFormat="1" x14ac:dyDescent="0.25">
      <c r="B443" s="99"/>
      <c r="C443" s="100" t="e">
        <v>#N/A</v>
      </c>
      <c r="D443" s="100" t="e">
        <v>#N/A</v>
      </c>
      <c r="E443" s="99"/>
      <c r="F443" s="102"/>
      <c r="G443" s="102"/>
      <c r="H443" s="105"/>
      <c r="I443" s="105"/>
      <c r="J443" s="102"/>
      <c r="K443" s="102"/>
      <c r="L443" s="102"/>
      <c r="M443" s="102"/>
      <c r="N443" s="102"/>
      <c r="O443" s="99"/>
      <c r="P443" s="99"/>
      <c r="Q443" s="15" t="e">
        <v>#N/A</v>
      </c>
      <c r="R443" s="15" t="e">
        <v>#N/A</v>
      </c>
      <c r="S443" s="15"/>
      <c r="T443" s="103"/>
      <c r="U443" s="15"/>
      <c r="V443" s="15"/>
      <c r="W443" s="15"/>
      <c r="X443" s="99"/>
      <c r="Y443" s="71">
        <f ca="1">Table24[[#This Row],[End Date]]+2-TODAY()</f>
        <v>-45530</v>
      </c>
      <c r="Z443" s="15">
        <f>IF(ISBLANK(Table24[[#This Row],[Roster Received By]]),1,0)</f>
        <v>1</v>
      </c>
      <c r="AA443" s="15">
        <f ca="1">IF(Table24[[#This Row],[Start Date]]&gt;TODAY(),1,)</f>
        <v>0</v>
      </c>
    </row>
    <row r="444" spans="1:27" s="62" customFormat="1" x14ac:dyDescent="0.25">
      <c r="A444" s="99"/>
      <c r="B444" s="116"/>
      <c r="C444" s="100" t="e">
        <v>#N/A</v>
      </c>
      <c r="D444" s="100" t="e">
        <v>#N/A</v>
      </c>
      <c r="E444" s="99"/>
      <c r="F444" s="67"/>
      <c r="G444" s="67"/>
      <c r="H444" s="67"/>
      <c r="I444" s="101"/>
      <c r="J444" s="101"/>
      <c r="K444" s="101"/>
      <c r="L444" s="101"/>
      <c r="M444" s="101"/>
      <c r="N444" s="101"/>
      <c r="O444" s="99"/>
      <c r="P444" s="99"/>
      <c r="Q444" s="15" t="e">
        <v>#N/A</v>
      </c>
      <c r="R444" s="15" t="e">
        <v>#N/A</v>
      </c>
      <c r="S444" s="15"/>
      <c r="T444" s="103"/>
      <c r="U444" s="15"/>
      <c r="V444" s="15"/>
      <c r="W444" s="100"/>
      <c r="X444" s="99"/>
      <c r="Y444" s="109">
        <f ca="1">Table24[[#This Row],[End Date]]+2-TODAY()</f>
        <v>-45530</v>
      </c>
      <c r="Z444" s="15">
        <f>IF(ISBLANK(Table24[[#This Row],[Roster Received By]]),1,0)</f>
        <v>1</v>
      </c>
      <c r="AA444" s="100">
        <f ca="1">IF(Table24[[#This Row],[Start Date]]&gt;TODAY(),1,)</f>
        <v>0</v>
      </c>
    </row>
    <row r="445" spans="1:27" s="62" customFormat="1" x14ac:dyDescent="0.25">
      <c r="B445" s="99"/>
      <c r="C445" s="100" t="e">
        <v>#N/A</v>
      </c>
      <c r="D445" s="100" t="e">
        <v>#N/A</v>
      </c>
      <c r="E445" s="99"/>
      <c r="F445" s="102"/>
      <c r="G445" s="102"/>
      <c r="H445" s="102"/>
      <c r="I445" s="101"/>
      <c r="J445" s="101"/>
      <c r="K445" s="101"/>
      <c r="L445" s="101"/>
      <c r="M445" s="101"/>
      <c r="N445" s="101"/>
      <c r="O445" s="99"/>
      <c r="P445" s="99"/>
      <c r="Q445" s="15" t="e">
        <v>#N/A</v>
      </c>
      <c r="R445" s="15" t="e">
        <v>#N/A</v>
      </c>
      <c r="S445" s="15"/>
      <c r="T445" s="103"/>
      <c r="U445" s="15"/>
      <c r="V445" s="15"/>
      <c r="W445" s="100"/>
      <c r="X445" s="99"/>
      <c r="Y445" s="109">
        <f ca="1">Table24[[#This Row],[End Date]]+2-TODAY()</f>
        <v>-45530</v>
      </c>
      <c r="Z445" s="15">
        <f>IF(ISBLANK(Table24[[#This Row],[Roster Received By]]),1,0)</f>
        <v>1</v>
      </c>
      <c r="AA445" s="100">
        <f ca="1">IF(Table24[[#This Row],[Start Date]]&gt;TODAY(),1,)</f>
        <v>0</v>
      </c>
    </row>
    <row r="446" spans="1:27" s="62" customFormat="1" x14ac:dyDescent="0.25">
      <c r="B446" s="99"/>
      <c r="C446" s="100" t="e">
        <v>#N/A</v>
      </c>
      <c r="D446" s="100" t="e">
        <v>#N/A</v>
      </c>
      <c r="E446" s="99"/>
      <c r="F446" s="102"/>
      <c r="G446" s="102"/>
      <c r="H446" s="102"/>
      <c r="I446" s="101"/>
      <c r="J446" s="101"/>
      <c r="K446" s="101"/>
      <c r="L446" s="101"/>
      <c r="M446" s="101"/>
      <c r="N446" s="101"/>
      <c r="O446" s="99"/>
      <c r="P446" s="99"/>
      <c r="Q446" s="15" t="e">
        <v>#N/A</v>
      </c>
      <c r="R446" s="15" t="e">
        <v>#N/A</v>
      </c>
      <c r="S446" s="15"/>
      <c r="T446" s="103"/>
      <c r="U446" s="15"/>
      <c r="V446" s="15"/>
      <c r="W446" s="100"/>
      <c r="X446" s="99"/>
      <c r="Y446" s="109">
        <f ca="1">Table24[[#This Row],[End Date]]+2-TODAY()</f>
        <v>-45530</v>
      </c>
      <c r="Z446" s="15">
        <f>IF(ISBLANK(Table24[[#This Row],[Roster Received By]]),1,0)</f>
        <v>1</v>
      </c>
      <c r="AA446" s="100">
        <f ca="1">IF(Table24[[#This Row],[Start Date]]&gt;TODAY(),1,)</f>
        <v>0</v>
      </c>
    </row>
    <row r="447" spans="1:27" s="62" customFormat="1" x14ac:dyDescent="0.25">
      <c r="B447" s="99"/>
      <c r="C447" s="100" t="e">
        <v>#N/A</v>
      </c>
      <c r="D447" s="100" t="e">
        <v>#N/A</v>
      </c>
      <c r="E447" s="99"/>
      <c r="F447" s="102"/>
      <c r="G447" s="102"/>
      <c r="H447" s="102"/>
      <c r="I447" s="101"/>
      <c r="J447" s="101"/>
      <c r="K447" s="101"/>
      <c r="L447" s="101"/>
      <c r="M447" s="101"/>
      <c r="N447" s="101"/>
      <c r="O447" s="99"/>
      <c r="P447" s="99"/>
      <c r="Q447" s="15" t="e">
        <v>#N/A</v>
      </c>
      <c r="R447" s="15" t="e">
        <v>#N/A</v>
      </c>
      <c r="S447" s="15"/>
      <c r="T447" s="103"/>
      <c r="U447" s="15"/>
      <c r="V447" s="15"/>
      <c r="W447" s="100"/>
      <c r="X447" s="99"/>
      <c r="Y447" s="109">
        <f ca="1">Table24[[#This Row],[End Date]]+2-TODAY()</f>
        <v>-45530</v>
      </c>
      <c r="Z447" s="15">
        <f>IF(ISBLANK(Table24[[#This Row],[Roster Received By]]),1,0)</f>
        <v>1</v>
      </c>
      <c r="AA447" s="100">
        <f ca="1">IF(Table24[[#This Row],[Start Date]]&gt;TODAY(),1,)</f>
        <v>0</v>
      </c>
    </row>
    <row r="448" spans="1:27" s="62" customFormat="1" x14ac:dyDescent="0.25">
      <c r="A448" s="142"/>
      <c r="B448" s="99"/>
      <c r="C448" s="100" t="e">
        <v>#N/A</v>
      </c>
      <c r="D448" s="100" t="e">
        <v>#N/A</v>
      </c>
      <c r="E448" s="99"/>
      <c r="F448" s="102"/>
      <c r="G448" s="102"/>
      <c r="H448" s="105"/>
      <c r="I448" s="105"/>
      <c r="J448" s="102"/>
      <c r="K448" s="102"/>
      <c r="L448" s="102"/>
      <c r="M448" s="102"/>
      <c r="N448" s="102"/>
      <c r="O448" s="99"/>
      <c r="P448" s="99"/>
      <c r="Q448" s="15" t="e">
        <v>#N/A</v>
      </c>
      <c r="R448" s="15" t="e">
        <v>#N/A</v>
      </c>
      <c r="S448" s="103"/>
      <c r="T448" s="103"/>
      <c r="U448" s="15"/>
      <c r="V448" s="15"/>
      <c r="W448" s="100"/>
      <c r="X448" s="99"/>
      <c r="Y448" s="109">
        <f ca="1">Table24[[#This Row],[End Date]]+2-TODAY()</f>
        <v>-45530</v>
      </c>
      <c r="Z448" s="15">
        <f>IF(ISBLANK(Table24[[#This Row],[Roster Received By]]),1,0)</f>
        <v>1</v>
      </c>
      <c r="AA448" s="100">
        <f ca="1">IF(Table24[[#This Row],[Start Date]]&gt;TODAY(),1,)</f>
        <v>0</v>
      </c>
    </row>
    <row r="449" spans="1:27" s="62" customFormat="1" x14ac:dyDescent="0.25">
      <c r="B449" s="99"/>
      <c r="C449" s="100" t="e">
        <v>#N/A</v>
      </c>
      <c r="D449" s="100" t="e">
        <v>#N/A</v>
      </c>
      <c r="E449" s="99"/>
      <c r="F449" s="102"/>
      <c r="G449" s="102"/>
      <c r="H449" s="102"/>
      <c r="I449" s="101"/>
      <c r="J449" s="101"/>
      <c r="K449" s="101"/>
      <c r="L449" s="101"/>
      <c r="M449" s="101"/>
      <c r="N449" s="101"/>
      <c r="O449" s="99"/>
      <c r="P449" s="99"/>
      <c r="Q449" s="15" t="e">
        <v>#N/A</v>
      </c>
      <c r="R449" s="15" t="e">
        <v>#N/A</v>
      </c>
      <c r="S449" s="15"/>
      <c r="T449" s="103"/>
      <c r="U449" s="15"/>
      <c r="V449" s="15"/>
      <c r="W449" s="100"/>
      <c r="X449" s="99"/>
      <c r="Y449" s="109">
        <f ca="1">Table24[[#This Row],[End Date]]+2-TODAY()</f>
        <v>-45530</v>
      </c>
      <c r="Z449" s="15">
        <f>IF(ISBLANK(Table24[[#This Row],[Roster Received By]]),1,0)</f>
        <v>1</v>
      </c>
      <c r="AA449" s="100">
        <f ca="1">IF(Table24[[#This Row],[Start Date]]&gt;TODAY(),1,)</f>
        <v>0</v>
      </c>
    </row>
    <row r="450" spans="1:27" s="62" customFormat="1" x14ac:dyDescent="0.25">
      <c r="A450" s="99"/>
      <c r="B450" s="99"/>
      <c r="C450" s="100" t="e">
        <v>#N/A</v>
      </c>
      <c r="D450" s="100" t="e">
        <v>#N/A</v>
      </c>
      <c r="E450" s="99"/>
      <c r="F450" s="102"/>
      <c r="G450" s="102"/>
      <c r="H450" s="102"/>
      <c r="I450" s="101"/>
      <c r="J450" s="101"/>
      <c r="K450" s="101"/>
      <c r="L450" s="101"/>
      <c r="M450" s="101"/>
      <c r="N450" s="101"/>
      <c r="O450" s="99"/>
      <c r="P450" s="99"/>
      <c r="Q450" s="15" t="e">
        <v>#N/A</v>
      </c>
      <c r="R450" s="15" t="e">
        <v>#N/A</v>
      </c>
      <c r="S450" s="15"/>
      <c r="T450" s="103"/>
      <c r="U450" s="15"/>
      <c r="V450" s="15"/>
      <c r="W450" s="100"/>
      <c r="X450" s="99"/>
      <c r="Y450" s="109">
        <f ca="1">Table24[[#This Row],[End Date]]+2-TODAY()</f>
        <v>-45530</v>
      </c>
      <c r="Z450" s="15">
        <f>IF(ISBLANK(Table24[[#This Row],[Roster Received By]]),1,0)</f>
        <v>1</v>
      </c>
      <c r="AA450" s="100">
        <f ca="1">IF(Table24[[#This Row],[Start Date]]&gt;TODAY(),1,)</f>
        <v>0</v>
      </c>
    </row>
    <row r="451" spans="1:27" s="62" customFormat="1" x14ac:dyDescent="0.25">
      <c r="B451" s="99"/>
      <c r="C451" s="100" t="e">
        <v>#N/A</v>
      </c>
      <c r="D451" s="100" t="e">
        <v>#N/A</v>
      </c>
      <c r="E451" s="99"/>
      <c r="F451" s="102"/>
      <c r="G451" s="102"/>
      <c r="H451" s="105"/>
      <c r="I451" s="105"/>
      <c r="J451" s="102"/>
      <c r="K451" s="102"/>
      <c r="L451" s="102"/>
      <c r="M451" s="102"/>
      <c r="N451" s="102"/>
      <c r="O451" s="99"/>
      <c r="P451" s="99"/>
      <c r="Q451" s="15" t="e">
        <v>#N/A</v>
      </c>
      <c r="R451" s="15" t="e">
        <v>#N/A</v>
      </c>
      <c r="S451" s="103"/>
      <c r="T451" s="103"/>
      <c r="U451" s="15"/>
      <c r="V451" s="15"/>
      <c r="W451" s="100"/>
      <c r="X451" s="99"/>
      <c r="Y451" s="109">
        <f ca="1">Table24[[#This Row],[End Date]]+2-TODAY()</f>
        <v>-45530</v>
      </c>
      <c r="Z451" s="15">
        <f>IF(ISBLANK(Table24[[#This Row],[Roster Received By]]),1,0)</f>
        <v>1</v>
      </c>
      <c r="AA451" s="100">
        <f ca="1">IF(Table24[[#This Row],[Start Date]]&gt;TODAY(),1,)</f>
        <v>0</v>
      </c>
    </row>
    <row r="452" spans="1:27" s="62" customFormat="1" x14ac:dyDescent="0.25">
      <c r="B452" s="99"/>
      <c r="C452" s="100" t="e">
        <v>#N/A</v>
      </c>
      <c r="D452" s="100" t="e">
        <v>#N/A</v>
      </c>
      <c r="E452" s="99"/>
      <c r="F452" s="102"/>
      <c r="G452" s="102"/>
      <c r="H452" s="105"/>
      <c r="I452" s="105"/>
      <c r="J452" s="102"/>
      <c r="K452" s="102"/>
      <c r="L452" s="102"/>
      <c r="M452" s="102"/>
      <c r="N452" s="102"/>
      <c r="O452" s="99"/>
      <c r="P452" s="99"/>
      <c r="Q452" s="15" t="e">
        <v>#N/A</v>
      </c>
      <c r="R452" s="15" t="e">
        <v>#N/A</v>
      </c>
      <c r="S452" s="15"/>
      <c r="T452" s="103"/>
      <c r="U452" s="15"/>
      <c r="V452" s="15"/>
      <c r="W452" s="100"/>
      <c r="X452" s="99"/>
      <c r="Y452" s="109">
        <f ca="1">Table24[[#This Row],[End Date]]+2-TODAY()</f>
        <v>-45530</v>
      </c>
      <c r="Z452" s="15">
        <f>IF(ISBLANK(Table24[[#This Row],[Roster Received By]]),1,0)</f>
        <v>1</v>
      </c>
      <c r="AA452" s="100">
        <f ca="1">IF(Table24[[#This Row],[Start Date]]&gt;TODAY(),1,)</f>
        <v>0</v>
      </c>
    </row>
    <row r="453" spans="1:27" s="62" customFormat="1" x14ac:dyDescent="0.25">
      <c r="B453" s="99"/>
      <c r="C453" s="100" t="e">
        <v>#N/A</v>
      </c>
      <c r="D453" s="100" t="e">
        <v>#N/A</v>
      </c>
      <c r="E453" s="99"/>
      <c r="F453" s="102"/>
      <c r="G453" s="102"/>
      <c r="H453" s="105"/>
      <c r="I453" s="105"/>
      <c r="J453" s="102"/>
      <c r="K453" s="102"/>
      <c r="L453" s="102"/>
      <c r="M453" s="102"/>
      <c r="N453" s="102"/>
      <c r="O453" s="99"/>
      <c r="P453" s="99"/>
      <c r="Q453" s="15" t="e">
        <v>#N/A</v>
      </c>
      <c r="R453" s="15" t="e">
        <v>#N/A</v>
      </c>
      <c r="S453" s="103"/>
      <c r="T453" s="103"/>
      <c r="U453" s="15"/>
      <c r="V453" s="15"/>
      <c r="W453" s="100"/>
      <c r="X453" s="99"/>
      <c r="Y453" s="109">
        <f ca="1">Table24[[#This Row],[End Date]]+2-TODAY()</f>
        <v>-45530</v>
      </c>
      <c r="Z453" s="15">
        <f>IF(ISBLANK(Table24[[#This Row],[Roster Received By]]),1,0)</f>
        <v>1</v>
      </c>
      <c r="AA453" s="100">
        <f ca="1">IF(Table24[[#This Row],[Start Date]]&gt;TODAY(),1,)</f>
        <v>0</v>
      </c>
    </row>
    <row r="454" spans="1:27" s="62" customFormat="1" x14ac:dyDescent="0.25">
      <c r="B454" s="99"/>
      <c r="C454" s="100" t="e">
        <v>#N/A</v>
      </c>
      <c r="D454" s="100" t="e">
        <v>#N/A</v>
      </c>
      <c r="E454" s="99"/>
      <c r="F454" s="102"/>
      <c r="G454" s="102"/>
      <c r="H454" s="105"/>
      <c r="I454" s="105"/>
      <c r="J454" s="102"/>
      <c r="K454" s="102"/>
      <c r="L454" s="102"/>
      <c r="M454" s="102"/>
      <c r="N454" s="102"/>
      <c r="O454" s="99"/>
      <c r="P454" s="99"/>
      <c r="Q454" s="15" t="e">
        <v>#N/A</v>
      </c>
      <c r="R454" s="15" t="e">
        <v>#N/A</v>
      </c>
      <c r="S454" s="15"/>
      <c r="T454" s="103"/>
      <c r="U454" s="15"/>
      <c r="V454" s="15"/>
      <c r="W454" s="15"/>
      <c r="X454" s="99"/>
      <c r="Y454" s="71">
        <f ca="1">Table24[[#This Row],[End Date]]+2-TODAY()</f>
        <v>-45530</v>
      </c>
      <c r="Z454" s="15">
        <f>IF(ISBLANK(Table24[[#This Row],[Roster Received By]]),1,0)</f>
        <v>1</v>
      </c>
      <c r="AA454" s="15">
        <f ca="1">IF(Table24[[#This Row],[Start Date]]&gt;TODAY(),1,)</f>
        <v>0</v>
      </c>
    </row>
    <row r="455" spans="1:27" s="62" customFormat="1" x14ac:dyDescent="0.25">
      <c r="B455" s="99"/>
      <c r="C455" s="100" t="e">
        <v>#N/A</v>
      </c>
      <c r="D455" s="100" t="e">
        <v>#N/A</v>
      </c>
      <c r="E455" s="99"/>
      <c r="F455" s="102"/>
      <c r="G455" s="102"/>
      <c r="H455" s="105"/>
      <c r="I455" s="105"/>
      <c r="J455" s="102"/>
      <c r="K455" s="102"/>
      <c r="L455" s="102"/>
      <c r="M455" s="102"/>
      <c r="N455" s="102"/>
      <c r="O455" s="99"/>
      <c r="P455" s="99"/>
      <c r="Q455" s="15" t="e">
        <v>#N/A</v>
      </c>
      <c r="R455" s="15" t="e">
        <v>#N/A</v>
      </c>
      <c r="S455" s="15"/>
      <c r="T455" s="103"/>
      <c r="U455" s="15"/>
      <c r="V455" s="15"/>
      <c r="W455" s="100"/>
      <c r="X455" s="99"/>
      <c r="Y455" s="109">
        <f ca="1">Table24[[#This Row],[End Date]]+2-TODAY()</f>
        <v>-45530</v>
      </c>
      <c r="Z455" s="15">
        <f>IF(ISBLANK(Table24[[#This Row],[Roster Received By]]),1,0)</f>
        <v>1</v>
      </c>
      <c r="AA455" s="100">
        <f ca="1">IF(Table24[[#This Row],[Start Date]]&gt;TODAY(),1,)</f>
        <v>0</v>
      </c>
    </row>
    <row r="456" spans="1:27" s="62" customFormat="1" x14ac:dyDescent="0.25">
      <c r="B456" s="99"/>
      <c r="C456" s="100" t="e">
        <v>#N/A</v>
      </c>
      <c r="D456" s="100" t="e">
        <v>#N/A</v>
      </c>
      <c r="E456" s="65"/>
      <c r="F456" s="102"/>
      <c r="G456" s="102"/>
      <c r="H456" s="105"/>
      <c r="I456" s="105"/>
      <c r="J456" s="102"/>
      <c r="K456" s="102"/>
      <c r="L456" s="102"/>
      <c r="M456" s="102"/>
      <c r="N456" s="102"/>
      <c r="O456" s="99"/>
      <c r="P456" s="99"/>
      <c r="Q456" s="15" t="e">
        <v>#N/A</v>
      </c>
      <c r="R456" s="15" t="e">
        <v>#N/A</v>
      </c>
      <c r="S456" s="15"/>
      <c r="T456" s="103"/>
      <c r="U456" s="15"/>
      <c r="V456" s="15"/>
      <c r="W456" s="100"/>
      <c r="X456" s="99"/>
      <c r="Y456" s="109">
        <f ca="1">Table24[[#This Row],[End Date]]+2-TODAY()</f>
        <v>-45530</v>
      </c>
      <c r="Z456" s="15">
        <f>IF(ISBLANK(Table24[[#This Row],[Roster Received By]]),1,0)</f>
        <v>1</v>
      </c>
      <c r="AA456" s="100">
        <f ca="1">IF(Table24[[#This Row],[Start Date]]&gt;TODAY(),1,)</f>
        <v>0</v>
      </c>
    </row>
    <row r="457" spans="1:27" s="62" customFormat="1" x14ac:dyDescent="0.25">
      <c r="B457" s="99"/>
      <c r="C457" s="100" t="e">
        <v>#N/A</v>
      </c>
      <c r="D457" s="100" t="e">
        <v>#N/A</v>
      </c>
      <c r="E457" s="99"/>
      <c r="F457" s="102"/>
      <c r="G457" s="102"/>
      <c r="H457" s="105"/>
      <c r="I457" s="105"/>
      <c r="J457" s="102"/>
      <c r="K457" s="102"/>
      <c r="L457" s="102"/>
      <c r="M457" s="102"/>
      <c r="N457" s="102"/>
      <c r="O457" s="99"/>
      <c r="P457" s="99"/>
      <c r="Q457" s="15" t="e">
        <v>#N/A</v>
      </c>
      <c r="R457" s="15" t="e">
        <v>#N/A</v>
      </c>
      <c r="S457" s="103"/>
      <c r="T457" s="103"/>
      <c r="U457" s="15"/>
      <c r="V457" s="15"/>
      <c r="W457" s="100"/>
      <c r="X457" s="99"/>
      <c r="Y457" s="109">
        <f ca="1">Table24[[#This Row],[End Date]]+2-TODAY()</f>
        <v>-45530</v>
      </c>
      <c r="Z457" s="15">
        <f>IF(ISBLANK(Table24[[#This Row],[Roster Received By]]),1,0)</f>
        <v>1</v>
      </c>
      <c r="AA457" s="100">
        <f ca="1">IF(Table24[[#This Row],[Start Date]]&gt;TODAY(),1,)</f>
        <v>0</v>
      </c>
    </row>
    <row r="458" spans="1:27" s="62" customFormat="1" ht="15.75" thickBot="1" x14ac:dyDescent="0.3">
      <c r="A458" s="143"/>
      <c r="B458" s="143"/>
      <c r="C458" s="144" t="e">
        <v>#N/A</v>
      </c>
      <c r="D458" s="144" t="e">
        <v>#N/A</v>
      </c>
      <c r="E458" s="99"/>
      <c r="F458" s="102"/>
      <c r="G458" s="102"/>
      <c r="H458" s="105"/>
      <c r="I458" s="105"/>
      <c r="J458" s="145"/>
      <c r="K458" s="145"/>
      <c r="L458" s="145"/>
      <c r="M458" s="145"/>
      <c r="N458" s="145"/>
      <c r="O458" s="99"/>
      <c r="P458" s="99"/>
      <c r="Q458" s="15" t="e">
        <v>#N/A</v>
      </c>
      <c r="R458" s="15" t="e">
        <v>#N/A</v>
      </c>
      <c r="S458" s="146"/>
      <c r="T458" s="103"/>
      <c r="U458" s="15"/>
      <c r="V458" s="15"/>
      <c r="W458" s="15"/>
      <c r="X458" s="99"/>
      <c r="Y458" s="71">
        <f ca="1">Table24[[#This Row],[End Date]]+2-TODAY()</f>
        <v>-45530</v>
      </c>
      <c r="Z458" s="15">
        <f>IF(ISBLANK(Table24[[#This Row],[Roster Received By]]),1,0)</f>
        <v>1</v>
      </c>
      <c r="AA458" s="15">
        <f ca="1">IF(Table24[[#This Row],[Start Date]]&gt;TODAY(),1,)</f>
        <v>0</v>
      </c>
    </row>
    <row r="459" spans="1:27" ht="15.75" thickTop="1" x14ac:dyDescent="0.25">
      <c r="A459" s="169" t="s">
        <v>62</v>
      </c>
      <c r="B459" s="169">
        <f>SUBTOTAL(103,Table24[Course Title])</f>
        <v>161</v>
      </c>
      <c r="C459" s="169"/>
      <c r="D459" s="169"/>
      <c r="E459" s="169"/>
      <c r="F459" s="170"/>
      <c r="G459" s="170"/>
      <c r="H459" s="169"/>
      <c r="I459" s="169"/>
      <c r="J459" s="169"/>
      <c r="K459" s="169"/>
      <c r="L459" s="169"/>
      <c r="M459" s="169"/>
      <c r="N459" s="169"/>
      <c r="O459" s="169"/>
      <c r="P459" s="169"/>
      <c r="Q459" s="171" t="e">
        <f>SUBTOTAL(109,Q4:Q458)</f>
        <v>#N/A</v>
      </c>
      <c r="R459" s="171" t="e">
        <f>SUBTOTAL(109,Table24[Course Length (Days)])</f>
        <v>#N/A</v>
      </c>
      <c r="S459" s="171">
        <f>SUBTOTAL(109,S4:S458)</f>
        <v>0</v>
      </c>
      <c r="T459" s="171">
        <f>SUBTOTAL(109,T4:T458)</f>
        <v>0</v>
      </c>
      <c r="U459" s="171">
        <f>SUBTOTAL(109,U4:U458)</f>
        <v>0</v>
      </c>
      <c r="V459" s="171">
        <f>SUBTOTAL(109,V4:V458)</f>
        <v>0</v>
      </c>
      <c r="W459" s="171">
        <f>SUBTOTAL(109,W4:W458)</f>
        <v>0</v>
      </c>
      <c r="X459" s="169">
        <f>SUBTOTAL(103,Table24[Roster Received By])</f>
        <v>0</v>
      </c>
      <c r="Y459" s="172"/>
      <c r="Z459" s="169"/>
      <c r="AA459" s="169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07:D181 C4:D101" name="CIN CDP_1"/>
    <protectedRange algorithmName="SHA-512" hashValue="n6K25g9uzAcpntxjqTQaPVdKX1eij75CLB1gBuUNBybVL5B3VaxVW/Tcen54TXijIel0fCN9KO3xZiLZCJMSZw==" saltValue="89UdTK4UUElaUoKBccfOYw==" spinCount="100000" sqref="C102:D103" name="CIN CDP_1_1"/>
    <protectedRange algorithmName="SHA-512" hashValue="n6K25g9uzAcpntxjqTQaPVdKX1eij75CLB1gBuUNBybVL5B3VaxVW/Tcen54TXijIel0fCN9KO3xZiLZCJMSZw==" saltValue="89UdTK4UUElaUoKBccfOYw==" spinCount="100000" sqref="C104:D105" name="CIN CDP_2"/>
    <protectedRange algorithmName="SHA-512" hashValue="n6K25g9uzAcpntxjqTQaPVdKX1eij75CLB1gBuUNBybVL5B3VaxVW/Tcen54TXijIel0fCN9KO3xZiLZCJMSZw==" saltValue="89UdTK4UUElaUoKBccfOYw==" spinCount="100000" sqref="C106:D106" name="CIN CDP_3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9:A42 J24:N30 F27:G30 E31:G31 F32:G32 E33:G34 F35:G35 F36:H36 J37:N37 F37:F38 E39:F39 J39:N39 E40:H40 E43 E44:F48 A44:A55 F49:F52 E53:F53 E54 A57:A59 J63:N63 A64 A79:A85 A96 E107:G107 E108:E116 A110 A120 A130:A134 A143:A145 J147:N147 A147:A153 I149:N149 J152:N152 A155:A171 B155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440" priority="297">
      <formula>$T19="McQueen, Jennifer"</formula>
    </cfRule>
    <cfRule type="expression" dxfId="439" priority="296">
      <formula>$T19="Jenne, Richard"</formula>
    </cfRule>
    <cfRule type="expression" dxfId="438" priority="295">
      <formula>$T19="Benzick, Sue"</formula>
    </cfRule>
  </conditionalFormatting>
  <conditionalFormatting sqref="A136:A141 E150:E153">
    <cfRule type="expression" dxfId="437" priority="119">
      <formula>$T136="Jenne, Richard"</formula>
    </cfRule>
    <cfRule type="expression" dxfId="436" priority="120">
      <formula>$T136="McQueen, Jennifer"</formula>
    </cfRule>
    <cfRule type="expression" dxfId="435" priority="118">
      <formula>$T136="Benzick, Sue"</formula>
    </cfRule>
  </conditionalFormatting>
  <conditionalFormatting sqref="A182:B182">
    <cfRule type="expression" dxfId="434" priority="138">
      <formula>$T182="McQueen, Jennifer"</formula>
    </cfRule>
    <cfRule type="expression" dxfId="433" priority="137">
      <formula>$T182="Jenne, Richard"</formula>
    </cfRule>
    <cfRule type="expression" dxfId="432" priority="136">
      <formula>$T182="Benzick, Sue"</formula>
    </cfRule>
  </conditionalFormatting>
  <conditionalFormatting sqref="E117:G117 E118:E126 E199:G199 H219:I219 H220 H221:I226 I234 H235:I236 H239:I245 H255:I256 H258:I258 H274:I274 H275 H276:I280 H288:I288">
    <cfRule type="expression" dxfId="431" priority="270">
      <formula>#REF!="McQueen, Jennifer"</formula>
    </cfRule>
  </conditionalFormatting>
  <conditionalFormatting sqref="E117:G117 E118:E126 F120:G121 E199:G199 H219:I219 H220 H221:I226 I234 H235:I236 H239:I245 H255:I256 H258:I258 H274:I274 H275 H276:I280 H288:I288">
    <cfRule type="expression" dxfId="430" priority="269">
      <formula>#REF!="Jenne, Richard"</formula>
    </cfRule>
    <cfRule type="expression" dxfId="429" priority="268">
      <formula>#REF!="Benzick, Sue"</formula>
    </cfRule>
  </conditionalFormatting>
  <conditionalFormatting sqref="E213:G217">
    <cfRule type="expression" dxfId="428" priority="247">
      <formula>#REF!="Benzick, Sue"</formula>
    </cfRule>
    <cfRule type="expression" dxfId="427" priority="248">
      <formula>#REF!="Jenne, Richard"</formula>
    </cfRule>
    <cfRule type="expression" dxfId="426" priority="249">
      <formula>#REF!="McQueen, Jennifer"</formula>
    </cfRule>
  </conditionalFormatting>
  <conditionalFormatting sqref="E445:G445 E458:G458">
    <cfRule type="expression" dxfId="425" priority="237">
      <formula>#REF!="McQueen, Jennifer"</formula>
    </cfRule>
    <cfRule type="expression" dxfId="424" priority="235">
      <formula>#REF!="Benzick, Sue"</formula>
    </cfRule>
    <cfRule type="expression" dxfId="423" priority="236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422" priority="253">
      <formula>#REF!="Benzick, Sue"</formula>
    </cfRule>
    <cfRule type="expression" dxfId="421" priority="254">
      <formula>#REF!="Jenne, Richard"</formula>
    </cfRule>
    <cfRule type="expression" dxfId="420" priority="255">
      <formula>#REF!="McQueen, Jennifer"</formula>
    </cfRule>
  </conditionalFormatting>
  <conditionalFormatting sqref="E218:H218">
    <cfRule type="expression" dxfId="419" priority="250">
      <formula>#REF!="Benzick, Sue"</formula>
    </cfRule>
    <cfRule type="expression" dxfId="418" priority="251">
      <formula>#REF!="Jenne, Richard"</formula>
    </cfRule>
    <cfRule type="expression" dxfId="417" priority="252">
      <formula>#REF!="McQueen, Jennifer"</formula>
    </cfRule>
  </conditionalFormatting>
  <conditionalFormatting sqref="F98">
    <cfRule type="expression" dxfId="416" priority="97">
      <formula>$R98="Benzick, Sue"</formula>
    </cfRule>
    <cfRule type="expression" dxfId="415" priority="99">
      <formula>$R98="McQueen, Jennifer"</formula>
    </cfRule>
    <cfRule type="expression" dxfId="414" priority="98">
      <formula>$R98="Jenne, Richard"</formula>
    </cfRule>
  </conditionalFormatting>
  <conditionalFormatting sqref="F100">
    <cfRule type="expression" dxfId="413" priority="80">
      <formula>$R100="Jenne, Richard"</formula>
    </cfRule>
    <cfRule type="expression" dxfId="412" priority="79">
      <formula>$R100="Benzick, Sue"</formula>
    </cfRule>
    <cfRule type="expression" dxfId="411" priority="81">
      <formula>$R100="McQueen, Jennifer"</formula>
    </cfRule>
  </conditionalFormatting>
  <conditionalFormatting sqref="F129">
    <cfRule type="expression" dxfId="410" priority="95">
      <formula>$R129="Jenne, Richard"</formula>
    </cfRule>
    <cfRule type="expression" dxfId="409" priority="96">
      <formula>$R129="McQueen, Jennifer"</formula>
    </cfRule>
    <cfRule type="expression" dxfId="408" priority="94">
      <formula>$R129="Benzick, Sue"</formula>
    </cfRule>
  </conditionalFormatting>
  <conditionalFormatting sqref="F155 F164">
    <cfRule type="expression" dxfId="407" priority="231">
      <formula>$S157="McQueen, Jennifer"</formula>
    </cfRule>
    <cfRule type="expression" dxfId="406" priority="230">
      <formula>$S157="Jenne, Richard"</formula>
    </cfRule>
    <cfRule type="expression" dxfId="405" priority="229">
      <formula>$S157="Benzick, Sue"</formula>
    </cfRule>
  </conditionalFormatting>
  <conditionalFormatting sqref="F159:F160 F163">
    <cfRule type="expression" dxfId="404" priority="233">
      <formula>$S160="Jenne, Richard"</formula>
    </cfRule>
    <cfRule type="expression" dxfId="403" priority="232">
      <formula>$S160="Benzick, Sue"</formula>
    </cfRule>
    <cfRule type="expression" dxfId="402" priority="234">
      <formula>$S160="McQueen, Jennifer"</formula>
    </cfRule>
  </conditionalFormatting>
  <conditionalFormatting sqref="F162">
    <cfRule type="expression" dxfId="401" priority="225">
      <formula>#REF!="McQueen, Jennifer"</formula>
    </cfRule>
    <cfRule type="expression" dxfId="400" priority="224">
      <formula>#REF!="Jenne, Richard"</formula>
    </cfRule>
    <cfRule type="expression" dxfId="399" priority="223">
      <formula>#REF!="Benzick, Sue"</formula>
    </cfRule>
  </conditionalFormatting>
  <conditionalFormatting sqref="F166">
    <cfRule type="expression" dxfId="398" priority="221">
      <formula>$S170="Jenne, Richard"</formula>
    </cfRule>
    <cfRule type="expression" dxfId="397" priority="220">
      <formula>$S170="Benzick, Sue"</formula>
    </cfRule>
    <cfRule type="expression" dxfId="396" priority="222">
      <formula>$S170="McQueen, Jennifer"</formula>
    </cfRule>
  </conditionalFormatting>
  <conditionalFormatting sqref="F193 F195">
    <cfRule type="expression" dxfId="395" priority="289">
      <formula>$T194="Benzick, Sue"</formula>
    </cfRule>
    <cfRule type="expression" dxfId="394" priority="291">
      <formula>$T194="McQueen, Jennifer"</formula>
    </cfRule>
    <cfRule type="expression" dxfId="393" priority="290">
      <formula>$T194="Jenne, Richard"</formula>
    </cfRule>
  </conditionalFormatting>
  <conditionalFormatting sqref="F194">
    <cfRule type="expression" dxfId="392" priority="312">
      <formula>#REF!="McQueen, Jennifer"</formula>
    </cfRule>
    <cfRule type="expression" dxfId="391" priority="310">
      <formula>#REF!="Benzick, Sue"</formula>
    </cfRule>
    <cfRule type="expression" dxfId="390" priority="311">
      <formula>#REF!="Jenne, Richard"</formula>
    </cfRule>
  </conditionalFormatting>
  <conditionalFormatting sqref="F302">
    <cfRule type="expression" dxfId="389" priority="307">
      <formula>#REF!="Benzick, Sue"</formula>
    </cfRule>
    <cfRule type="expression" dxfId="388" priority="308">
      <formula>#REF!="Jenne, Richard"</formula>
    </cfRule>
    <cfRule type="expression" dxfId="387" priority="309">
      <formula>#REF!="McQueen, Jennifer"</formula>
    </cfRule>
  </conditionalFormatting>
  <conditionalFormatting sqref="F55:G55 E56:H56 E79:F80 F81:F85 F87 F95:F96 F140:G140 F153 J217:M217">
    <cfRule type="expression" dxfId="386" priority="292">
      <formula>$R55="Benzick, Sue"</formula>
    </cfRule>
    <cfRule type="expression" dxfId="385" priority="294">
      <formula>$R55="McQueen, Jennifer"</formula>
    </cfRule>
    <cfRule type="expression" dxfId="384" priority="293">
      <formula>$R55="Jenne, Richard"</formula>
    </cfRule>
  </conditionalFormatting>
  <conditionalFormatting sqref="F92:G93">
    <cfRule type="expression" dxfId="383" priority="107">
      <formula>#REF!="Jenne, Richard"</formula>
    </cfRule>
    <cfRule type="expression" dxfId="382" priority="108">
      <formula>#REF!="McQueen, Jennifer"</formula>
    </cfRule>
    <cfRule type="expression" dxfId="381" priority="106">
      <formula>#REF!="Benzick, Sue"</formula>
    </cfRule>
  </conditionalFormatting>
  <conditionalFormatting sqref="F99:G99">
    <cfRule type="expression" dxfId="380" priority="110">
      <formula>#REF!="Jenne, Richard"</formula>
    </cfRule>
    <cfRule type="expression" dxfId="379" priority="111">
      <formula>#REF!="McQueen, Jennifer"</formula>
    </cfRule>
    <cfRule type="expression" dxfId="378" priority="109">
      <formula>#REF!="Benzick, Sue"</formula>
    </cfRule>
  </conditionalFormatting>
  <conditionalFormatting sqref="F114:G116">
    <cfRule type="expression" dxfId="377" priority="83">
      <formula>#REF!="Jenne, Richard"</formula>
    </cfRule>
    <cfRule type="expression" dxfId="376" priority="82">
      <formula>#REF!="Benzick, Sue"</formula>
    </cfRule>
    <cfRule type="expression" dxfId="375" priority="84">
      <formula>#REF!="McQueen, Jennifer"</formula>
    </cfRule>
  </conditionalFormatting>
  <conditionalFormatting sqref="F118:G118">
    <cfRule type="expression" dxfId="374" priority="115">
      <formula>$T118="Benzick, Sue"</formula>
    </cfRule>
    <cfRule type="expression" dxfId="373" priority="117">
      <formula>$T118="McQueen, Jennifer"</formula>
    </cfRule>
    <cfRule type="expression" dxfId="372" priority="116">
      <formula>$T118="Jenne, Richard"</formula>
    </cfRule>
  </conditionalFormatting>
  <conditionalFormatting sqref="F119:G119">
    <cfRule type="expression" dxfId="371" priority="113">
      <formula>#REF!="Jenne, Richard"</formula>
    </cfRule>
    <cfRule type="expression" dxfId="370" priority="112">
      <formula>#REF!="Benzick, Sue"</formula>
    </cfRule>
  </conditionalFormatting>
  <conditionalFormatting sqref="F119:G121">
    <cfRule type="expression" dxfId="369" priority="114">
      <formula>#REF!="McQueen, Jennifer"</formula>
    </cfRule>
  </conditionalFormatting>
  <conditionalFormatting sqref="F130:G133">
    <cfRule type="expression" dxfId="368" priority="88">
      <formula>#REF!="Benzick, Sue"</formula>
    </cfRule>
    <cfRule type="expression" dxfId="367" priority="90">
      <formula>#REF!="McQueen, Jennifer"</formula>
    </cfRule>
    <cfRule type="expression" dxfId="366" priority="89">
      <formula>#REF!="Jenne, Richard"</formula>
    </cfRule>
  </conditionalFormatting>
  <conditionalFormatting sqref="F162:G162">
    <cfRule type="expression" dxfId="365" priority="226">
      <formula>#REF!="Benzick, Sue"</formula>
    </cfRule>
    <cfRule type="expression" dxfId="364" priority="228">
      <formula>#REF!="McQueen, Jennifer"</formula>
    </cfRule>
    <cfRule type="expression" dxfId="363" priority="227">
      <formula>#REF!="Jenne, Richard"</formula>
    </cfRule>
  </conditionalFormatting>
  <conditionalFormatting sqref="F113:H113 H119:I121">
    <cfRule type="expression" dxfId="362" priority="271">
      <formula>#REF!="Benzick, Sue"</formula>
    </cfRule>
    <cfRule type="expression" dxfId="361" priority="272">
      <formula>#REF!="Jenne, Richard"</formula>
    </cfRule>
    <cfRule type="expression" dxfId="360" priority="273">
      <formula>#REF!="McQueen, Jennifer"</formula>
    </cfRule>
  </conditionalFormatting>
  <conditionalFormatting sqref="F136:H136 E137:I137 H138 H139:I140 H143:I148 H149 H150:I150 H152:I152 I153 H160:H161 H162:I162 H165:I165 H167:I168 H170:I170 H172:I174 H177:I177 I184 H185:I186 H187 H191">
    <cfRule type="expression" dxfId="359" priority="265">
      <formula>#REF!="Benzick, Sue"</formula>
    </cfRule>
    <cfRule type="expression" dxfId="358" priority="266">
      <formula>#REF!="Jenne, Richard"</formula>
    </cfRule>
    <cfRule type="expression" dxfId="357" priority="267">
      <formula>#REF!="McQueen, Jennifer"</formula>
    </cfRule>
  </conditionalFormatting>
  <conditionalFormatting sqref="F296:H296 H397:I402 H403">
    <cfRule type="expression" dxfId="356" priority="245">
      <formula>#REF!="Jenne, Richard"</formula>
    </cfRule>
    <cfRule type="expression" dxfId="355" priority="244">
      <formula>#REF!="Benzick, Sue"</formula>
    </cfRule>
    <cfRule type="expression" dxfId="354" priority="246">
      <formula>#REF!="McQueen, Jennifer"</formula>
    </cfRule>
  </conditionalFormatting>
  <conditionalFormatting sqref="F297:H298 F382:H382 F384:H384 F385:G386">
    <cfRule type="expression" dxfId="353" priority="243">
      <formula>$P297="McQueen, Jennifer"</formula>
    </cfRule>
    <cfRule type="expression" dxfId="352" priority="242">
      <formula>$P297="Jenne, Richard"</formula>
    </cfRule>
    <cfRule type="expression" dxfId="351" priority="241">
      <formula>$P297="Benzick, Sue"</formula>
    </cfRule>
  </conditionalFormatting>
  <conditionalFormatting sqref="F381:H381 F383:H383 F387:H388 F389:G390 F391:H393 F394:I394 F395:H396 F397:G398 H404:I404 H406:I409">
    <cfRule type="expression" dxfId="350" priority="239">
      <formula>#REF!="Jenne, Richard"</formula>
    </cfRule>
    <cfRule type="expression" dxfId="349" priority="238">
      <formula>#REF!="Benzick, Sue"</formula>
    </cfRule>
    <cfRule type="expression" dxfId="348" priority="240">
      <formula>#REF!="McQueen, Jennifer"</formula>
    </cfRule>
  </conditionalFormatting>
  <conditionalFormatting sqref="G16:I20 G21:N21 G22:I22 F23:I26 H27:I30 H31:H35 J31:N36 I31:I63 H37:H39 J40:N40 H41:H43 J53:N53 J55:N57 H57:H59 J60:N61 H62:H63 I64:N64 J87:N87 K88:N91 I90:I91 H91 H92:I96 H97 H98:I98 I99:N100 H101:I102 J103:N104 I103:I116 J112:N112 I122 K122:N122 H123:I124 I125:I126 K125:N126 N128:N129 I129:M129 K130:N130 I130:I133 J132:N132 K133:N133 J141:N141 I151:N151 J153:N153 J155:N155 I156 K156:N156 I157:K157 M157:N157 H158:I159 J163:N163 I164:K164 M164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347" priority="287">
      <formula>#REF!="Jenne, Richard"</formula>
    </cfRule>
    <cfRule type="expression" dxfId="346" priority="288">
      <formula>#REF!="McQueen, Jennifer"</formula>
    </cfRule>
    <cfRule type="expression" dxfId="345" priority="286">
      <formula>#REF!="Benzick, Sue"</formula>
    </cfRule>
  </conditionalFormatting>
  <conditionalFormatting sqref="G182:N182">
    <cfRule type="expression" dxfId="344" priority="133">
      <formula>#REF!="Benzick, Sue"</formula>
    </cfRule>
    <cfRule type="expression" dxfId="343" priority="134">
      <formula>#REF!="Jenne, Richard"</formula>
    </cfRule>
    <cfRule type="expression" dxfId="342" priority="135">
      <formula>#REF!="McQueen, Jennifer"</formula>
    </cfRule>
  </conditionalFormatting>
  <conditionalFormatting sqref="H46:H55 H114:H118 H127:I128 H129:H133 H134:I134 H135 H142 H169 H173 H175:H176 H184">
    <cfRule type="expression" dxfId="341" priority="257">
      <formula>#REF!="Jenne, Richard"</formula>
    </cfRule>
    <cfRule type="expression" dxfId="340" priority="258">
      <formula>#REF!="McQueen, Jennifer"</formula>
    </cfRule>
    <cfRule type="expression" dxfId="339" priority="256">
      <formula>#REF!="Benzick, Sue"</formula>
    </cfRule>
  </conditionalFormatting>
  <conditionalFormatting sqref="H65 I65:I76 J66:N76 H77:I89 E127:G127 E128:E133 I154:N154">
    <cfRule type="expression" dxfId="338" priority="259">
      <formula>#REF!="Benzick, Sue"</formula>
    </cfRule>
    <cfRule type="expression" dxfId="337" priority="261">
      <formula>#REF!="McQueen, Jennifer"</formula>
    </cfRule>
    <cfRule type="expression" dxfId="336" priority="260">
      <formula>#REF!="Jenne, Richard"</formula>
    </cfRule>
  </conditionalFormatting>
  <conditionalFormatting sqref="H125:H126">
    <cfRule type="expression" dxfId="335" priority="282">
      <formula>#REF!="McQueen, Jennifer"</formula>
    </cfRule>
    <cfRule type="expression" dxfId="334" priority="281">
      <formula>#REF!="Jenne, Richard"</formula>
    </cfRule>
    <cfRule type="expression" dxfId="333" priority="280">
      <formula>#REF!="Benzick, Sue"</formula>
    </cfRule>
  </conditionalFormatting>
  <conditionalFormatting sqref="H234">
    <cfRule type="expression" dxfId="332" priority="131">
      <formula>#REF!="Jenne, Richard"</formula>
    </cfRule>
    <cfRule type="expression" dxfId="331" priority="130">
      <formula>#REF!="Benzick, Sue"</formula>
    </cfRule>
    <cfRule type="expression" dxfId="330" priority="132">
      <formula>#REF!="McQueen, Jennifer"</formula>
    </cfRule>
  </conditionalFormatting>
  <conditionalFormatting sqref="H4:I15 H105:H112 F108:G110 F122:H122">
    <cfRule type="expression" dxfId="329" priority="283">
      <formula>#REF!="Benzick, Sue"</formula>
    </cfRule>
    <cfRule type="expression" dxfId="328" priority="284">
      <formula>#REF!="Jenne, Richard"</formula>
    </cfRule>
    <cfRule type="expression" dxfId="327" priority="285">
      <formula>#REF!="McQueen, Jennifer"</formula>
    </cfRule>
  </conditionalFormatting>
  <conditionalFormatting sqref="I97">
    <cfRule type="expression" dxfId="326" priority="216">
      <formula>#REF!="McQueen, Jennifer"</formula>
    </cfRule>
    <cfRule type="expression" dxfId="325" priority="215">
      <formula>#REF!="Jenne, Richard"</formula>
    </cfRule>
    <cfRule type="expression" dxfId="324" priority="214">
      <formula>#REF!="Benzick, Sue"</formula>
    </cfRule>
  </conditionalFormatting>
  <conditionalFormatting sqref="I135">
    <cfRule type="expression" dxfId="323" priority="77">
      <formula>#REF!="Jenne, Richard"</formula>
    </cfRule>
    <cfRule type="expression" dxfId="322" priority="78">
      <formula>#REF!="McQueen, Jennifer"</formula>
    </cfRule>
    <cfRule type="expression" dxfId="321" priority="76">
      <formula>#REF!="Benzick, Sue"</formula>
    </cfRule>
  </conditionalFormatting>
  <conditionalFormatting sqref="I136">
    <cfRule type="expression" dxfId="320" priority="19">
      <formula>$T136="Benzick, Sue"</formula>
    </cfRule>
    <cfRule type="expression" dxfId="319" priority="21">
      <formula>$T136="McQueen, Jennifer"</formula>
    </cfRule>
    <cfRule type="expression" dxfId="318" priority="20">
      <formula>$T136="Jenne, Richard"</formula>
    </cfRule>
  </conditionalFormatting>
  <conditionalFormatting sqref="I138">
    <cfRule type="expression" dxfId="317" priority="27">
      <formula>$T138="McQueen, Jennifer"</formula>
    </cfRule>
    <cfRule type="expression" dxfId="316" priority="26">
      <formula>$T138="Jenne, Richard"</formula>
    </cfRule>
    <cfRule type="expression" dxfId="315" priority="25">
      <formula>$T138="Benzick, Sue"</formula>
    </cfRule>
  </conditionalFormatting>
  <conditionalFormatting sqref="I141:I142">
    <cfRule type="expression" dxfId="314" priority="35">
      <formula>$T141="Jenne, Richard"</formula>
    </cfRule>
    <cfRule type="expression" dxfId="313" priority="36">
      <formula>$T141="McQueen, Jennifer"</formula>
    </cfRule>
    <cfRule type="expression" dxfId="312" priority="34">
      <formula>$T141="Benzick, Sue"</formula>
    </cfRule>
  </conditionalFormatting>
  <conditionalFormatting sqref="I155">
    <cfRule type="expression" dxfId="311" priority="18">
      <formula>$T155="McQueen, Jennifer"</formula>
    </cfRule>
    <cfRule type="expression" dxfId="310" priority="17">
      <formula>$T155="Jenne, Richard"</formula>
    </cfRule>
    <cfRule type="expression" dxfId="309" priority="16">
      <formula>$T155="Benzick, Sue"</formula>
    </cfRule>
  </conditionalFormatting>
  <conditionalFormatting sqref="I160">
    <cfRule type="expression" dxfId="308" priority="9">
      <formula>$T160="McQueen, Jennifer"</formula>
    </cfRule>
    <cfRule type="expression" dxfId="307" priority="8">
      <formula>$T160="Jenne, Richard"</formula>
    </cfRule>
    <cfRule type="expression" dxfId="306" priority="7">
      <formula>$T160="Benzick, Sue"</formula>
    </cfRule>
  </conditionalFormatting>
  <conditionalFormatting sqref="I161">
    <cfRule type="expression" dxfId="305" priority="127">
      <formula>#REF!="Benzick, Sue"</formula>
    </cfRule>
    <cfRule type="expression" dxfId="304" priority="128">
      <formula>#REF!="Jenne, Richard"</formula>
    </cfRule>
    <cfRule type="expression" dxfId="303" priority="129">
      <formula>#REF!="McQueen, Jennifer"</formula>
    </cfRule>
  </conditionalFormatting>
  <conditionalFormatting sqref="I163">
    <cfRule type="expression" dxfId="302" priority="5">
      <formula>$T163="Jenne, Richard"</formula>
    </cfRule>
    <cfRule type="expression" dxfId="301" priority="4">
      <formula>$T163="Benzick, Sue"</formula>
    </cfRule>
    <cfRule type="expression" dxfId="300" priority="6">
      <formula>$T163="McQueen, Jennifer"</formula>
    </cfRule>
  </conditionalFormatting>
  <conditionalFormatting sqref="I175:I176">
    <cfRule type="expression" dxfId="299" priority="149">
      <formula>#REF!="Jenne, Richard"</formula>
    </cfRule>
    <cfRule type="expression" dxfId="298" priority="148">
      <formula>#REF!="Benzick, Sue"</formula>
    </cfRule>
    <cfRule type="expression" dxfId="297" priority="150">
      <formula>#REF!="McQueen, Jennifer"</formula>
    </cfRule>
  </conditionalFormatting>
  <conditionalFormatting sqref="I203">
    <cfRule type="expression" dxfId="296" priority="212">
      <formula>#REF!="Jenne, Richard"</formula>
    </cfRule>
    <cfRule type="expression" dxfId="295" priority="211">
      <formula>#REF!="Benzick, Sue"</formula>
    </cfRule>
    <cfRule type="expression" dxfId="294" priority="213">
      <formula>#REF!="McQueen, Jennifer"</formula>
    </cfRule>
  </conditionalFormatting>
  <conditionalFormatting sqref="I220">
    <cfRule type="expression" dxfId="293" priority="177">
      <formula>#REF!="McQueen, Jennifer"</formula>
    </cfRule>
    <cfRule type="expression" dxfId="292" priority="176">
      <formula>#REF!="Jenne, Richard"</formula>
    </cfRule>
    <cfRule type="expression" dxfId="291" priority="175">
      <formula>#REF!="Benzick, Sue"</formula>
    </cfRule>
  </conditionalFormatting>
  <conditionalFormatting sqref="I246">
    <cfRule type="expression" dxfId="290" priority="169">
      <formula>#REF!="Benzick, Sue"</formula>
    </cfRule>
    <cfRule type="expression" dxfId="289" priority="170">
      <formula>#REF!="Jenne, Richard"</formula>
    </cfRule>
    <cfRule type="expression" dxfId="288" priority="171">
      <formula>#REF!="McQueen, Jennifer"</formula>
    </cfRule>
  </conditionalFormatting>
  <conditionalFormatting sqref="I285">
    <cfRule type="expression" dxfId="287" priority="205">
      <formula>#REF!="Benzick, Sue"</formula>
    </cfRule>
    <cfRule type="expression" dxfId="286" priority="206">
      <formula>#REF!="Jenne, Richard"</formula>
    </cfRule>
    <cfRule type="expression" dxfId="285" priority="207">
      <formula>#REF!="McQueen, Jennifer"</formula>
    </cfRule>
  </conditionalFormatting>
  <conditionalFormatting sqref="I332">
    <cfRule type="expression" dxfId="284" priority="208">
      <formula>#REF!="Benzick, Sue"</formula>
    </cfRule>
    <cfRule type="expression" dxfId="283" priority="209">
      <formula>#REF!="Jenne, Richard"</formula>
    </cfRule>
    <cfRule type="expression" dxfId="282" priority="210">
      <formula>#REF!="McQueen, Jennifer"</formula>
    </cfRule>
  </conditionalFormatting>
  <conditionalFormatting sqref="I187:N190">
    <cfRule type="expression" dxfId="281" priority="189">
      <formula>#REF!="McQueen, Jennifer"</formula>
    </cfRule>
    <cfRule type="expression" dxfId="280" priority="188">
      <formula>#REF!="Jenne, Richard"</formula>
    </cfRule>
    <cfRule type="expression" dxfId="279" priority="187">
      <formula>#REF!="Benzick, Sue"</formula>
    </cfRule>
  </conditionalFormatting>
  <conditionalFormatting sqref="I257:N257">
    <cfRule type="expression" dxfId="278" priority="123">
      <formula>#REF!="McQueen, Jennifer"</formula>
    </cfRule>
    <cfRule type="expression" dxfId="277" priority="122">
      <formula>#REF!="Jenne, Richard"</formula>
    </cfRule>
    <cfRule type="expression" dxfId="276" priority="121">
      <formula>#REF!="Benzick, Sue"</formula>
    </cfRule>
  </conditionalFormatting>
  <conditionalFormatting sqref="I275:N275">
    <cfRule type="expression" dxfId="275" priority="126">
      <formula>#REF!="McQueen, Jennifer"</formula>
    </cfRule>
    <cfRule type="expression" dxfId="274" priority="125">
      <formula>#REF!="Jenne, Richard"</formula>
    </cfRule>
    <cfRule type="expression" dxfId="273" priority="124">
      <formula>#REF!="Benzick, Sue"</formula>
    </cfRule>
  </conditionalFormatting>
  <conditionalFormatting sqref="I403:N403">
    <cfRule type="expression" dxfId="272" priority="186">
      <formula>#REF!="McQueen, Jennifer"</formula>
    </cfRule>
    <cfRule type="expression" dxfId="271" priority="185">
      <formula>#REF!="Jenne, Richard"</formula>
    </cfRule>
    <cfRule type="expression" dxfId="270" priority="184">
      <formula>#REF!="Benzick, Sue"</formula>
    </cfRule>
  </conditionalFormatting>
  <conditionalFormatting sqref="I437:N442">
    <cfRule type="expression" dxfId="269" priority="218">
      <formula>#REF!="Jenne, Richard"</formula>
    </cfRule>
    <cfRule type="expression" dxfId="268" priority="217">
      <formula>#REF!="Benzick, Sue"</formula>
    </cfRule>
    <cfRule type="expression" dxfId="267" priority="219">
      <formula>#REF!="McQueen, Jennifer"</formula>
    </cfRule>
  </conditionalFormatting>
  <conditionalFormatting sqref="J47">
    <cfRule type="expression" dxfId="266" priority="202">
      <formula>#REF!="Benzick, Sue"</formula>
    </cfRule>
    <cfRule type="expression" dxfId="265" priority="203">
      <formula>#REF!="Jenne, Richard"</formula>
    </cfRule>
    <cfRule type="expression" dxfId="264" priority="204">
      <formula>#REF!="McQueen, Jennifer"</formula>
    </cfRule>
  </conditionalFormatting>
  <conditionalFormatting sqref="J88:J91">
    <cfRule type="expression" dxfId="263" priority="50">
      <formula>#REF!="Jenne, Richard"</formula>
    </cfRule>
    <cfRule type="expression" dxfId="262" priority="51">
      <formula>#REF!="McQueen, Jennifer"</formula>
    </cfRule>
    <cfRule type="expression" dxfId="261" priority="49">
      <formula>#REF!="Benzick, Sue"</formula>
    </cfRule>
  </conditionalFormatting>
  <conditionalFormatting sqref="J101:J102">
    <cfRule type="expression" dxfId="260" priority="65">
      <formula>#REF!="Jenne, Richard"</formula>
    </cfRule>
    <cfRule type="expression" dxfId="259" priority="66">
      <formula>#REF!="McQueen, Jennifer"</formula>
    </cfRule>
    <cfRule type="expression" dxfId="258" priority="64">
      <formula>#REF!="Benzick, Sue"</formula>
    </cfRule>
  </conditionalFormatting>
  <conditionalFormatting sqref="J118:J127">
    <cfRule type="expression" dxfId="257" priority="53">
      <formula>#REF!="Jenne, Richard"</formula>
    </cfRule>
    <cfRule type="expression" dxfId="256" priority="52">
      <formula>#REF!="Benzick, Sue"</formula>
    </cfRule>
    <cfRule type="expression" dxfId="255" priority="54">
      <formula>#REF!="McQueen, Jennifer"</formula>
    </cfRule>
  </conditionalFormatting>
  <conditionalFormatting sqref="J130">
    <cfRule type="expression" dxfId="254" priority="63">
      <formula>#REF!="McQueen, Jennifer"</formula>
    </cfRule>
    <cfRule type="expression" dxfId="253" priority="62">
      <formula>#REF!="Jenne, Richard"</formula>
    </cfRule>
    <cfRule type="expression" dxfId="252" priority="61">
      <formula>#REF!="Benzick, Sue"</formula>
    </cfRule>
  </conditionalFormatting>
  <conditionalFormatting sqref="J133">
    <cfRule type="expression" dxfId="251" priority="60">
      <formula>#REF!="McQueen, Jennifer"</formula>
    </cfRule>
    <cfRule type="expression" dxfId="250" priority="59">
      <formula>#REF!="Jenne, Richard"</formula>
    </cfRule>
    <cfRule type="expression" dxfId="249" priority="58">
      <formula>#REF!="Benzick, Sue"</formula>
    </cfRule>
  </conditionalFormatting>
  <conditionalFormatting sqref="J137">
    <cfRule type="expression" dxfId="248" priority="22">
      <formula>$T137="Benzick, Sue"</formula>
    </cfRule>
    <cfRule type="expression" dxfId="247" priority="23">
      <formula>$T137="Jenne, Richard"</formula>
    </cfRule>
    <cfRule type="expression" dxfId="246" priority="24">
      <formula>$T137="McQueen, Jennifer"</formula>
    </cfRule>
  </conditionalFormatting>
  <conditionalFormatting sqref="J139:J140">
    <cfRule type="expression" dxfId="245" priority="28">
      <formula>$T139="Benzick, Sue"</formula>
    </cfRule>
    <cfRule type="expression" dxfId="244" priority="29">
      <formula>$T139="Jenne, Richard"</formula>
    </cfRule>
    <cfRule type="expression" dxfId="243" priority="30">
      <formula>$T139="McQueen, Jennifer"</formula>
    </cfRule>
  </conditionalFormatting>
  <conditionalFormatting sqref="J156">
    <cfRule type="expression" dxfId="242" priority="13">
      <formula>$T156="Benzick, Sue"</formula>
    </cfRule>
    <cfRule type="expression" dxfId="241" priority="14">
      <formula>$T156="Jenne, Richard"</formula>
    </cfRule>
    <cfRule type="expression" dxfId="240" priority="15">
      <formula>$T156="McQueen, Jennifer"</formula>
    </cfRule>
  </conditionalFormatting>
  <conditionalFormatting sqref="J220">
    <cfRule type="expression" dxfId="239" priority="174">
      <formula>$T220="McQueen, Jennifer"</formula>
    </cfRule>
    <cfRule type="expression" dxfId="238" priority="173">
      <formula>$T220="Jenne, Richard"</formula>
    </cfRule>
    <cfRule type="expression" dxfId="237" priority="172">
      <formula>$T220="Benzick, Sue"</formula>
    </cfRule>
  </conditionalFormatting>
  <conditionalFormatting sqref="J246">
    <cfRule type="expression" dxfId="236" priority="168">
      <formula>$T246="McQueen, Jennifer"</formula>
    </cfRule>
    <cfRule type="expression" dxfId="235" priority="166">
      <formula>$T246="Benzick, Sue"</formula>
    </cfRule>
    <cfRule type="expression" dxfId="234" priority="167">
      <formula>$T246="Jenne, Richard"</formula>
    </cfRule>
  </conditionalFormatting>
  <conditionalFormatting sqref="J254">
    <cfRule type="expression" dxfId="233" priority="163">
      <formula>$T254="Benzick, Sue"</formula>
    </cfRule>
    <cfRule type="expression" dxfId="232" priority="165">
      <formula>$T254="McQueen, Jennifer"</formula>
    </cfRule>
    <cfRule type="expression" dxfId="231" priority="164">
      <formula>$T254="Jenne, Richard"</formula>
    </cfRule>
  </conditionalFormatting>
  <conditionalFormatting sqref="J392">
    <cfRule type="expression" dxfId="230" priority="161">
      <formula>$T392="Jenne, Richard"</formula>
    </cfRule>
    <cfRule type="expression" dxfId="229" priority="162">
      <formula>$T392="McQueen, Jennifer"</formula>
    </cfRule>
    <cfRule type="expression" dxfId="228" priority="160">
      <formula>$T392="Benzick, Sue"</formula>
    </cfRule>
  </conditionalFormatting>
  <conditionalFormatting sqref="J449">
    <cfRule type="expression" dxfId="227" priority="159">
      <formula>$T449="McQueen, Jennifer"</formula>
    </cfRule>
    <cfRule type="expression" dxfId="226" priority="158">
      <formula>$T449="Jenne, Richard"</formula>
    </cfRule>
    <cfRule type="expression" dxfId="225" priority="157">
      <formula>$T449="Benzick, Sue"</formula>
    </cfRule>
  </conditionalFormatting>
  <conditionalFormatting sqref="J4:N20 T4:T76 A16:A18 S16:S22 S24:S33 S35 S37:S53 F57:G58 S57:S68 E59:G59 E60:H60 F61:H61 E62:G62 J62:N62 F63:G63 F64:H64 E64:E65 J65:N65 F65:F66 A65:A76 E67:F76 S77:T128 J86:N86 J92:L92 N92 A94:A95 J94:L95 N94:N95 E97:E98 H100 J105:N105 A106:A109 J110:N110 J113:N113 K119:N121 K123:N123 T129 S130:T141 A135 E138 K139:N139 E141:H141 E143:G143 S143:T143 J143:N144 E144 S144:S145 T144:T149 F145 K145 M145:N145 F147:G149 S147:S149 J150:N150 F150:F151 S150:T190 F154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224" priority="300">
      <formula>$S4="McQueen, Jennifer"</formula>
    </cfRule>
    <cfRule type="expression" dxfId="223" priority="298">
      <formula>$S4="Benzick, Sue"</formula>
    </cfRule>
    <cfRule type="expression" dxfId="222" priority="299">
      <formula>$S4="Jenne, Richard"</formula>
    </cfRule>
  </conditionalFormatting>
  <conditionalFormatting sqref="J22:N22">
    <cfRule type="expression" dxfId="221" priority="156">
      <formula>$S22="McQueen, Jennifer"</formula>
    </cfRule>
    <cfRule type="expression" dxfId="220" priority="154">
      <formula>$S22="Benzick, Sue"</formula>
    </cfRule>
    <cfRule type="expression" dxfId="219" priority="155">
      <formula>$S22="Jenne, Richard"</formula>
    </cfRule>
  </conditionalFormatting>
  <conditionalFormatting sqref="J49:N52">
    <cfRule type="expression" dxfId="218" priority="181">
      <formula>$T49="Benzick, Sue"</formula>
    </cfRule>
    <cfRule type="expression" dxfId="217" priority="182">
      <formula>$T49="Jenne, Richard"</formula>
    </cfRule>
    <cfRule type="expression" dxfId="216" priority="183">
      <formula>$T49="McQueen, Jennifer"</formula>
    </cfRule>
  </conditionalFormatting>
  <conditionalFormatting sqref="J59:N59">
    <cfRule type="expression" dxfId="215" priority="178">
      <formula>$T59="Benzick, Sue"</formula>
    </cfRule>
    <cfRule type="expression" dxfId="214" priority="179">
      <formula>$T59="Jenne, Richard"</formula>
    </cfRule>
    <cfRule type="expression" dxfId="213" priority="180">
      <formula>$T59="McQueen, Jennifer"</formula>
    </cfRule>
  </conditionalFormatting>
  <conditionalFormatting sqref="J115:N116 I117:L117 N117 I118 K118:N118">
    <cfRule type="expression" dxfId="212" priority="152">
      <formula>#REF!="Jenne, Richard"</formula>
    </cfRule>
    <cfRule type="expression" dxfId="211" priority="151">
      <formula>#REF!="Benzick, Sue"</formula>
    </cfRule>
    <cfRule type="expression" dxfId="210" priority="153">
      <formula>#REF!="McQueen, Jennifer"</formula>
    </cfRule>
  </conditionalFormatting>
  <conditionalFormatting sqref="K47">
    <cfRule type="expression" dxfId="209" priority="200">
      <formula>#REF!="Jenne, Richard"</formula>
    </cfRule>
    <cfRule type="expression" dxfId="208" priority="201">
      <formula>#REF!="McQueen, Jennifer"</formula>
    </cfRule>
    <cfRule type="expression" dxfId="207" priority="199">
      <formula>#REF!="Benzick, Sue"</formula>
    </cfRule>
  </conditionalFormatting>
  <conditionalFormatting sqref="L47">
    <cfRule type="expression" dxfId="206" priority="197">
      <formula>#REF!="Jenne, Richard"</formula>
    </cfRule>
    <cfRule type="expression" dxfId="205" priority="196">
      <formula>#REF!="Benzick, Sue"</formula>
    </cfRule>
    <cfRule type="expression" dxfId="204" priority="198">
      <formula>#REF!="McQueen, Jennifer"</formula>
    </cfRule>
  </conditionalFormatting>
  <conditionalFormatting sqref="L157">
    <cfRule type="expression" dxfId="203" priority="12">
      <formula>$T157="McQueen, Jennifer"</formula>
    </cfRule>
    <cfRule type="expression" dxfId="202" priority="11">
      <formula>$T157="Jenne, Richard"</formula>
    </cfRule>
    <cfRule type="expression" dxfId="201" priority="10">
      <formula>$T157="Benzick, Sue"</formula>
    </cfRule>
  </conditionalFormatting>
  <conditionalFormatting sqref="L164">
    <cfRule type="expression" dxfId="200" priority="2">
      <formula>$T164="Jenne, Richard"</formula>
    </cfRule>
    <cfRule type="expression" dxfId="199" priority="1">
      <formula>$T164="Benzick, Sue"</formula>
    </cfRule>
    <cfRule type="expression" dxfId="198" priority="3">
      <formula>$T164="McQueen, Jennifer"</formula>
    </cfRule>
  </conditionalFormatting>
  <conditionalFormatting sqref="M47">
    <cfRule type="expression" dxfId="197" priority="195">
      <formula>#REF!="McQueen, Jennifer"</formula>
    </cfRule>
    <cfRule type="expression" dxfId="196" priority="194">
      <formula>#REF!="Jenne, Richard"</formula>
    </cfRule>
    <cfRule type="expression" dxfId="195" priority="193">
      <formula>#REF!="Benzick, Sue"</formula>
    </cfRule>
  </conditionalFormatting>
  <conditionalFormatting sqref="M92:M96">
    <cfRule type="expression" dxfId="194" priority="70">
      <formula>#REF!="Benzick, Sue"</formula>
    </cfRule>
    <cfRule type="expression" dxfId="193" priority="71">
      <formula>#REF!="Jenne, Richard"</formula>
    </cfRule>
    <cfRule type="expression" dxfId="192" priority="72">
      <formula>#REF!="McQueen, Jennifer"</formula>
    </cfRule>
  </conditionalFormatting>
  <conditionalFormatting sqref="M117">
    <cfRule type="expression" dxfId="191" priority="68">
      <formula>#REF!="Jenne, Richard"</formula>
    </cfRule>
    <cfRule type="expression" dxfId="190" priority="67">
      <formula>#REF!="Benzick, Sue"</formula>
    </cfRule>
    <cfRule type="expression" dxfId="189" priority="69">
      <formula>#REF!="McQueen, Jennifer"</formula>
    </cfRule>
  </conditionalFormatting>
  <conditionalFormatting sqref="N47">
    <cfRule type="expression" dxfId="188" priority="192">
      <formula>#REF!="McQueen, Jennifer"</formula>
    </cfRule>
    <cfRule type="expression" dxfId="187" priority="191">
      <formula>#REF!="Jenne, Richard"</formula>
    </cfRule>
    <cfRule type="expression" dxfId="186" priority="190">
      <formula>#REF!="Benzick, Sue"</formula>
    </cfRule>
  </conditionalFormatting>
  <conditionalFormatting sqref="N97:N98">
    <cfRule type="expression" dxfId="185" priority="74">
      <formula>#REF!="Jenne, Richard"</formula>
    </cfRule>
    <cfRule type="expression" dxfId="184" priority="75">
      <formula>#REF!="McQueen, Jennifer"</formula>
    </cfRule>
    <cfRule type="expression" dxfId="183" priority="73">
      <formula>#REF!="Benzick, Sue"</formula>
    </cfRule>
  </conditionalFormatting>
  <conditionalFormatting sqref="W4:W22 W130:W141 W182">
    <cfRule type="expression" dxfId="182" priority="142">
      <formula>$X4="Benzick, Sue"</formula>
    </cfRule>
    <cfRule type="expression" dxfId="181" priority="143">
      <formula>$X4="Jenne, Richard"</formula>
    </cfRule>
    <cfRule type="expression" dxfId="180" priority="144">
      <formula>$X4="McQueen, Jennifer"</formula>
    </cfRule>
  </conditionalFormatting>
  <conditionalFormatting sqref="W335:W337">
    <cfRule type="expression" dxfId="179" priority="301">
      <formula>$Y335="Benzick, Sue"</formula>
    </cfRule>
    <cfRule type="expression" dxfId="178" priority="303">
      <formula>$Y335="McQueen, Jennifer"</formula>
    </cfRule>
    <cfRule type="expression" dxfId="177" priority="302">
      <formula>$Y335="Jenne, Richard"</formula>
    </cfRule>
  </conditionalFormatting>
  <conditionalFormatting sqref="Y4:Y141 J23:N23 W24:W33 W35 W37:W53 W57:W68 W77:W128 W143:W157 Y143:Y190 Y192:Y245 Y247:Y458">
    <cfRule type="expression" dxfId="176" priority="304">
      <formula>$X4="Benzick, Sue"</formula>
    </cfRule>
    <cfRule type="expression" dxfId="175" priority="305">
      <formula>$X4="Jenne, Richard"</formula>
    </cfRule>
    <cfRule type="expression" dxfId="174" priority="306">
      <formula>$X4="McQueen, Jennifer"</formula>
    </cfRule>
  </conditionalFormatting>
  <dataValidations count="4">
    <dataValidation allowBlank="1" showInputMessage="1" showErrorMessage="1" sqref="S247:S458 S192:S245 S143:S190 S4:S141" xr:uid="{97157EB6-2C71-49DE-874B-E57713A9CC44}"/>
    <dataValidation type="list" allowBlank="1" showInputMessage="1" showErrorMessage="1" sqref="A60:A62 A179:A181 A183" xr:uid="{6A517CD9-A46C-4C33-B867-D2873C0695E0}">
      <formula1>Location</formula1>
    </dataValidation>
    <dataValidation type="list" allowBlank="1" showInputMessage="1" showErrorMessage="1" sqref="B460:B466 B468:B738 B4:B458" xr:uid="{E603CEEB-9109-49FC-9FA5-34416865A0A7}">
      <formula1>Class</formula1>
    </dataValidation>
    <dataValidation type="list" allowBlank="1" showInputMessage="1" showErrorMessage="1" sqref="O460:O682" xr:uid="{3522E8B9-22A7-4EED-8A66-EC091F7C6E81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9E8-13EC-4B9E-A279-9E528C42A9C8}">
  <sheetPr>
    <pageSetUpPr fitToPage="1"/>
  </sheetPr>
  <dimension ref="A1:AA163"/>
  <sheetViews>
    <sheetView zoomScale="85" zoomScaleNormal="85" workbookViewId="0">
      <selection activeCell="A3" sqref="A3"/>
    </sheetView>
  </sheetViews>
  <sheetFormatPr defaultColWidth="8.7109375" defaultRowHeight="15" x14ac:dyDescent="0.25"/>
  <cols>
    <col min="1" max="1" width="29" style="9" customWidth="1"/>
    <col min="2" max="2" width="68.5703125" style="10" bestFit="1" customWidth="1"/>
    <col min="3" max="3" width="14.28515625" style="2" customWidth="1"/>
    <col min="4" max="4" width="16.28515625" style="12" customWidth="1"/>
    <col min="5" max="5" width="22.7109375" style="10" customWidth="1"/>
    <col min="6" max="6" width="17" style="11" customWidth="1"/>
    <col min="7" max="7" width="15.7109375" style="11" customWidth="1"/>
    <col min="8" max="9" width="14.85546875" style="36" bestFit="1" customWidth="1"/>
    <col min="10" max="14" width="14.855468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646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343</v>
      </c>
      <c r="B3" s="27" t="s">
        <v>63</v>
      </c>
      <c r="C3" s="27" t="s">
        <v>64</v>
      </c>
      <c r="D3" s="123" t="s">
        <v>350</v>
      </c>
      <c r="E3" s="27" t="s">
        <v>73</v>
      </c>
      <c r="F3" s="102" t="s">
        <v>647</v>
      </c>
      <c r="G3" s="102" t="s">
        <v>648</v>
      </c>
      <c r="H3" s="74" t="s">
        <v>353</v>
      </c>
      <c r="I3" s="74" t="s">
        <v>354</v>
      </c>
      <c r="J3" s="74" t="s">
        <v>355</v>
      </c>
      <c r="K3" s="74" t="s">
        <v>356</v>
      </c>
      <c r="L3" s="74" t="s">
        <v>357</v>
      </c>
      <c r="M3" s="74" t="s">
        <v>358</v>
      </c>
      <c r="N3" s="74" t="s">
        <v>359</v>
      </c>
      <c r="O3" s="27" t="s">
        <v>360</v>
      </c>
      <c r="P3" s="27" t="s">
        <v>361</v>
      </c>
      <c r="Q3" s="30" t="s">
        <v>66</v>
      </c>
      <c r="R3" s="30" t="s">
        <v>363</v>
      </c>
      <c r="S3" s="29" t="s">
        <v>367</v>
      </c>
      <c r="T3" s="29" t="s">
        <v>368</v>
      </c>
      <c r="U3" s="29" t="s">
        <v>13</v>
      </c>
      <c r="V3" s="29" t="s">
        <v>14</v>
      </c>
      <c r="W3" s="29" t="s">
        <v>369</v>
      </c>
      <c r="X3" s="29" t="s">
        <v>75</v>
      </c>
      <c r="Y3" s="29" t="s">
        <v>370</v>
      </c>
      <c r="Z3" s="29" t="s">
        <v>371</v>
      </c>
      <c r="AA3" s="29" t="s">
        <v>372</v>
      </c>
    </row>
    <row r="4" spans="1:27" s="106" customFormat="1" ht="14.25" customHeight="1" x14ac:dyDescent="0.25">
      <c r="A4" s="62"/>
      <c r="B4" s="99" t="s">
        <v>15</v>
      </c>
      <c r="C4" s="100" t="s">
        <v>83</v>
      </c>
      <c r="D4" s="100" t="s">
        <v>84</v>
      </c>
      <c r="E4" s="99" t="s">
        <v>80</v>
      </c>
      <c r="F4" s="102">
        <v>45600</v>
      </c>
      <c r="G4" s="102">
        <v>45604</v>
      </c>
      <c r="H4" s="105"/>
      <c r="I4" s="101">
        <v>0.54166666666666663</v>
      </c>
      <c r="J4" s="102"/>
      <c r="K4" s="102"/>
      <c r="L4" s="102"/>
      <c r="M4" s="102"/>
      <c r="N4" s="102"/>
      <c r="O4" s="99" t="s">
        <v>79</v>
      </c>
      <c r="P4" s="99"/>
      <c r="Q4" s="15">
        <v>45</v>
      </c>
      <c r="R4" s="228">
        <v>5</v>
      </c>
      <c r="S4" s="15"/>
      <c r="T4" s="103"/>
      <c r="U4" s="15"/>
      <c r="V4" s="15"/>
      <c r="W4" s="15"/>
      <c r="X4" s="99"/>
      <c r="Y4" s="71">
        <f ca="1">Table29[[#This Row],[5/9/2025]]+2-TODAY()</f>
        <v>74</v>
      </c>
      <c r="Z4" s="15">
        <f>IF(ISBLANK(Table29[[#This Row],[Roster Received By]]),1,0)</f>
        <v>1</v>
      </c>
      <c r="AA4" s="15">
        <f ca="1">IF(Table29[[#This Row],[5/5/2025]]&gt;TODAY(),1,)</f>
        <v>1</v>
      </c>
    </row>
    <row r="5" spans="1:27" s="106" customFormat="1" ht="14.25" customHeight="1" x14ac:dyDescent="0.25">
      <c r="A5" s="62"/>
      <c r="B5" s="99" t="s">
        <v>15</v>
      </c>
      <c r="C5" s="100" t="s">
        <v>83</v>
      </c>
      <c r="D5" s="100" t="s">
        <v>84</v>
      </c>
      <c r="E5" s="99" t="s">
        <v>80</v>
      </c>
      <c r="F5" s="102">
        <v>45635</v>
      </c>
      <c r="G5" s="102">
        <v>45639</v>
      </c>
      <c r="H5" s="105"/>
      <c r="I5" s="101">
        <v>0.33333333333333331</v>
      </c>
      <c r="J5" s="102"/>
      <c r="K5" s="102"/>
      <c r="L5" s="102"/>
      <c r="M5" s="102"/>
      <c r="N5" s="102"/>
      <c r="O5" s="99" t="s">
        <v>85</v>
      </c>
      <c r="P5" s="99"/>
      <c r="Q5" s="15">
        <v>45</v>
      </c>
      <c r="R5" s="228">
        <v>5</v>
      </c>
      <c r="S5" s="15"/>
      <c r="T5" s="103"/>
      <c r="U5" s="15"/>
      <c r="V5" s="15"/>
      <c r="W5" s="15"/>
      <c r="X5" s="99"/>
      <c r="Y5" s="71">
        <f ca="1">Table29[[#This Row],[5/9/2025]]+2-TODAY()</f>
        <v>109</v>
      </c>
      <c r="Z5" s="15">
        <f>IF(ISBLANK(Table29[[#This Row],[Roster Received By]]),1,0)</f>
        <v>1</v>
      </c>
      <c r="AA5" s="15">
        <f ca="1">IF(Table29[[#This Row],[5/5/2025]]&gt;TODAY(),1,)</f>
        <v>1</v>
      </c>
    </row>
    <row r="6" spans="1:27" s="106" customFormat="1" ht="14.25" customHeight="1" x14ac:dyDescent="0.25">
      <c r="A6" s="62"/>
      <c r="B6" s="99" t="s">
        <v>15</v>
      </c>
      <c r="C6" s="100" t="s">
        <v>83</v>
      </c>
      <c r="D6" s="100" t="s">
        <v>84</v>
      </c>
      <c r="E6" s="99" t="s">
        <v>80</v>
      </c>
      <c r="F6" s="102">
        <v>45670</v>
      </c>
      <c r="G6" s="102">
        <v>45674</v>
      </c>
      <c r="H6" s="105"/>
      <c r="I6" s="101">
        <v>0.54166666666666663</v>
      </c>
      <c r="J6" s="102"/>
      <c r="K6" s="102"/>
      <c r="L6" s="102"/>
      <c r="M6" s="102"/>
      <c r="N6" s="102"/>
      <c r="O6" s="99" t="s">
        <v>90</v>
      </c>
      <c r="P6" s="99"/>
      <c r="Q6" s="15">
        <v>45</v>
      </c>
      <c r="R6" s="228">
        <v>5</v>
      </c>
      <c r="S6" s="15"/>
      <c r="T6" s="103"/>
      <c r="U6" s="15"/>
      <c r="V6" s="15"/>
      <c r="W6" s="15"/>
      <c r="X6" s="99"/>
      <c r="Y6" s="71">
        <f ca="1">Table29[[#This Row],[5/9/2025]]+2-TODAY()</f>
        <v>144</v>
      </c>
      <c r="Z6" s="15">
        <f>IF(ISBLANK(Table29[[#This Row],[Roster Received By]]),1,0)</f>
        <v>1</v>
      </c>
      <c r="AA6" s="15">
        <f ca="1">IF(Table29[[#This Row],[5/5/2025]]&gt;TODAY(),1,)</f>
        <v>1</v>
      </c>
    </row>
    <row r="7" spans="1:27" s="106" customFormat="1" ht="14.25" customHeight="1" x14ac:dyDescent="0.25">
      <c r="A7" s="99"/>
      <c r="B7" s="99" t="s">
        <v>15</v>
      </c>
      <c r="C7" s="100" t="s">
        <v>83</v>
      </c>
      <c r="D7" s="100" t="s">
        <v>84</v>
      </c>
      <c r="E7" s="99" t="s">
        <v>80</v>
      </c>
      <c r="F7" s="102">
        <v>45698</v>
      </c>
      <c r="G7" s="102">
        <v>45702</v>
      </c>
      <c r="H7" s="105"/>
      <c r="I7" s="101">
        <v>0.33333333333333331</v>
      </c>
      <c r="J7" s="102"/>
      <c r="K7" s="102"/>
      <c r="L7" s="102"/>
      <c r="M7" s="102"/>
      <c r="N7" s="102"/>
      <c r="O7" s="99" t="s">
        <v>79</v>
      </c>
      <c r="P7" s="99"/>
      <c r="Q7" s="15">
        <v>45</v>
      </c>
      <c r="R7" s="228">
        <v>5</v>
      </c>
      <c r="S7" s="15"/>
      <c r="T7" s="103"/>
      <c r="U7" s="15"/>
      <c r="V7" s="15"/>
      <c r="W7" s="15"/>
      <c r="X7" s="99"/>
      <c r="Y7" s="71">
        <f ca="1">Table29[[#This Row],[5/9/2025]]+2-TODAY()</f>
        <v>172</v>
      </c>
      <c r="Z7" s="15">
        <f>IF(ISBLANK(Table29[[#This Row],[Roster Received By]]),1,0)</f>
        <v>1</v>
      </c>
      <c r="AA7" s="15">
        <f ca="1">IF(Table29[[#This Row],[5/5/2025]]&gt;TODAY(),1,)</f>
        <v>1</v>
      </c>
    </row>
    <row r="8" spans="1:27" s="106" customFormat="1" ht="14.25" customHeight="1" x14ac:dyDescent="0.25">
      <c r="A8" s="62"/>
      <c r="B8" s="99" t="s">
        <v>15</v>
      </c>
      <c r="C8" s="100" t="s">
        <v>83</v>
      </c>
      <c r="D8" s="100" t="s">
        <v>84</v>
      </c>
      <c r="E8" s="99" t="s">
        <v>80</v>
      </c>
      <c r="F8" s="102">
        <v>45728</v>
      </c>
      <c r="G8" s="102">
        <v>45732</v>
      </c>
      <c r="H8" s="102"/>
      <c r="I8" s="101">
        <v>0.54166666666666663</v>
      </c>
      <c r="J8" s="101"/>
      <c r="K8" s="101"/>
      <c r="L8" s="101"/>
      <c r="M8" s="101"/>
      <c r="N8" s="101"/>
      <c r="O8" s="99" t="s">
        <v>90</v>
      </c>
      <c r="P8" s="99"/>
      <c r="Q8" s="15">
        <v>45</v>
      </c>
      <c r="R8" s="228">
        <v>5</v>
      </c>
      <c r="S8" s="15"/>
      <c r="T8" s="103"/>
      <c r="U8" s="15"/>
      <c r="V8" s="15"/>
      <c r="W8" s="15"/>
      <c r="X8" s="99"/>
      <c r="Y8" s="71">
        <f ca="1">Table29[[#This Row],[5/9/2025]]+2-TODAY()</f>
        <v>202</v>
      </c>
      <c r="Z8" s="15">
        <f>IF(ISBLANK(Table29[[#This Row],[Roster Received By]]),1,0)</f>
        <v>1</v>
      </c>
      <c r="AA8" s="15">
        <f ca="1">IF(Table29[[#This Row],[5/5/2025]]&gt;TODAY(),1,)</f>
        <v>1</v>
      </c>
    </row>
    <row r="9" spans="1:27" s="106" customFormat="1" ht="14.25" customHeight="1" x14ac:dyDescent="0.25">
      <c r="A9" s="62"/>
      <c r="B9" s="99" t="s">
        <v>15</v>
      </c>
      <c r="C9" s="100" t="s">
        <v>83</v>
      </c>
      <c r="D9" s="100" t="s">
        <v>84</v>
      </c>
      <c r="E9" s="99" t="s">
        <v>80</v>
      </c>
      <c r="F9" s="102">
        <v>45789</v>
      </c>
      <c r="G9" s="102">
        <v>45793</v>
      </c>
      <c r="H9" s="102"/>
      <c r="I9" s="101">
        <v>0.54166666666666663</v>
      </c>
      <c r="J9" s="101"/>
      <c r="K9" s="101"/>
      <c r="L9" s="101"/>
      <c r="M9" s="101"/>
      <c r="N9" s="101"/>
      <c r="O9" s="99" t="s">
        <v>85</v>
      </c>
      <c r="P9" s="99"/>
      <c r="Q9" s="15">
        <v>45</v>
      </c>
      <c r="R9" s="228">
        <v>5</v>
      </c>
      <c r="S9" s="15"/>
      <c r="T9" s="103"/>
      <c r="U9" s="15"/>
      <c r="V9" s="15"/>
      <c r="W9" s="15"/>
      <c r="X9" s="99"/>
      <c r="Y9" s="71">
        <f ca="1">Table29[[#This Row],[5/9/2025]]+2-TODAY()</f>
        <v>263</v>
      </c>
      <c r="Z9" s="15">
        <f>IF(ISBLANK(Table29[[#This Row],[Roster Received By]]),1,0)</f>
        <v>1</v>
      </c>
      <c r="AA9" s="15">
        <f ca="1">IF(Table29[[#This Row],[5/5/2025]]&gt;TODAY(),1,)</f>
        <v>1</v>
      </c>
    </row>
    <row r="10" spans="1:27" s="106" customFormat="1" ht="14.25" customHeight="1" x14ac:dyDescent="0.25">
      <c r="A10" s="65"/>
      <c r="B10" s="99" t="s">
        <v>15</v>
      </c>
      <c r="C10" s="100" t="s">
        <v>83</v>
      </c>
      <c r="D10" s="100" t="s">
        <v>84</v>
      </c>
      <c r="E10" s="99" t="s">
        <v>80</v>
      </c>
      <c r="F10" s="102">
        <v>45831</v>
      </c>
      <c r="G10" s="102">
        <v>45835</v>
      </c>
      <c r="H10" s="105"/>
      <c r="I10" s="101">
        <v>0.54166666666666663</v>
      </c>
      <c r="J10" s="102"/>
      <c r="K10" s="102"/>
      <c r="L10" s="102"/>
      <c r="M10" s="102"/>
      <c r="N10" s="102"/>
      <c r="O10" s="99" t="s">
        <v>85</v>
      </c>
      <c r="P10" s="99"/>
      <c r="Q10" s="15">
        <v>45</v>
      </c>
      <c r="R10" s="228">
        <v>5</v>
      </c>
      <c r="S10" s="103"/>
      <c r="T10" s="103"/>
      <c r="U10" s="15"/>
      <c r="V10" s="15"/>
      <c r="W10" s="100"/>
      <c r="X10" s="99"/>
      <c r="Y10" s="109">
        <f ca="1">Table29[[#This Row],[5/9/2025]]+2-TODAY()</f>
        <v>305</v>
      </c>
      <c r="Z10" s="15">
        <f>IF(ISBLANK(Table29[[#This Row],[Roster Received By]]),1,0)</f>
        <v>1</v>
      </c>
      <c r="AA10" s="100">
        <f ca="1">IF(Table29[[#This Row],[5/5/2025]]&gt;TODAY(),1,)</f>
        <v>1</v>
      </c>
    </row>
    <row r="11" spans="1:27" s="106" customFormat="1" ht="16.5" customHeight="1" x14ac:dyDescent="0.25">
      <c r="A11" s="100"/>
      <c r="B11" s="99" t="s">
        <v>15</v>
      </c>
      <c r="C11" s="100" t="s">
        <v>83</v>
      </c>
      <c r="D11" s="100" t="s">
        <v>84</v>
      </c>
      <c r="E11" s="99" t="s">
        <v>80</v>
      </c>
      <c r="F11" s="102">
        <v>45859</v>
      </c>
      <c r="G11" s="102">
        <v>45863</v>
      </c>
      <c r="H11" s="108"/>
      <c r="I11" s="101">
        <v>0.54166666666666663</v>
      </c>
      <c r="J11" s="102"/>
      <c r="K11" s="102"/>
      <c r="L11" s="102"/>
      <c r="M11" s="102"/>
      <c r="N11" s="102"/>
      <c r="O11" s="99" t="s">
        <v>85</v>
      </c>
      <c r="P11" s="99"/>
      <c r="Q11" s="15">
        <v>45</v>
      </c>
      <c r="R11" s="228">
        <v>5</v>
      </c>
      <c r="S11" s="107"/>
      <c r="T11" s="103"/>
      <c r="U11" s="15"/>
      <c r="V11" s="15"/>
      <c r="W11" s="15"/>
      <c r="X11" s="99"/>
      <c r="Y11" s="71">
        <f ca="1">Table29[[#This Row],[5/9/2025]]+2-TODAY()</f>
        <v>333</v>
      </c>
      <c r="Z11" s="15">
        <f>IF(ISBLANK(Table29[[#This Row],[Roster Received By]]),1,0)</f>
        <v>1</v>
      </c>
      <c r="AA11" s="15">
        <f ca="1">IF(Table29[[#This Row],[5/5/2025]]&gt;TODAY(),1,)</f>
        <v>1</v>
      </c>
    </row>
    <row r="12" spans="1:27" s="106" customFormat="1" ht="14.25" customHeight="1" x14ac:dyDescent="0.25">
      <c r="A12" s="62"/>
      <c r="B12" s="99" t="s">
        <v>15</v>
      </c>
      <c r="C12" s="100" t="s">
        <v>83</v>
      </c>
      <c r="D12" s="100" t="s">
        <v>84</v>
      </c>
      <c r="E12" s="99" t="s">
        <v>80</v>
      </c>
      <c r="F12" s="102">
        <v>45873</v>
      </c>
      <c r="G12" s="102">
        <v>45877</v>
      </c>
      <c r="H12" s="108"/>
      <c r="I12" s="101">
        <v>0.54166666666666663</v>
      </c>
      <c r="J12" s="102"/>
      <c r="K12" s="102"/>
      <c r="L12" s="102"/>
      <c r="M12" s="102"/>
      <c r="N12" s="102"/>
      <c r="O12" s="99" t="s">
        <v>79</v>
      </c>
      <c r="P12" s="99"/>
      <c r="Q12" s="15">
        <v>45</v>
      </c>
      <c r="R12" s="228">
        <v>5</v>
      </c>
      <c r="S12" s="15"/>
      <c r="T12" s="103"/>
      <c r="U12" s="15"/>
      <c r="V12" s="15"/>
      <c r="W12" s="15"/>
      <c r="X12" s="99"/>
      <c r="Y12" s="71">
        <f ca="1">Table29[[#This Row],[5/9/2025]]+2-TODAY()</f>
        <v>347</v>
      </c>
      <c r="Z12" s="15">
        <f>IF(ISBLANK(Table29[[#This Row],[Roster Received By]]),1,0)</f>
        <v>1</v>
      </c>
      <c r="AA12" s="15">
        <f ca="1">IF(Table29[[#This Row],[5/5/2025]]&gt;TODAY(),1,)</f>
        <v>1</v>
      </c>
    </row>
    <row r="13" spans="1:27" s="106" customFormat="1" ht="16.5" customHeight="1" x14ac:dyDescent="0.25">
      <c r="A13" s="99"/>
      <c r="B13" s="99" t="s">
        <v>17</v>
      </c>
      <c r="C13" s="100" t="s">
        <v>137</v>
      </c>
      <c r="D13" s="100">
        <v>3682</v>
      </c>
      <c r="E13" s="99" t="s">
        <v>176</v>
      </c>
      <c r="F13" s="102">
        <v>45663</v>
      </c>
      <c r="G13" s="102">
        <v>45667</v>
      </c>
      <c r="H13" s="105">
        <v>0.33333333333333331</v>
      </c>
      <c r="I13" s="105"/>
      <c r="J13" s="102"/>
      <c r="K13" s="102"/>
      <c r="L13" s="102"/>
      <c r="M13" s="102"/>
      <c r="N13" s="102"/>
      <c r="O13" s="99" t="s">
        <v>94</v>
      </c>
      <c r="P13" s="99"/>
      <c r="Q13" s="103">
        <v>40</v>
      </c>
      <c r="R13" s="104">
        <v>5</v>
      </c>
      <c r="S13" s="103"/>
      <c r="T13" s="103"/>
      <c r="U13" s="15"/>
      <c r="V13" s="15"/>
      <c r="W13" s="15"/>
      <c r="X13" s="99"/>
      <c r="Y13" s="71">
        <f ca="1">Table29[[#This Row],[5/9/2025]]+2-TODAY()</f>
        <v>137</v>
      </c>
      <c r="Z13" s="15">
        <f>IF(ISBLANK(Table29[[#This Row],[Roster Received By]]),1,0)</f>
        <v>1</v>
      </c>
      <c r="AA13" s="15">
        <f ca="1">IF(Table29[[#This Row],[5/5/2025]]&gt;TODAY(),1,)</f>
        <v>1</v>
      </c>
    </row>
    <row r="14" spans="1:27" s="106" customFormat="1" ht="14.25" customHeight="1" x14ac:dyDescent="0.25">
      <c r="A14" s="99"/>
      <c r="B14" s="99" t="s">
        <v>17</v>
      </c>
      <c r="C14" s="100" t="s">
        <v>137</v>
      </c>
      <c r="D14" s="100">
        <v>3682</v>
      </c>
      <c r="E14" s="99" t="s">
        <v>276</v>
      </c>
      <c r="F14" s="110">
        <v>45670</v>
      </c>
      <c r="G14" s="110">
        <v>45674</v>
      </c>
      <c r="H14" s="105">
        <v>0.33333333333333331</v>
      </c>
      <c r="I14" s="105"/>
      <c r="J14" s="102"/>
      <c r="K14" s="102"/>
      <c r="L14" s="102"/>
      <c r="M14" s="102"/>
      <c r="N14" s="102"/>
      <c r="O14" s="99" t="s">
        <v>94</v>
      </c>
      <c r="P14" s="99"/>
      <c r="Q14" s="15">
        <v>40</v>
      </c>
      <c r="R14" s="15">
        <v>5</v>
      </c>
      <c r="S14" s="103"/>
      <c r="T14" s="103"/>
      <c r="U14" s="15"/>
      <c r="V14" s="15"/>
      <c r="W14" s="15"/>
      <c r="X14" s="99"/>
      <c r="Y14" s="71">
        <f ca="1">Table29[[#This Row],[5/9/2025]]+2-TODAY()</f>
        <v>144</v>
      </c>
      <c r="Z14" s="15">
        <f>IF(ISBLANK(Table29[[#This Row],[Roster Received By]]),1,0)</f>
        <v>1</v>
      </c>
      <c r="AA14" s="15">
        <f ca="1">IF(Table29[[#This Row],[5/5/2025]]&gt;TODAY(),1,)</f>
        <v>1</v>
      </c>
    </row>
    <row r="15" spans="1:27" s="106" customFormat="1" ht="14.25" customHeight="1" x14ac:dyDescent="0.25">
      <c r="A15" s="100"/>
      <c r="B15" s="99" t="s">
        <v>17</v>
      </c>
      <c r="C15" s="100" t="s">
        <v>137</v>
      </c>
      <c r="D15" s="100">
        <v>3682</v>
      </c>
      <c r="E15" s="99" t="s">
        <v>292</v>
      </c>
      <c r="F15" s="102">
        <v>45691</v>
      </c>
      <c r="G15" s="102">
        <v>45695</v>
      </c>
      <c r="H15" s="105">
        <v>0.33333333333333331</v>
      </c>
      <c r="I15" s="105"/>
      <c r="J15" s="102"/>
      <c r="K15" s="102"/>
      <c r="L15" s="102"/>
      <c r="M15" s="102"/>
      <c r="N15" s="102"/>
      <c r="O15" s="99" t="s">
        <v>94</v>
      </c>
      <c r="P15" s="99"/>
      <c r="Q15" s="104">
        <v>40</v>
      </c>
      <c r="R15" s="104">
        <v>5</v>
      </c>
      <c r="S15" s="104"/>
      <c r="T15" s="104"/>
      <c r="U15" s="100"/>
      <c r="V15" s="100"/>
      <c r="W15" s="104"/>
      <c r="X15" s="100"/>
      <c r="Y15" s="109">
        <f ca="1">Table29[[#This Row],[5/9/2025]]+2-TODAY()</f>
        <v>165</v>
      </c>
      <c r="Z15" s="100">
        <f>IF(ISBLANK(Table29[[#This Row],[Roster Received By]]),1,0)</f>
        <v>1</v>
      </c>
      <c r="AA15" s="100">
        <f ca="1">IF(Table29[[#This Row],[5/5/2025]]&gt;TODAY(),1,)</f>
        <v>1</v>
      </c>
    </row>
    <row r="16" spans="1:27" s="106" customFormat="1" ht="14.25" customHeight="1" x14ac:dyDescent="0.25">
      <c r="A16" s="100"/>
      <c r="B16" s="99" t="s">
        <v>17</v>
      </c>
      <c r="C16" s="100" t="s">
        <v>137</v>
      </c>
      <c r="D16" s="100">
        <v>3682</v>
      </c>
      <c r="E16" s="99" t="s">
        <v>157</v>
      </c>
      <c r="F16" s="102">
        <v>45712</v>
      </c>
      <c r="G16" s="102">
        <v>45716</v>
      </c>
      <c r="H16" s="105">
        <v>0.33333333333333331</v>
      </c>
      <c r="I16" s="105"/>
      <c r="J16" s="102"/>
      <c r="K16" s="102"/>
      <c r="L16" s="102"/>
      <c r="M16" s="102"/>
      <c r="N16" s="102"/>
      <c r="O16" s="99" t="s">
        <v>94</v>
      </c>
      <c r="P16" s="99"/>
      <c r="Q16" s="104">
        <v>40</v>
      </c>
      <c r="R16" s="104">
        <v>5</v>
      </c>
      <c r="S16" s="104"/>
      <c r="T16" s="104"/>
      <c r="U16" s="100"/>
      <c r="V16" s="100"/>
      <c r="W16" s="104"/>
      <c r="X16" s="100"/>
      <c r="Y16" s="109">
        <f ca="1">Table29[[#This Row],[5/9/2025]]+2-TODAY()</f>
        <v>186</v>
      </c>
      <c r="Z16" s="100">
        <f>IF(ISBLANK(Table29[[#This Row],[Roster Received By]]),1,0)</f>
        <v>1</v>
      </c>
      <c r="AA16" s="100">
        <f ca="1">IF(Table29[[#This Row],[5/5/2025]]&gt;TODAY(),1,)</f>
        <v>1</v>
      </c>
    </row>
    <row r="17" spans="1:27" s="138" customFormat="1" ht="14.25" customHeight="1" x14ac:dyDescent="0.25">
      <c r="A17" s="100"/>
      <c r="B17" s="99" t="s">
        <v>17</v>
      </c>
      <c r="C17" s="100" t="s">
        <v>137</v>
      </c>
      <c r="D17" s="100">
        <v>3682</v>
      </c>
      <c r="E17" s="99" t="s">
        <v>180</v>
      </c>
      <c r="F17" s="102">
        <v>45726</v>
      </c>
      <c r="G17" s="102">
        <v>45730</v>
      </c>
      <c r="H17" s="105">
        <v>0.33333333333333331</v>
      </c>
      <c r="I17" s="105"/>
      <c r="J17" s="102"/>
      <c r="K17" s="102"/>
      <c r="L17" s="102"/>
      <c r="M17" s="102"/>
      <c r="N17" s="102"/>
      <c r="O17" s="99" t="s">
        <v>94</v>
      </c>
      <c r="P17" s="99"/>
      <c r="Q17" s="104">
        <v>40</v>
      </c>
      <c r="R17" s="104">
        <v>5</v>
      </c>
      <c r="S17" s="104"/>
      <c r="T17" s="104"/>
      <c r="U17" s="100"/>
      <c r="V17" s="100"/>
      <c r="W17" s="104"/>
      <c r="X17" s="100"/>
      <c r="Y17" s="109">
        <f ca="1">Table29[[#This Row],[5/9/2025]]+2-TODAY()</f>
        <v>200</v>
      </c>
      <c r="Z17" s="100">
        <f>IF(ISBLANK(Table29[[#This Row],[Roster Received By]]),1,0)</f>
        <v>1</v>
      </c>
      <c r="AA17" s="100">
        <f ca="1">IF(Table29[[#This Row],[5/5/2025]]&gt;TODAY(),1,)</f>
        <v>1</v>
      </c>
    </row>
    <row r="18" spans="1:27" s="106" customFormat="1" ht="16.5" customHeight="1" x14ac:dyDescent="0.25">
      <c r="A18" s="100"/>
      <c r="B18" s="99" t="s">
        <v>17</v>
      </c>
      <c r="C18" s="100" t="s">
        <v>137</v>
      </c>
      <c r="D18" s="100">
        <v>3682</v>
      </c>
      <c r="E18" s="99" t="s">
        <v>241</v>
      </c>
      <c r="F18" s="102">
        <v>45733</v>
      </c>
      <c r="G18" s="102">
        <v>45737</v>
      </c>
      <c r="H18" s="105">
        <v>0.33333333333333331</v>
      </c>
      <c r="I18" s="105"/>
      <c r="J18" s="102"/>
      <c r="K18" s="102"/>
      <c r="L18" s="102"/>
      <c r="M18" s="102"/>
      <c r="N18" s="102"/>
      <c r="O18" s="99" t="s">
        <v>94</v>
      </c>
      <c r="P18" s="99"/>
      <c r="Q18" s="104">
        <v>40</v>
      </c>
      <c r="R18" s="104">
        <v>5</v>
      </c>
      <c r="S18" s="104"/>
      <c r="T18" s="104"/>
      <c r="U18" s="100"/>
      <c r="V18" s="100"/>
      <c r="W18" s="104"/>
      <c r="X18" s="100"/>
      <c r="Y18" s="109">
        <f ca="1">Table29[[#This Row],[5/9/2025]]+2-TODAY()</f>
        <v>207</v>
      </c>
      <c r="Z18" s="100">
        <f>IF(ISBLANK(Table29[[#This Row],[Roster Received By]]),1,0)</f>
        <v>1</v>
      </c>
      <c r="AA18" s="100">
        <f ca="1">IF(Table29[[#This Row],[5/5/2025]]&gt;TODAY(),1,)</f>
        <v>1</v>
      </c>
    </row>
    <row r="19" spans="1:27" s="106" customFormat="1" ht="16.5" customHeight="1" x14ac:dyDescent="0.25">
      <c r="A19" s="100"/>
      <c r="B19" s="99" t="s">
        <v>17</v>
      </c>
      <c r="C19" s="100" t="s">
        <v>137</v>
      </c>
      <c r="D19" s="100">
        <v>3682</v>
      </c>
      <c r="E19" s="99" t="s">
        <v>274</v>
      </c>
      <c r="F19" s="102">
        <v>45747</v>
      </c>
      <c r="G19" s="102">
        <v>45751</v>
      </c>
      <c r="H19" s="105">
        <v>0.33333333333333331</v>
      </c>
      <c r="I19" s="105"/>
      <c r="J19" s="102"/>
      <c r="K19" s="102"/>
      <c r="L19" s="102"/>
      <c r="M19" s="102"/>
      <c r="N19" s="102"/>
      <c r="O19" s="99" t="s">
        <v>94</v>
      </c>
      <c r="P19" s="99"/>
      <c r="Q19" s="104">
        <v>40</v>
      </c>
      <c r="R19" s="104">
        <v>5</v>
      </c>
      <c r="S19" s="104"/>
      <c r="T19" s="104"/>
      <c r="U19" s="100"/>
      <c r="V19" s="100"/>
      <c r="W19" s="104"/>
      <c r="X19" s="100"/>
      <c r="Y19" s="109">
        <f ca="1">Table29[[#This Row],[5/9/2025]]+2-TODAY()</f>
        <v>221</v>
      </c>
      <c r="Z19" s="100">
        <f>IF(ISBLANK(Table29[[#This Row],[Roster Received By]]),1,0)</f>
        <v>1</v>
      </c>
      <c r="AA19" s="100">
        <f ca="1">IF(Table29[[#This Row],[5/5/2025]]&gt;TODAY(),1,)</f>
        <v>1</v>
      </c>
    </row>
    <row r="20" spans="1:27" s="106" customFormat="1" ht="16.5" customHeight="1" x14ac:dyDescent="0.25">
      <c r="A20" s="100" t="s">
        <v>398</v>
      </c>
      <c r="B20" s="99" t="s">
        <v>17</v>
      </c>
      <c r="C20" s="100" t="s">
        <v>137</v>
      </c>
      <c r="D20" s="100">
        <v>3682</v>
      </c>
      <c r="E20" s="99" t="s">
        <v>213</v>
      </c>
      <c r="F20" s="102">
        <v>45754</v>
      </c>
      <c r="G20" s="102">
        <v>45758</v>
      </c>
      <c r="H20" s="105">
        <v>0.33333333333333331</v>
      </c>
      <c r="I20" s="105"/>
      <c r="J20" s="102"/>
      <c r="K20" s="102"/>
      <c r="L20" s="102"/>
      <c r="M20" s="102"/>
      <c r="N20" s="102"/>
      <c r="O20" s="99" t="s">
        <v>94</v>
      </c>
      <c r="P20" s="99"/>
      <c r="Q20" s="104">
        <v>40</v>
      </c>
      <c r="R20" s="104">
        <v>5</v>
      </c>
      <c r="S20" s="104"/>
      <c r="T20" s="104"/>
      <c r="U20" s="100"/>
      <c r="V20" s="100"/>
      <c r="W20" s="104"/>
      <c r="X20" s="100"/>
      <c r="Y20" s="109">
        <f ca="1">Table29[[#This Row],[5/9/2025]]+2-TODAY()</f>
        <v>228</v>
      </c>
      <c r="Z20" s="100">
        <f>IF(ISBLANK(Table29[[#This Row],[Roster Received By]]),1,0)</f>
        <v>1</v>
      </c>
      <c r="AA20" s="100">
        <f ca="1">IF(Table29[[#This Row],[5/5/2025]]&gt;TODAY(),1,)</f>
        <v>1</v>
      </c>
    </row>
    <row r="21" spans="1:27" s="106" customFormat="1" ht="16.5" customHeight="1" x14ac:dyDescent="0.25">
      <c r="A21" s="100"/>
      <c r="B21" s="99" t="s">
        <v>17</v>
      </c>
      <c r="C21" s="100" t="s">
        <v>137</v>
      </c>
      <c r="D21" s="100">
        <v>3682</v>
      </c>
      <c r="E21" s="99" t="s">
        <v>295</v>
      </c>
      <c r="F21" s="102">
        <v>45754</v>
      </c>
      <c r="G21" s="102">
        <v>45758</v>
      </c>
      <c r="H21" s="105">
        <v>0.33333333333333331</v>
      </c>
      <c r="I21" s="105"/>
      <c r="J21" s="102"/>
      <c r="K21" s="102"/>
      <c r="L21" s="102"/>
      <c r="M21" s="102"/>
      <c r="N21" s="102"/>
      <c r="O21" s="99" t="s">
        <v>94</v>
      </c>
      <c r="P21" s="99"/>
      <c r="Q21" s="104">
        <v>40</v>
      </c>
      <c r="R21" s="104">
        <v>5</v>
      </c>
      <c r="S21" s="104"/>
      <c r="T21" s="104"/>
      <c r="U21" s="100"/>
      <c r="V21" s="100"/>
      <c r="W21" s="104"/>
      <c r="X21" s="100"/>
      <c r="Y21" s="109">
        <f ca="1">Table29[[#This Row],[5/9/2025]]+2-TODAY()</f>
        <v>228</v>
      </c>
      <c r="Z21" s="100">
        <f>IF(ISBLANK(Table29[[#This Row],[Roster Received By]]),1,0)</f>
        <v>1</v>
      </c>
      <c r="AA21" s="100">
        <f ca="1">IF(Table29[[#This Row],[5/5/2025]]&gt;TODAY(),1,)</f>
        <v>1</v>
      </c>
    </row>
    <row r="22" spans="1:27" s="106" customFormat="1" ht="16.5" customHeight="1" x14ac:dyDescent="0.25">
      <c r="A22" s="100"/>
      <c r="B22" s="99" t="s">
        <v>17</v>
      </c>
      <c r="C22" s="100" t="s">
        <v>137</v>
      </c>
      <c r="D22" s="100">
        <v>3682</v>
      </c>
      <c r="E22" s="99" t="s">
        <v>215</v>
      </c>
      <c r="F22" s="102">
        <v>45761</v>
      </c>
      <c r="G22" s="102">
        <v>45765</v>
      </c>
      <c r="H22" s="105">
        <v>0.33333333333333331</v>
      </c>
      <c r="I22" s="105"/>
      <c r="J22" s="102"/>
      <c r="K22" s="102"/>
      <c r="L22" s="102"/>
      <c r="M22" s="102"/>
      <c r="N22" s="102"/>
      <c r="O22" s="99" t="s">
        <v>94</v>
      </c>
      <c r="P22" s="99"/>
      <c r="Q22" s="104">
        <v>40</v>
      </c>
      <c r="R22" s="104">
        <v>5</v>
      </c>
      <c r="S22" s="104"/>
      <c r="T22" s="104"/>
      <c r="U22" s="100"/>
      <c r="V22" s="100"/>
      <c r="W22" s="104"/>
      <c r="X22" s="100"/>
      <c r="Y22" s="109">
        <f ca="1">Table29[[#This Row],[5/9/2025]]+2-TODAY()</f>
        <v>235</v>
      </c>
      <c r="Z22" s="100">
        <f>IF(ISBLANK(Table29[[#This Row],[Roster Received By]]),1,0)</f>
        <v>1</v>
      </c>
      <c r="AA22" s="100">
        <f ca="1">IF(Table29[[#This Row],[5/5/2025]]&gt;TODAY(),1,)</f>
        <v>1</v>
      </c>
    </row>
    <row r="23" spans="1:27" s="106" customFormat="1" ht="14.25" customHeight="1" x14ac:dyDescent="0.25">
      <c r="A23" s="100" t="s">
        <v>403</v>
      </c>
      <c r="B23" s="99" t="s">
        <v>17</v>
      </c>
      <c r="C23" s="100" t="s">
        <v>137</v>
      </c>
      <c r="D23" s="100">
        <v>3682</v>
      </c>
      <c r="E23" s="99" t="s">
        <v>309</v>
      </c>
      <c r="F23" s="102">
        <v>45768</v>
      </c>
      <c r="G23" s="102">
        <v>45772</v>
      </c>
      <c r="H23" s="105">
        <v>0.33333333333333331</v>
      </c>
      <c r="I23" s="105"/>
      <c r="J23" s="102"/>
      <c r="K23" s="102"/>
      <c r="L23" s="102"/>
      <c r="M23" s="102"/>
      <c r="N23" s="102"/>
      <c r="O23" s="99" t="s">
        <v>94</v>
      </c>
      <c r="P23" s="99"/>
      <c r="Q23" s="104">
        <v>40</v>
      </c>
      <c r="R23" s="104">
        <v>5</v>
      </c>
      <c r="S23" s="104"/>
      <c r="T23" s="104"/>
      <c r="U23" s="100"/>
      <c r="V23" s="100"/>
      <c r="W23" s="104"/>
      <c r="X23" s="100"/>
      <c r="Y23" s="109">
        <f ca="1">Table29[[#This Row],[5/9/2025]]+2-TODAY()</f>
        <v>242</v>
      </c>
      <c r="Z23" s="100">
        <f>IF(ISBLANK(Table29[[#This Row],[Roster Received By]]),1,0)</f>
        <v>1</v>
      </c>
      <c r="AA23" s="100">
        <f ca="1">IF(Table29[[#This Row],[5/5/2025]]&gt;TODAY(),1,)</f>
        <v>1</v>
      </c>
    </row>
    <row r="24" spans="1:27" s="106" customFormat="1" ht="14.25" customHeight="1" x14ac:dyDescent="0.25">
      <c r="A24" s="100"/>
      <c r="B24" s="99" t="s">
        <v>17</v>
      </c>
      <c r="C24" s="100" t="s">
        <v>137</v>
      </c>
      <c r="D24" s="100">
        <v>3682</v>
      </c>
      <c r="E24" s="99" t="s">
        <v>121</v>
      </c>
      <c r="F24" s="102">
        <v>45796</v>
      </c>
      <c r="G24" s="102">
        <v>45800</v>
      </c>
      <c r="H24" s="105">
        <v>0.33333333333333331</v>
      </c>
      <c r="I24" s="105"/>
      <c r="J24" s="102"/>
      <c r="K24" s="102"/>
      <c r="L24" s="102"/>
      <c r="M24" s="102"/>
      <c r="N24" s="102"/>
      <c r="O24" s="99" t="s">
        <v>94</v>
      </c>
      <c r="P24" s="99"/>
      <c r="Q24" s="104">
        <v>40</v>
      </c>
      <c r="R24" s="104">
        <v>5</v>
      </c>
      <c r="S24" s="104"/>
      <c r="T24" s="104"/>
      <c r="U24" s="100"/>
      <c r="V24" s="100"/>
      <c r="W24" s="104"/>
      <c r="X24" s="100"/>
      <c r="Y24" s="109">
        <f ca="1">Table29[[#This Row],[5/9/2025]]+2-TODAY()</f>
        <v>270</v>
      </c>
      <c r="Z24" s="100">
        <f>IF(ISBLANK(Table29[[#This Row],[Roster Received By]]),1,0)</f>
        <v>1</v>
      </c>
      <c r="AA24" s="100">
        <f ca="1">IF(Table29[[#This Row],[5/5/2025]]&gt;TODAY(),1,)</f>
        <v>1</v>
      </c>
    </row>
    <row r="25" spans="1:27" s="106" customFormat="1" ht="16.5" customHeight="1" x14ac:dyDescent="0.25">
      <c r="A25" s="100"/>
      <c r="B25" s="99" t="s">
        <v>17</v>
      </c>
      <c r="C25" s="100" t="s">
        <v>137</v>
      </c>
      <c r="D25" s="100">
        <v>3682</v>
      </c>
      <c r="E25" s="99" t="s">
        <v>146</v>
      </c>
      <c r="F25" s="102">
        <v>45817</v>
      </c>
      <c r="G25" s="102">
        <v>45913</v>
      </c>
      <c r="H25" s="105">
        <v>0.33333333333333331</v>
      </c>
      <c r="I25" s="105"/>
      <c r="J25" s="102"/>
      <c r="K25" s="102"/>
      <c r="L25" s="102"/>
      <c r="M25" s="102"/>
      <c r="N25" s="102"/>
      <c r="O25" s="99" t="s">
        <v>94</v>
      </c>
      <c r="P25" s="99"/>
      <c r="Q25" s="104">
        <v>40</v>
      </c>
      <c r="R25" s="104">
        <v>5</v>
      </c>
      <c r="S25" s="104"/>
      <c r="T25" s="104"/>
      <c r="U25" s="100"/>
      <c r="V25" s="100"/>
      <c r="W25" s="104"/>
      <c r="X25" s="100"/>
      <c r="Y25" s="109">
        <f ca="1">Table29[[#This Row],[5/9/2025]]+2-TODAY()</f>
        <v>383</v>
      </c>
      <c r="Z25" s="100">
        <f>IF(ISBLANK(Table29[[#This Row],[Roster Received By]]),1,0)</f>
        <v>1</v>
      </c>
      <c r="AA25" s="100">
        <f ca="1">IF(Table29[[#This Row],[5/5/2025]]&gt;TODAY(),1,)</f>
        <v>1</v>
      </c>
    </row>
    <row r="26" spans="1:27" s="106" customFormat="1" ht="16.5" customHeight="1" x14ac:dyDescent="0.25">
      <c r="A26" s="100"/>
      <c r="B26" s="99" t="s">
        <v>17</v>
      </c>
      <c r="C26" s="100" t="s">
        <v>137</v>
      </c>
      <c r="D26" s="100">
        <v>3682</v>
      </c>
      <c r="E26" s="99" t="s">
        <v>193</v>
      </c>
      <c r="F26" s="102">
        <v>45817</v>
      </c>
      <c r="G26" s="102">
        <v>45821</v>
      </c>
      <c r="H26" s="105">
        <v>0.33333333333333331</v>
      </c>
      <c r="I26" s="105"/>
      <c r="J26" s="102"/>
      <c r="K26" s="102"/>
      <c r="L26" s="102"/>
      <c r="M26" s="102"/>
      <c r="N26" s="102"/>
      <c r="O26" s="99" t="s">
        <v>94</v>
      </c>
      <c r="P26" s="99"/>
      <c r="Q26" s="104">
        <v>40</v>
      </c>
      <c r="R26" s="104">
        <v>5</v>
      </c>
      <c r="S26" s="104"/>
      <c r="T26" s="104"/>
      <c r="U26" s="100"/>
      <c r="V26" s="100"/>
      <c r="W26" s="104"/>
      <c r="X26" s="100"/>
      <c r="Y26" s="109">
        <f ca="1">Table29[[#This Row],[5/9/2025]]+2-TODAY()</f>
        <v>291</v>
      </c>
      <c r="Z26" s="100">
        <f>IF(ISBLANK(Table29[[#This Row],[Roster Received By]]),1,0)</f>
        <v>1</v>
      </c>
      <c r="AA26" s="100">
        <f ca="1">IF(Table29[[#This Row],[5/5/2025]]&gt;TODAY(),1,)</f>
        <v>1</v>
      </c>
    </row>
    <row r="27" spans="1:27" s="106" customFormat="1" ht="16.5" customHeight="1" x14ac:dyDescent="0.25">
      <c r="A27" s="100"/>
      <c r="B27" s="99" t="s">
        <v>17</v>
      </c>
      <c r="C27" s="100" t="s">
        <v>137</v>
      </c>
      <c r="D27" s="100">
        <v>3682</v>
      </c>
      <c r="E27" s="99" t="s">
        <v>102</v>
      </c>
      <c r="F27" s="102">
        <v>45873</v>
      </c>
      <c r="G27" s="102">
        <v>45877</v>
      </c>
      <c r="H27" s="105">
        <v>0.33333333333333331</v>
      </c>
      <c r="I27" s="105"/>
      <c r="J27" s="102"/>
      <c r="K27" s="102"/>
      <c r="L27" s="102"/>
      <c r="M27" s="102"/>
      <c r="N27" s="102"/>
      <c r="O27" s="99" t="s">
        <v>94</v>
      </c>
      <c r="P27" s="99"/>
      <c r="Q27" s="104">
        <v>40</v>
      </c>
      <c r="R27" s="104">
        <v>5</v>
      </c>
      <c r="S27" s="104"/>
      <c r="T27" s="104"/>
      <c r="U27" s="100"/>
      <c r="V27" s="100"/>
      <c r="W27" s="104"/>
      <c r="X27" s="100"/>
      <c r="Y27" s="109">
        <f ca="1">Table29[[#This Row],[5/9/2025]]+2-TODAY()</f>
        <v>347</v>
      </c>
      <c r="Z27" s="100">
        <f>IF(ISBLANK(Table29[[#This Row],[Roster Received By]]),1,0)</f>
        <v>1</v>
      </c>
      <c r="AA27" s="100">
        <f ca="1">IF(Table29[[#This Row],[5/5/2025]]&gt;TODAY(),1,)</f>
        <v>1</v>
      </c>
    </row>
    <row r="28" spans="1:27" s="106" customFormat="1" ht="14.25" customHeight="1" x14ac:dyDescent="0.25">
      <c r="A28" s="100"/>
      <c r="B28" s="99" t="s">
        <v>17</v>
      </c>
      <c r="C28" s="100" t="s">
        <v>137</v>
      </c>
      <c r="D28" s="100">
        <v>3682</v>
      </c>
      <c r="E28" s="99" t="s">
        <v>284</v>
      </c>
      <c r="F28" s="102">
        <v>45873</v>
      </c>
      <c r="G28" s="102">
        <v>45877</v>
      </c>
      <c r="H28" s="105">
        <v>0.33333333333333331</v>
      </c>
      <c r="I28" s="105"/>
      <c r="J28" s="102"/>
      <c r="K28" s="102"/>
      <c r="L28" s="102"/>
      <c r="M28" s="102"/>
      <c r="N28" s="102"/>
      <c r="O28" s="99" t="s">
        <v>94</v>
      </c>
      <c r="P28" s="99"/>
      <c r="Q28" s="104">
        <v>40</v>
      </c>
      <c r="R28" s="104">
        <v>5</v>
      </c>
      <c r="S28" s="104"/>
      <c r="T28" s="104"/>
      <c r="U28" s="100"/>
      <c r="V28" s="100"/>
      <c r="W28" s="104"/>
      <c r="X28" s="100"/>
      <c r="Y28" s="109">
        <f ca="1">Table29[[#This Row],[5/9/2025]]+2-TODAY()</f>
        <v>347</v>
      </c>
      <c r="Z28" s="100">
        <f>IF(ISBLANK(Table29[[#This Row],[Roster Received By]]),1,0)</f>
        <v>1</v>
      </c>
      <c r="AA28" s="100">
        <f ca="1">IF(Table29[[#This Row],[5/5/2025]]&gt;TODAY(),1,)</f>
        <v>1</v>
      </c>
    </row>
    <row r="29" spans="1:27" s="106" customFormat="1" ht="14.25" customHeight="1" x14ac:dyDescent="0.25">
      <c r="A29" s="100" t="s">
        <v>254</v>
      </c>
      <c r="B29" s="99" t="s">
        <v>17</v>
      </c>
      <c r="C29" s="100" t="s">
        <v>137</v>
      </c>
      <c r="D29" s="100">
        <v>3682</v>
      </c>
      <c r="E29" s="99" t="s">
        <v>172</v>
      </c>
      <c r="F29" s="102">
        <v>45880</v>
      </c>
      <c r="G29" s="102">
        <v>45884</v>
      </c>
      <c r="H29" s="105">
        <v>0.33333333333333331</v>
      </c>
      <c r="I29" s="105"/>
      <c r="J29" s="102"/>
      <c r="K29" s="102"/>
      <c r="L29" s="102"/>
      <c r="M29" s="102"/>
      <c r="N29" s="102"/>
      <c r="O29" s="99" t="s">
        <v>94</v>
      </c>
      <c r="P29" s="99"/>
      <c r="Q29" s="104">
        <v>40</v>
      </c>
      <c r="R29" s="104">
        <v>5</v>
      </c>
      <c r="S29" s="104"/>
      <c r="T29" s="104"/>
      <c r="U29" s="100"/>
      <c r="V29" s="100"/>
      <c r="W29" s="104"/>
      <c r="X29" s="100"/>
      <c r="Y29" s="109">
        <f ca="1">Table29[[#This Row],[5/9/2025]]+2-TODAY()</f>
        <v>354</v>
      </c>
      <c r="Z29" s="100">
        <f>IF(ISBLANK(Table29[[#This Row],[Roster Received By]]),1,0)</f>
        <v>1</v>
      </c>
      <c r="AA29" s="100">
        <f ca="1">IF(Table29[[#This Row],[5/5/2025]]&gt;TODAY(),1,)</f>
        <v>1</v>
      </c>
    </row>
    <row r="30" spans="1:27" s="106" customFormat="1" ht="14.25" customHeight="1" x14ac:dyDescent="0.25">
      <c r="A30" s="100"/>
      <c r="B30" s="99" t="s">
        <v>17</v>
      </c>
      <c r="C30" s="100" t="s">
        <v>137</v>
      </c>
      <c r="D30" s="100">
        <v>3682</v>
      </c>
      <c r="E30" s="99" t="s">
        <v>272</v>
      </c>
      <c r="F30" s="102">
        <v>45894</v>
      </c>
      <c r="G30" s="102">
        <v>45898</v>
      </c>
      <c r="H30" s="105">
        <v>0.33333333333333331</v>
      </c>
      <c r="I30" s="105"/>
      <c r="J30" s="102"/>
      <c r="K30" s="102"/>
      <c r="L30" s="102"/>
      <c r="M30" s="102"/>
      <c r="N30" s="102"/>
      <c r="O30" s="99" t="s">
        <v>94</v>
      </c>
      <c r="P30" s="99"/>
      <c r="Q30" s="104">
        <v>40</v>
      </c>
      <c r="R30" s="104">
        <v>5</v>
      </c>
      <c r="S30" s="104"/>
      <c r="T30" s="104"/>
      <c r="U30" s="100"/>
      <c r="V30" s="100"/>
      <c r="W30" s="104"/>
      <c r="X30" s="100"/>
      <c r="Y30" s="109">
        <f ca="1">Table29[[#This Row],[5/9/2025]]+2-TODAY()</f>
        <v>368</v>
      </c>
      <c r="Z30" s="100">
        <f>IF(ISBLANK(Table29[[#This Row],[Roster Received By]]),1,0)</f>
        <v>1</v>
      </c>
      <c r="AA30" s="100">
        <f ca="1">IF(Table29[[#This Row],[5/5/2025]]&gt;TODAY(),1,)</f>
        <v>1</v>
      </c>
    </row>
    <row r="31" spans="1:27" s="139" customFormat="1" ht="14.25" customHeight="1" x14ac:dyDescent="0.25">
      <c r="A31" s="100"/>
      <c r="B31" s="99" t="s">
        <v>17</v>
      </c>
      <c r="C31" s="100" t="s">
        <v>137</v>
      </c>
      <c r="D31" s="100">
        <v>3682</v>
      </c>
      <c r="E31" s="99" t="s">
        <v>180</v>
      </c>
      <c r="F31" s="102">
        <v>45908</v>
      </c>
      <c r="G31" s="102">
        <v>45912</v>
      </c>
      <c r="H31" s="105">
        <v>0.33333333333333331</v>
      </c>
      <c r="I31" s="105"/>
      <c r="J31" s="102"/>
      <c r="K31" s="102"/>
      <c r="L31" s="102"/>
      <c r="M31" s="102"/>
      <c r="N31" s="102"/>
      <c r="O31" s="99" t="s">
        <v>94</v>
      </c>
      <c r="P31" s="99"/>
      <c r="Q31" s="104">
        <v>40</v>
      </c>
      <c r="R31" s="104">
        <v>5</v>
      </c>
      <c r="S31" s="104"/>
      <c r="T31" s="104"/>
      <c r="U31" s="100"/>
      <c r="V31" s="100"/>
      <c r="W31" s="104"/>
      <c r="X31" s="100"/>
      <c r="Y31" s="109">
        <f ca="1">Table29[[#This Row],[5/9/2025]]+2-TODAY()</f>
        <v>382</v>
      </c>
      <c r="Z31" s="100">
        <f>IF(ISBLANK(Table29[[#This Row],[Roster Received By]]),1,0)</f>
        <v>1</v>
      </c>
      <c r="AA31" s="100">
        <f ca="1">IF(Table29[[#This Row],[5/5/2025]]&gt;TODAY(),1,)</f>
        <v>1</v>
      </c>
    </row>
    <row r="32" spans="1:27" s="135" customFormat="1" ht="14.25" customHeight="1" x14ac:dyDescent="0.25">
      <c r="A32" s="100" t="s">
        <v>427</v>
      </c>
      <c r="B32" s="99" t="s">
        <v>17</v>
      </c>
      <c r="C32" s="100" t="s">
        <v>137</v>
      </c>
      <c r="D32" s="100">
        <v>3682</v>
      </c>
      <c r="E32" s="99" t="s">
        <v>227</v>
      </c>
      <c r="F32" s="102">
        <v>45922</v>
      </c>
      <c r="G32" s="102">
        <v>45926</v>
      </c>
      <c r="H32" s="105">
        <v>0.33333333333333331</v>
      </c>
      <c r="I32" s="105"/>
      <c r="J32" s="102"/>
      <c r="K32" s="102"/>
      <c r="L32" s="102"/>
      <c r="M32" s="102"/>
      <c r="N32" s="102"/>
      <c r="O32" s="99" t="s">
        <v>94</v>
      </c>
      <c r="P32" s="99"/>
      <c r="Q32" s="104">
        <v>40</v>
      </c>
      <c r="R32" s="104">
        <v>5</v>
      </c>
      <c r="S32" s="104"/>
      <c r="T32" s="104"/>
      <c r="U32" s="100"/>
      <c r="V32" s="100"/>
      <c r="W32" s="104"/>
      <c r="X32" s="100"/>
      <c r="Y32" s="109">
        <f ca="1">Table29[[#This Row],[5/9/2025]]+2-TODAY()</f>
        <v>396</v>
      </c>
      <c r="Z32" s="100">
        <f>IF(ISBLANK(Table29[[#This Row],[Roster Received By]]),1,0)</f>
        <v>1</v>
      </c>
      <c r="AA32" s="100">
        <f ca="1">IF(Table29[[#This Row],[5/5/2025]]&gt;TODAY(),1,)</f>
        <v>1</v>
      </c>
    </row>
    <row r="33" spans="1:27" s="135" customFormat="1" ht="14.25" customHeight="1" x14ac:dyDescent="0.25">
      <c r="A33" s="100"/>
      <c r="B33" s="99" t="s">
        <v>17</v>
      </c>
      <c r="C33" s="100" t="s">
        <v>137</v>
      </c>
      <c r="D33" s="100">
        <v>3682</v>
      </c>
      <c r="E33" s="99" t="s">
        <v>102</v>
      </c>
      <c r="F33" s="102" t="s">
        <v>649</v>
      </c>
      <c r="G33" s="102">
        <v>45835</v>
      </c>
      <c r="H33" s="105">
        <v>0.33333333333333331</v>
      </c>
      <c r="I33" s="105"/>
      <c r="J33" s="102"/>
      <c r="K33" s="102"/>
      <c r="L33" s="102"/>
      <c r="M33" s="102"/>
      <c r="N33" s="102"/>
      <c r="O33" s="99" t="s">
        <v>94</v>
      </c>
      <c r="P33" s="99"/>
      <c r="Q33" s="104">
        <v>40</v>
      </c>
      <c r="R33" s="104">
        <v>5</v>
      </c>
      <c r="S33" s="104"/>
      <c r="T33" s="104"/>
      <c r="U33" s="100"/>
      <c r="V33" s="100"/>
      <c r="W33" s="104"/>
      <c r="X33" s="100"/>
      <c r="Y33" s="109">
        <f ca="1">Table29[[#This Row],[5/9/2025]]+2-TODAY()</f>
        <v>305</v>
      </c>
      <c r="Z33" s="100">
        <f>IF(ISBLANK(Table29[[#This Row],[Roster Received By]]),1,0)</f>
        <v>1</v>
      </c>
      <c r="AA33" s="100">
        <f ca="1">IF(Table29[[#This Row],[5/5/2025]]&gt;TODAY(),1,)</f>
        <v>1</v>
      </c>
    </row>
    <row r="34" spans="1:27" s="106" customFormat="1" ht="14.25" customHeight="1" x14ac:dyDescent="0.25">
      <c r="A34" s="358" t="s">
        <v>650</v>
      </c>
      <c r="B34" s="355" t="s">
        <v>17</v>
      </c>
      <c r="C34" s="100" t="s">
        <v>137</v>
      </c>
      <c r="D34" s="100">
        <v>3682</v>
      </c>
      <c r="E34" s="99" t="s">
        <v>280</v>
      </c>
      <c r="F34" s="102">
        <v>45733</v>
      </c>
      <c r="G34" s="102">
        <v>45737</v>
      </c>
      <c r="H34" s="105">
        <v>0.33333333333333331</v>
      </c>
      <c r="I34" s="105"/>
      <c r="J34" s="102"/>
      <c r="K34" s="102"/>
      <c r="L34" s="102"/>
      <c r="M34" s="102"/>
      <c r="N34" s="102"/>
      <c r="O34" s="99" t="s">
        <v>94</v>
      </c>
      <c r="P34" s="99"/>
      <c r="Q34" s="104">
        <v>40</v>
      </c>
      <c r="R34" s="104">
        <v>5</v>
      </c>
      <c r="S34" s="104"/>
      <c r="T34" s="104"/>
      <c r="U34" s="100"/>
      <c r="V34" s="100"/>
      <c r="W34" s="104"/>
      <c r="X34" s="100"/>
      <c r="Y34" s="109">
        <f ca="1">Table29[[#This Row],[5/9/2025]]+2-TODAY()</f>
        <v>207</v>
      </c>
      <c r="Z34" s="100">
        <f>IF(ISBLANK(Table29[[#This Row],[Roster Received By]]),1,0)</f>
        <v>1</v>
      </c>
      <c r="AA34" s="100">
        <f ca="1">IF(Table29[[#This Row],[5/5/2025]]&gt;TODAY(),1,)</f>
        <v>1</v>
      </c>
    </row>
    <row r="35" spans="1:27" s="106" customFormat="1" ht="14.25" customHeight="1" x14ac:dyDescent="0.25">
      <c r="A35" s="358" t="s">
        <v>421</v>
      </c>
      <c r="B35" s="355" t="s">
        <v>17</v>
      </c>
      <c r="C35" s="100" t="s">
        <v>137</v>
      </c>
      <c r="D35" s="100">
        <v>3682</v>
      </c>
      <c r="E35" s="99" t="s">
        <v>289</v>
      </c>
      <c r="F35" s="102">
        <v>45849</v>
      </c>
      <c r="G35" s="102">
        <v>45853</v>
      </c>
      <c r="H35" s="105">
        <v>0.33333333333333331</v>
      </c>
      <c r="I35" s="105"/>
      <c r="J35" s="102"/>
      <c r="K35" s="102"/>
      <c r="L35" s="102"/>
      <c r="M35" s="102"/>
      <c r="N35" s="102"/>
      <c r="O35" s="99" t="s">
        <v>94</v>
      </c>
      <c r="P35" s="99"/>
      <c r="Q35" s="104">
        <v>40</v>
      </c>
      <c r="R35" s="104">
        <v>5</v>
      </c>
      <c r="S35" s="104"/>
      <c r="T35" s="104"/>
      <c r="U35" s="100"/>
      <c r="V35" s="100"/>
      <c r="W35" s="104"/>
      <c r="X35" s="100"/>
      <c r="Y35" s="109">
        <f ca="1">Table29[[#This Row],[5/9/2025]]+2-TODAY()</f>
        <v>323</v>
      </c>
      <c r="Z35" s="100">
        <f>IF(ISBLANK(Table29[[#This Row],[Roster Received By]]),1,0)</f>
        <v>1</v>
      </c>
      <c r="AA35" s="100">
        <f ca="1">IF(Table29[[#This Row],[5/5/2025]]&gt;TODAY(),1,)</f>
        <v>1</v>
      </c>
    </row>
    <row r="36" spans="1:27" s="106" customFormat="1" ht="14.25" customHeight="1" x14ac:dyDescent="0.25">
      <c r="A36" s="358" t="s">
        <v>424</v>
      </c>
      <c r="B36" s="355" t="s">
        <v>17</v>
      </c>
      <c r="C36" s="100" t="s">
        <v>137</v>
      </c>
      <c r="D36" s="100">
        <v>3682</v>
      </c>
      <c r="E36" s="99" t="s">
        <v>299</v>
      </c>
      <c r="F36" s="102">
        <v>45859</v>
      </c>
      <c r="G36" s="102">
        <v>45863</v>
      </c>
      <c r="H36" s="105">
        <v>0.33333333333333331</v>
      </c>
      <c r="I36" s="105"/>
      <c r="J36" s="102"/>
      <c r="K36" s="102"/>
      <c r="L36" s="102"/>
      <c r="M36" s="102"/>
      <c r="N36" s="102"/>
      <c r="O36" s="99" t="s">
        <v>94</v>
      </c>
      <c r="P36" s="99"/>
      <c r="Q36" s="104">
        <v>40</v>
      </c>
      <c r="R36" s="104">
        <v>5</v>
      </c>
      <c r="S36" s="104"/>
      <c r="T36" s="104"/>
      <c r="U36" s="100"/>
      <c r="V36" s="100"/>
      <c r="W36" s="104"/>
      <c r="X36" s="100"/>
      <c r="Y36" s="109">
        <f ca="1">Table29[[#This Row],[5/9/2025]]+2-TODAY()</f>
        <v>333</v>
      </c>
      <c r="Z36" s="100">
        <f>IF(ISBLANK(Table29[[#This Row],[Roster Received By]]),1,0)</f>
        <v>1</v>
      </c>
      <c r="AA36" s="100">
        <f ca="1">IF(Table29[[#This Row],[5/5/2025]]&gt;TODAY(),1,)</f>
        <v>1</v>
      </c>
    </row>
    <row r="37" spans="1:27" s="106" customFormat="1" ht="14.25" customHeight="1" x14ac:dyDescent="0.25">
      <c r="A37" s="358" t="s">
        <v>651</v>
      </c>
      <c r="B37" s="355" t="s">
        <v>17</v>
      </c>
      <c r="C37" s="100" t="s">
        <v>137</v>
      </c>
      <c r="D37" s="100">
        <v>3682</v>
      </c>
      <c r="E37" s="99" t="s">
        <v>238</v>
      </c>
      <c r="F37" s="102">
        <v>45663</v>
      </c>
      <c r="G37" s="102">
        <v>45667</v>
      </c>
      <c r="H37" s="105">
        <v>0.33333333333333331</v>
      </c>
      <c r="I37" s="105"/>
      <c r="J37" s="102"/>
      <c r="K37" s="102"/>
      <c r="L37" s="102"/>
      <c r="M37" s="102"/>
      <c r="N37" s="102"/>
      <c r="O37" s="99" t="s">
        <v>94</v>
      </c>
      <c r="P37" s="99"/>
      <c r="Q37" s="104">
        <v>40</v>
      </c>
      <c r="R37" s="104">
        <v>5</v>
      </c>
      <c r="S37" s="104"/>
      <c r="T37" s="104"/>
      <c r="U37" s="100"/>
      <c r="V37" s="100"/>
      <c r="W37" s="104"/>
      <c r="X37" s="100"/>
      <c r="Y37" s="109">
        <f ca="1">Table29[[#This Row],[5/9/2025]]+2-TODAY()</f>
        <v>137</v>
      </c>
      <c r="Z37" s="100">
        <f>IF(ISBLANK(Table29[[#This Row],[Roster Received By]]),1,0)</f>
        <v>1</v>
      </c>
      <c r="AA37" s="100">
        <f ca="1">IF(Table29[[#This Row],[5/5/2025]]&gt;TODAY(),1,)</f>
        <v>1</v>
      </c>
    </row>
    <row r="38" spans="1:27" s="106" customFormat="1" ht="14.25" customHeight="1" x14ac:dyDescent="0.25">
      <c r="A38" s="358" t="s">
        <v>652</v>
      </c>
      <c r="B38" s="355" t="s">
        <v>17</v>
      </c>
      <c r="C38" s="100" t="s">
        <v>137</v>
      </c>
      <c r="D38" s="100">
        <v>3682</v>
      </c>
      <c r="E38" s="99" t="s">
        <v>111</v>
      </c>
      <c r="F38" s="102">
        <v>45740</v>
      </c>
      <c r="G38" s="102">
        <v>45744</v>
      </c>
      <c r="H38" s="105">
        <v>0.33333333333333331</v>
      </c>
      <c r="I38" s="105"/>
      <c r="J38" s="102"/>
      <c r="K38" s="102"/>
      <c r="L38" s="102"/>
      <c r="M38" s="102"/>
      <c r="N38" s="102"/>
      <c r="O38" s="99" t="s">
        <v>94</v>
      </c>
      <c r="P38" s="99"/>
      <c r="Q38" s="104">
        <v>40</v>
      </c>
      <c r="R38" s="104">
        <v>5</v>
      </c>
      <c r="S38" s="104"/>
      <c r="T38" s="104"/>
      <c r="U38" s="100"/>
      <c r="V38" s="100"/>
      <c r="W38" s="104"/>
      <c r="X38" s="100"/>
      <c r="Y38" s="109">
        <f ca="1">Table29[[#This Row],[5/9/2025]]+2-TODAY()</f>
        <v>214</v>
      </c>
      <c r="Z38" s="100">
        <f>IF(ISBLANK(Table29[[#This Row],[Roster Received By]]),1,0)</f>
        <v>1</v>
      </c>
      <c r="AA38" s="100">
        <f ca="1">IF(Table29[[#This Row],[5/5/2025]]&gt;TODAY(),1,)</f>
        <v>1</v>
      </c>
    </row>
    <row r="39" spans="1:27" s="106" customFormat="1" ht="16.5" customHeight="1" x14ac:dyDescent="0.25">
      <c r="A39" s="100" t="s">
        <v>397</v>
      </c>
      <c r="B39" s="99" t="s">
        <v>17</v>
      </c>
      <c r="C39" s="100" t="s">
        <v>137</v>
      </c>
      <c r="D39" s="100">
        <v>3682</v>
      </c>
      <c r="E39" s="99" t="s">
        <v>132</v>
      </c>
      <c r="F39" s="102">
        <v>45887</v>
      </c>
      <c r="G39" s="102">
        <v>45891</v>
      </c>
      <c r="H39" s="105">
        <v>0.33333333333333331</v>
      </c>
      <c r="I39" s="105"/>
      <c r="J39" s="102"/>
      <c r="K39" s="102"/>
      <c r="L39" s="102"/>
      <c r="M39" s="102"/>
      <c r="N39" s="102"/>
      <c r="O39" s="99" t="s">
        <v>94</v>
      </c>
      <c r="P39" s="99"/>
      <c r="Q39" s="104">
        <v>40</v>
      </c>
      <c r="R39" s="104">
        <v>5</v>
      </c>
      <c r="S39" s="104"/>
      <c r="T39" s="104"/>
      <c r="U39" s="100"/>
      <c r="V39" s="100"/>
      <c r="W39" s="104"/>
      <c r="X39" s="100"/>
      <c r="Y39" s="109">
        <f ca="1">Table29[[#This Row],[5/9/2025]]+2-TODAY()</f>
        <v>361</v>
      </c>
      <c r="Z39" s="100">
        <f>IF(ISBLANK(Table29[[#This Row],[Roster Received By]]),1,0)</f>
        <v>1</v>
      </c>
      <c r="AA39" s="100">
        <f ca="1">IF(Table29[[#This Row],[5/5/2025]]&gt;TODAY(),1,)</f>
        <v>1</v>
      </c>
    </row>
    <row r="40" spans="1:27" s="106" customFormat="1" ht="16.5" customHeight="1" x14ac:dyDescent="0.25">
      <c r="A40" s="62" t="s">
        <v>387</v>
      </c>
      <c r="B40" s="99" t="s">
        <v>28</v>
      </c>
      <c r="C40" s="100" t="s">
        <v>140</v>
      </c>
      <c r="D40" s="100">
        <v>3683</v>
      </c>
      <c r="E40" s="99" t="s">
        <v>81</v>
      </c>
      <c r="F40" s="110">
        <v>45685</v>
      </c>
      <c r="G40" s="110">
        <v>45687</v>
      </c>
      <c r="H40" s="105">
        <v>0.33333333333333331</v>
      </c>
      <c r="I40" s="105"/>
      <c r="J40" s="102"/>
      <c r="K40" s="102"/>
      <c r="L40" s="102"/>
      <c r="M40" s="102"/>
      <c r="N40" s="102"/>
      <c r="O40" s="99" t="s">
        <v>94</v>
      </c>
      <c r="P40" s="99"/>
      <c r="Q40" s="103">
        <v>40</v>
      </c>
      <c r="R40" s="104">
        <v>3</v>
      </c>
      <c r="S40" s="103"/>
      <c r="T40" s="103"/>
      <c r="U40" s="15"/>
      <c r="V40" s="15"/>
      <c r="W40" s="15"/>
      <c r="X40" s="62"/>
      <c r="Y40" s="71">
        <f ca="1">Table29[[#This Row],[5/9/2025]]+2-TODAY()</f>
        <v>157</v>
      </c>
      <c r="Z40" s="15">
        <f>IF(ISBLANK(Table29[[#This Row],[Roster Received By]]),1,0)</f>
        <v>1</v>
      </c>
      <c r="AA40" s="15">
        <f ca="1">IF(Table29[[#This Row],[5/5/2025]]&gt;TODAY(),1,)</f>
        <v>1</v>
      </c>
    </row>
    <row r="41" spans="1:27" s="106" customFormat="1" ht="14.25" customHeight="1" x14ac:dyDescent="0.25">
      <c r="A41" s="100" t="s">
        <v>400</v>
      </c>
      <c r="B41" s="99" t="s">
        <v>28</v>
      </c>
      <c r="C41" s="100" t="s">
        <v>140</v>
      </c>
      <c r="D41" s="100">
        <v>3683</v>
      </c>
      <c r="E41" s="99" t="s">
        <v>295</v>
      </c>
      <c r="F41" s="102">
        <v>45761</v>
      </c>
      <c r="G41" s="102">
        <v>45763</v>
      </c>
      <c r="H41" s="105">
        <v>0.33333333333333331</v>
      </c>
      <c r="I41" s="105"/>
      <c r="J41" s="102"/>
      <c r="K41" s="102"/>
      <c r="L41" s="102"/>
      <c r="M41" s="102"/>
      <c r="N41" s="102"/>
      <c r="O41" s="99" t="s">
        <v>94</v>
      </c>
      <c r="P41" s="99"/>
      <c r="Q41" s="104">
        <v>40</v>
      </c>
      <c r="R41" s="104">
        <v>3</v>
      </c>
      <c r="S41" s="104"/>
      <c r="T41" s="104"/>
      <c r="U41" s="100"/>
      <c r="V41" s="100"/>
      <c r="W41" s="104"/>
      <c r="X41" s="100"/>
      <c r="Y41" s="109">
        <f ca="1">Table29[[#This Row],[5/9/2025]]+2-TODAY()</f>
        <v>233</v>
      </c>
      <c r="Z41" s="100">
        <f>IF(ISBLANK(Table29[[#This Row],[Roster Received By]]),1,0)</f>
        <v>1</v>
      </c>
      <c r="AA41" s="100">
        <f ca="1">IF(Table29[[#This Row],[5/5/2025]]&gt;TODAY(),1,)</f>
        <v>1</v>
      </c>
    </row>
    <row r="42" spans="1:27" s="106" customFormat="1" ht="14.25" customHeight="1" x14ac:dyDescent="0.25">
      <c r="A42" s="100"/>
      <c r="B42" s="99" t="s">
        <v>28</v>
      </c>
      <c r="C42" s="100" t="s">
        <v>140</v>
      </c>
      <c r="D42" s="100">
        <v>3683</v>
      </c>
      <c r="E42" s="99" t="s">
        <v>277</v>
      </c>
      <c r="F42" s="102">
        <v>45769</v>
      </c>
      <c r="G42" s="102">
        <v>45771</v>
      </c>
      <c r="H42" s="105">
        <v>0.33333333333333331</v>
      </c>
      <c r="I42" s="105"/>
      <c r="J42" s="102"/>
      <c r="K42" s="102"/>
      <c r="L42" s="102"/>
      <c r="M42" s="102"/>
      <c r="N42" s="102"/>
      <c r="O42" s="99" t="s">
        <v>94</v>
      </c>
      <c r="P42" s="99"/>
      <c r="Q42" s="104">
        <v>40</v>
      </c>
      <c r="R42" s="104">
        <v>3</v>
      </c>
      <c r="S42" s="104"/>
      <c r="T42" s="104"/>
      <c r="U42" s="100"/>
      <c r="V42" s="100"/>
      <c r="W42" s="104"/>
      <c r="X42" s="100"/>
      <c r="Y42" s="109">
        <f ca="1">Table29[[#This Row],[5/9/2025]]+2-TODAY()</f>
        <v>241</v>
      </c>
      <c r="Z42" s="100">
        <f>IF(ISBLANK(Table29[[#This Row],[Roster Received By]]),1,0)</f>
        <v>1</v>
      </c>
      <c r="AA42" s="100">
        <f ca="1">IF(Table29[[#This Row],[5/5/2025]]&gt;TODAY(),1,)</f>
        <v>1</v>
      </c>
    </row>
    <row r="43" spans="1:27" s="106" customFormat="1" ht="14.25" customHeight="1" x14ac:dyDescent="0.25">
      <c r="A43" s="100" t="s">
        <v>405</v>
      </c>
      <c r="B43" s="99" t="s">
        <v>28</v>
      </c>
      <c r="C43" s="100" t="s">
        <v>140</v>
      </c>
      <c r="D43" s="100">
        <v>3683</v>
      </c>
      <c r="E43" s="99" t="s">
        <v>189</v>
      </c>
      <c r="F43" s="102">
        <v>45775</v>
      </c>
      <c r="G43" s="102">
        <v>45777</v>
      </c>
      <c r="H43" s="105">
        <v>0.33333333333333331</v>
      </c>
      <c r="I43" s="105"/>
      <c r="J43" s="102"/>
      <c r="K43" s="102"/>
      <c r="L43" s="102"/>
      <c r="M43" s="102"/>
      <c r="N43" s="102"/>
      <c r="O43" s="99" t="s">
        <v>94</v>
      </c>
      <c r="P43" s="99"/>
      <c r="Q43" s="104">
        <v>40</v>
      </c>
      <c r="R43" s="104">
        <v>3</v>
      </c>
      <c r="S43" s="104"/>
      <c r="T43" s="104"/>
      <c r="U43" s="100"/>
      <c r="V43" s="100"/>
      <c r="W43" s="104"/>
      <c r="X43" s="100"/>
      <c r="Y43" s="109">
        <f ca="1">Table29[[#This Row],[5/9/2025]]+2-TODAY()</f>
        <v>247</v>
      </c>
      <c r="Z43" s="100">
        <f>IF(ISBLANK(Table29[[#This Row],[Roster Received By]]),1,0)</f>
        <v>1</v>
      </c>
      <c r="AA43" s="100">
        <f ca="1">IF(Table29[[#This Row],[5/5/2025]]&gt;TODAY(),1,)</f>
        <v>1</v>
      </c>
    </row>
    <row r="44" spans="1:27" s="106" customFormat="1" ht="14.25" customHeight="1" x14ac:dyDescent="0.25">
      <c r="A44" s="100" t="s">
        <v>406</v>
      </c>
      <c r="B44" s="99" t="s">
        <v>28</v>
      </c>
      <c r="C44" s="100" t="s">
        <v>140</v>
      </c>
      <c r="D44" s="100">
        <v>3683</v>
      </c>
      <c r="E44" s="99" t="s">
        <v>301</v>
      </c>
      <c r="F44" s="102">
        <v>45778</v>
      </c>
      <c r="G44" s="102">
        <v>45782</v>
      </c>
      <c r="H44" s="105">
        <v>0.33333333333333331</v>
      </c>
      <c r="I44" s="105"/>
      <c r="J44" s="102"/>
      <c r="K44" s="102"/>
      <c r="L44" s="102"/>
      <c r="M44" s="102"/>
      <c r="N44" s="102"/>
      <c r="O44" s="99" t="s">
        <v>94</v>
      </c>
      <c r="P44" s="99"/>
      <c r="Q44" s="104">
        <v>40</v>
      </c>
      <c r="R44" s="104">
        <v>3</v>
      </c>
      <c r="S44" s="104"/>
      <c r="T44" s="104"/>
      <c r="U44" s="100"/>
      <c r="V44" s="100"/>
      <c r="W44" s="104"/>
      <c r="X44" s="100"/>
      <c r="Y44" s="109">
        <f ca="1">Table29[[#This Row],[5/9/2025]]+2-TODAY()</f>
        <v>252</v>
      </c>
      <c r="Z44" s="100">
        <f>IF(ISBLANK(Table29[[#This Row],[Roster Received By]]),1,0)</f>
        <v>1</v>
      </c>
      <c r="AA44" s="100">
        <f ca="1">IF(Table29[[#This Row],[5/5/2025]]&gt;TODAY(),1,)</f>
        <v>1</v>
      </c>
    </row>
    <row r="45" spans="1:27" s="106" customFormat="1" ht="14.25" customHeight="1" x14ac:dyDescent="0.25">
      <c r="A45" s="100" t="s">
        <v>407</v>
      </c>
      <c r="B45" s="99" t="s">
        <v>28</v>
      </c>
      <c r="C45" s="100" t="s">
        <v>140</v>
      </c>
      <c r="D45" s="100">
        <v>3683</v>
      </c>
      <c r="E45" s="99" t="s">
        <v>91</v>
      </c>
      <c r="F45" s="102">
        <v>45783</v>
      </c>
      <c r="G45" s="102">
        <v>45785</v>
      </c>
      <c r="H45" s="105">
        <v>0.33333333333333331</v>
      </c>
      <c r="I45" s="105"/>
      <c r="J45" s="102"/>
      <c r="K45" s="102"/>
      <c r="L45" s="102"/>
      <c r="M45" s="102"/>
      <c r="N45" s="102"/>
      <c r="O45" s="99" t="s">
        <v>94</v>
      </c>
      <c r="P45" s="99"/>
      <c r="Q45" s="104">
        <v>40</v>
      </c>
      <c r="R45" s="104">
        <v>3</v>
      </c>
      <c r="S45" s="104"/>
      <c r="T45" s="104"/>
      <c r="U45" s="100"/>
      <c r="V45" s="100"/>
      <c r="W45" s="104"/>
      <c r="X45" s="100"/>
      <c r="Y45" s="109">
        <f ca="1">Table29[[#This Row],[5/9/2025]]+2-TODAY()</f>
        <v>255</v>
      </c>
      <c r="Z45" s="100">
        <f>IF(ISBLANK(Table29[[#This Row],[Roster Received By]]),1,0)</f>
        <v>1</v>
      </c>
      <c r="AA45" s="100">
        <f ca="1">IF(Table29[[#This Row],[5/5/2025]]&gt;TODAY(),1,)</f>
        <v>1</v>
      </c>
    </row>
    <row r="46" spans="1:27" s="106" customFormat="1" x14ac:dyDescent="0.25">
      <c r="A46" s="100" t="s">
        <v>408</v>
      </c>
      <c r="B46" s="99" t="s">
        <v>28</v>
      </c>
      <c r="C46" s="100" t="s">
        <v>140</v>
      </c>
      <c r="D46" s="100">
        <v>3683</v>
      </c>
      <c r="E46" s="99" t="s">
        <v>263</v>
      </c>
      <c r="F46" s="102">
        <v>45783</v>
      </c>
      <c r="G46" s="102">
        <v>45785</v>
      </c>
      <c r="H46" s="105">
        <v>0.33333333333333331</v>
      </c>
      <c r="I46" s="105"/>
      <c r="J46" s="102"/>
      <c r="K46" s="102"/>
      <c r="L46" s="102"/>
      <c r="M46" s="102"/>
      <c r="N46" s="102"/>
      <c r="O46" s="99" t="s">
        <v>94</v>
      </c>
      <c r="P46" s="99"/>
      <c r="Q46" s="104">
        <v>40</v>
      </c>
      <c r="R46" s="104">
        <v>3</v>
      </c>
      <c r="S46" s="104"/>
      <c r="T46" s="104"/>
      <c r="U46" s="100"/>
      <c r="V46" s="100"/>
      <c r="W46" s="104"/>
      <c r="X46" s="100"/>
      <c r="Y46" s="109">
        <f ca="1">Table29[[#This Row],[5/9/2025]]+2-TODAY()</f>
        <v>255</v>
      </c>
      <c r="Z46" s="100">
        <f>IF(ISBLANK(Table29[[#This Row],[Roster Received By]]),1,0)</f>
        <v>1</v>
      </c>
      <c r="AA46" s="100">
        <f ca="1">IF(Table29[[#This Row],[5/5/2025]]&gt;TODAY(),1,)</f>
        <v>1</v>
      </c>
    </row>
    <row r="47" spans="1:27" s="106" customFormat="1" x14ac:dyDescent="0.25">
      <c r="A47" s="100" t="s">
        <v>405</v>
      </c>
      <c r="B47" s="99" t="s">
        <v>28</v>
      </c>
      <c r="C47" s="100" t="s">
        <v>140</v>
      </c>
      <c r="D47" s="100">
        <v>3683</v>
      </c>
      <c r="E47" s="99" t="s">
        <v>187</v>
      </c>
      <c r="F47" s="102">
        <v>45789</v>
      </c>
      <c r="G47" s="102">
        <v>45791</v>
      </c>
      <c r="H47" s="105">
        <v>0.33333333333333331</v>
      </c>
      <c r="I47" s="105"/>
      <c r="J47" s="102"/>
      <c r="K47" s="102"/>
      <c r="L47" s="102"/>
      <c r="M47" s="102"/>
      <c r="N47" s="102"/>
      <c r="O47" s="99" t="s">
        <v>94</v>
      </c>
      <c r="P47" s="99"/>
      <c r="Q47" s="104">
        <v>40</v>
      </c>
      <c r="R47" s="104">
        <v>3</v>
      </c>
      <c r="S47" s="104"/>
      <c r="T47" s="104"/>
      <c r="U47" s="100"/>
      <c r="V47" s="100"/>
      <c r="W47" s="104"/>
      <c r="X47" s="100"/>
      <c r="Y47" s="109">
        <f ca="1">Table29[[#This Row],[5/9/2025]]+2-TODAY()</f>
        <v>261</v>
      </c>
      <c r="Z47" s="100">
        <f>IF(ISBLANK(Table29[[#This Row],[Roster Received By]]),1,0)</f>
        <v>1</v>
      </c>
      <c r="AA47" s="100">
        <f ca="1">IF(Table29[[#This Row],[5/5/2025]]&gt;TODAY(),1,)</f>
        <v>1</v>
      </c>
    </row>
    <row r="48" spans="1:27" s="106" customFormat="1" x14ac:dyDescent="0.25">
      <c r="A48" s="100" t="s">
        <v>412</v>
      </c>
      <c r="B48" s="99" t="s">
        <v>28</v>
      </c>
      <c r="C48" s="100" t="s">
        <v>140</v>
      </c>
      <c r="D48" s="100">
        <v>3683</v>
      </c>
      <c r="E48" s="99" t="s">
        <v>224</v>
      </c>
      <c r="F48" s="102">
        <v>45811</v>
      </c>
      <c r="G48" s="102">
        <v>45813</v>
      </c>
      <c r="H48" s="105">
        <v>0.33333333333333331</v>
      </c>
      <c r="I48" s="105"/>
      <c r="J48" s="102"/>
      <c r="K48" s="102"/>
      <c r="L48" s="102"/>
      <c r="M48" s="102"/>
      <c r="N48" s="102"/>
      <c r="O48" s="99" t="s">
        <v>94</v>
      </c>
      <c r="P48" s="99"/>
      <c r="Q48" s="104">
        <v>40</v>
      </c>
      <c r="R48" s="104">
        <v>3</v>
      </c>
      <c r="S48" s="104"/>
      <c r="T48" s="104"/>
      <c r="U48" s="100"/>
      <c r="V48" s="100"/>
      <c r="W48" s="104"/>
      <c r="X48" s="100"/>
      <c r="Y48" s="109">
        <f ca="1">Table29[[#This Row],[5/9/2025]]+2-TODAY()</f>
        <v>283</v>
      </c>
      <c r="Z48" s="100">
        <f>IF(ISBLANK(Table29[[#This Row],[Roster Received By]]),1,0)</f>
        <v>1</v>
      </c>
      <c r="AA48" s="100">
        <f ca="1">IF(Table29[[#This Row],[5/5/2025]]&gt;TODAY(),1,)</f>
        <v>1</v>
      </c>
    </row>
    <row r="49" spans="1:27" s="106" customFormat="1" x14ac:dyDescent="0.25">
      <c r="A49" s="100"/>
      <c r="B49" s="99" t="s">
        <v>28</v>
      </c>
      <c r="C49" s="100" t="s">
        <v>140</v>
      </c>
      <c r="D49" s="100">
        <v>3683</v>
      </c>
      <c r="E49" s="99" t="s">
        <v>259</v>
      </c>
      <c r="F49" s="102">
        <v>45832</v>
      </c>
      <c r="G49" s="102">
        <v>45834</v>
      </c>
      <c r="H49" s="105">
        <v>0.33333333333333331</v>
      </c>
      <c r="I49" s="105"/>
      <c r="J49" s="102"/>
      <c r="K49" s="102"/>
      <c r="L49" s="102"/>
      <c r="M49" s="102"/>
      <c r="N49" s="102"/>
      <c r="O49" s="99" t="s">
        <v>94</v>
      </c>
      <c r="P49" s="99"/>
      <c r="Q49" s="104">
        <v>40</v>
      </c>
      <c r="R49" s="104">
        <v>3</v>
      </c>
      <c r="S49" s="104"/>
      <c r="T49" s="104"/>
      <c r="U49" s="100"/>
      <c r="V49" s="100"/>
      <c r="W49" s="104"/>
      <c r="X49" s="100"/>
      <c r="Y49" s="109">
        <f ca="1">Table29[[#This Row],[5/9/2025]]+2-TODAY()</f>
        <v>304</v>
      </c>
      <c r="Z49" s="100">
        <f>IF(ISBLANK(Table29[[#This Row],[Roster Received By]]),1,0)</f>
        <v>1</v>
      </c>
      <c r="AA49" s="100">
        <f ca="1">IF(Table29[[#This Row],[5/5/2025]]&gt;TODAY(),1,)</f>
        <v>1</v>
      </c>
    </row>
    <row r="50" spans="1:27" s="106" customFormat="1" x14ac:dyDescent="0.25">
      <c r="A50" s="100"/>
      <c r="B50" s="99" t="s">
        <v>28</v>
      </c>
      <c r="C50" s="100" t="s">
        <v>140</v>
      </c>
      <c r="D50" s="100">
        <v>3683</v>
      </c>
      <c r="E50" s="99" t="s">
        <v>275</v>
      </c>
      <c r="F50" s="102">
        <v>45838</v>
      </c>
      <c r="G50" s="102">
        <v>45840</v>
      </c>
      <c r="H50" s="105">
        <v>0.33333333333333331</v>
      </c>
      <c r="I50" s="105"/>
      <c r="J50" s="102"/>
      <c r="K50" s="102"/>
      <c r="L50" s="102"/>
      <c r="M50" s="102"/>
      <c r="N50" s="102"/>
      <c r="O50" s="99" t="s">
        <v>94</v>
      </c>
      <c r="P50" s="99"/>
      <c r="Q50" s="104">
        <v>40</v>
      </c>
      <c r="R50" s="104">
        <v>3</v>
      </c>
      <c r="S50" s="104"/>
      <c r="T50" s="104"/>
      <c r="U50" s="100"/>
      <c r="V50" s="100"/>
      <c r="W50" s="104"/>
      <c r="X50" s="100"/>
      <c r="Y50" s="109">
        <f ca="1">Table29[[#This Row],[5/9/2025]]+2-TODAY()</f>
        <v>310</v>
      </c>
      <c r="Z50" s="100">
        <f>IF(ISBLANK(Table29[[#This Row],[Roster Received By]]),1,0)</f>
        <v>1</v>
      </c>
      <c r="AA50" s="100">
        <f ca="1">IF(Table29[[#This Row],[5/5/2025]]&gt;TODAY(),1,)</f>
        <v>1</v>
      </c>
    </row>
    <row r="51" spans="1:27" s="106" customFormat="1" x14ac:dyDescent="0.25">
      <c r="A51" s="100" t="s">
        <v>422</v>
      </c>
      <c r="B51" s="99" t="s">
        <v>28</v>
      </c>
      <c r="C51" s="100" t="s">
        <v>140</v>
      </c>
      <c r="D51" s="100">
        <v>3683</v>
      </c>
      <c r="E51" s="99" t="s">
        <v>86</v>
      </c>
      <c r="F51" s="102">
        <v>45846</v>
      </c>
      <c r="G51" s="102">
        <v>45848</v>
      </c>
      <c r="H51" s="105">
        <v>0.33333333333333331</v>
      </c>
      <c r="I51" s="105"/>
      <c r="J51" s="102"/>
      <c r="K51" s="102"/>
      <c r="L51" s="102"/>
      <c r="M51" s="102"/>
      <c r="N51" s="102"/>
      <c r="O51" s="99" t="s">
        <v>94</v>
      </c>
      <c r="P51" s="99"/>
      <c r="Q51" s="104">
        <v>40</v>
      </c>
      <c r="R51" s="104">
        <v>3</v>
      </c>
      <c r="S51" s="104"/>
      <c r="T51" s="104"/>
      <c r="U51" s="100"/>
      <c r="V51" s="100"/>
      <c r="W51" s="104"/>
      <c r="X51" s="100"/>
      <c r="Y51" s="109">
        <f ca="1">Table29[[#This Row],[5/9/2025]]+2-TODAY()</f>
        <v>318</v>
      </c>
      <c r="Z51" s="100">
        <f>IF(ISBLANK(Table29[[#This Row],[Roster Received By]]),1,0)</f>
        <v>1</v>
      </c>
      <c r="AA51" s="100">
        <f ca="1">IF(Table29[[#This Row],[5/5/2025]]&gt;TODAY(),1,)</f>
        <v>1</v>
      </c>
    </row>
    <row r="52" spans="1:27" s="106" customFormat="1" x14ac:dyDescent="0.25">
      <c r="A52" s="100"/>
      <c r="B52" s="99" t="s">
        <v>28</v>
      </c>
      <c r="C52" s="100" t="s">
        <v>140</v>
      </c>
      <c r="D52" s="100">
        <v>3683</v>
      </c>
      <c r="E52" s="99" t="s">
        <v>142</v>
      </c>
      <c r="F52" s="102">
        <v>45853</v>
      </c>
      <c r="G52" s="102">
        <v>45855</v>
      </c>
      <c r="H52" s="105">
        <v>0.33333333333333331</v>
      </c>
      <c r="I52" s="105"/>
      <c r="J52" s="102"/>
      <c r="K52" s="102"/>
      <c r="L52" s="102"/>
      <c r="M52" s="102"/>
      <c r="N52" s="102"/>
      <c r="O52" s="99" t="s">
        <v>94</v>
      </c>
      <c r="P52" s="99"/>
      <c r="Q52" s="104">
        <v>40</v>
      </c>
      <c r="R52" s="104">
        <v>3</v>
      </c>
      <c r="S52" s="104"/>
      <c r="T52" s="104"/>
      <c r="U52" s="100"/>
      <c r="V52" s="100"/>
      <c r="W52" s="104"/>
      <c r="X52" s="100"/>
      <c r="Y52" s="109">
        <f ca="1">Table29[[#This Row],[5/9/2025]]+2-TODAY()</f>
        <v>325</v>
      </c>
      <c r="Z52" s="100">
        <f>IF(ISBLANK(Table29[[#This Row],[Roster Received By]]),1,0)</f>
        <v>1</v>
      </c>
      <c r="AA52" s="100">
        <f ca="1">IF(Table29[[#This Row],[5/5/2025]]&gt;TODAY(),1,)</f>
        <v>1</v>
      </c>
    </row>
    <row r="53" spans="1:27" s="106" customFormat="1" x14ac:dyDescent="0.25">
      <c r="A53" s="100"/>
      <c r="B53" s="99" t="s">
        <v>28</v>
      </c>
      <c r="C53" s="100" t="s">
        <v>140</v>
      </c>
      <c r="D53" s="100">
        <v>3683</v>
      </c>
      <c r="E53" s="99" t="s">
        <v>266</v>
      </c>
      <c r="F53" s="102">
        <v>45860</v>
      </c>
      <c r="G53" s="102">
        <v>45862</v>
      </c>
      <c r="H53" s="105">
        <v>0.33333333333333331</v>
      </c>
      <c r="I53" s="105"/>
      <c r="J53" s="102"/>
      <c r="K53" s="102"/>
      <c r="L53" s="102"/>
      <c r="M53" s="102"/>
      <c r="N53" s="102"/>
      <c r="O53" s="99" t="s">
        <v>94</v>
      </c>
      <c r="P53" s="99"/>
      <c r="Q53" s="104">
        <v>40</v>
      </c>
      <c r="R53" s="104">
        <v>3</v>
      </c>
      <c r="S53" s="104"/>
      <c r="T53" s="104"/>
      <c r="U53" s="100"/>
      <c r="V53" s="100"/>
      <c r="W53" s="104"/>
      <c r="X53" s="100"/>
      <c r="Y53" s="109">
        <f ca="1">Table29[[#This Row],[5/9/2025]]+2-TODAY()</f>
        <v>332</v>
      </c>
      <c r="Z53" s="100">
        <f>IF(ISBLANK(Table29[[#This Row],[Roster Received By]]),1,0)</f>
        <v>1</v>
      </c>
      <c r="AA53" s="100">
        <f ca="1">IF(Table29[[#This Row],[5/5/2025]]&gt;TODAY(),1,)</f>
        <v>1</v>
      </c>
    </row>
    <row r="54" spans="1:27" s="106" customFormat="1" x14ac:dyDescent="0.25">
      <c r="A54" s="100"/>
      <c r="B54" s="99" t="s">
        <v>28</v>
      </c>
      <c r="C54" s="100" t="s">
        <v>140</v>
      </c>
      <c r="D54" s="100">
        <v>3683</v>
      </c>
      <c r="E54" s="99" t="s">
        <v>168</v>
      </c>
      <c r="F54" s="102">
        <v>45882</v>
      </c>
      <c r="G54" s="102">
        <v>45884</v>
      </c>
      <c r="H54" s="105">
        <v>0.33333333333333331</v>
      </c>
      <c r="I54" s="105"/>
      <c r="J54" s="102"/>
      <c r="K54" s="102"/>
      <c r="L54" s="102"/>
      <c r="M54" s="102"/>
      <c r="N54" s="102"/>
      <c r="O54" s="99" t="s">
        <v>94</v>
      </c>
      <c r="P54" s="99"/>
      <c r="Q54" s="104">
        <v>40</v>
      </c>
      <c r="R54" s="104">
        <v>3</v>
      </c>
      <c r="S54" s="104"/>
      <c r="T54" s="104"/>
      <c r="U54" s="100"/>
      <c r="V54" s="100"/>
      <c r="W54" s="104"/>
      <c r="X54" s="100"/>
      <c r="Y54" s="109">
        <f ca="1">Table29[[#This Row],[5/9/2025]]+2-TODAY()</f>
        <v>354</v>
      </c>
      <c r="Z54" s="100">
        <f>IF(ISBLANK(Table29[[#This Row],[Roster Received By]]),1,0)</f>
        <v>1</v>
      </c>
      <c r="AA54" s="100">
        <f ca="1">IF(Table29[[#This Row],[5/5/2025]]&gt;TODAY(),1,)</f>
        <v>1</v>
      </c>
    </row>
    <row r="55" spans="1:27" s="135" customFormat="1" x14ac:dyDescent="0.25">
      <c r="A55" s="100"/>
      <c r="B55" s="99" t="s">
        <v>28</v>
      </c>
      <c r="C55" s="100" t="s">
        <v>140</v>
      </c>
      <c r="D55" s="100">
        <v>3683</v>
      </c>
      <c r="E55" s="99" t="s">
        <v>161</v>
      </c>
      <c r="F55" s="102">
        <v>45895</v>
      </c>
      <c r="G55" s="102">
        <v>45897</v>
      </c>
      <c r="H55" s="105">
        <v>0.33333333333333331</v>
      </c>
      <c r="I55" s="105"/>
      <c r="J55" s="102"/>
      <c r="K55" s="102"/>
      <c r="L55" s="102"/>
      <c r="M55" s="102"/>
      <c r="N55" s="102"/>
      <c r="O55" s="99" t="s">
        <v>94</v>
      </c>
      <c r="P55" s="99"/>
      <c r="Q55" s="104">
        <v>40</v>
      </c>
      <c r="R55" s="104">
        <v>3</v>
      </c>
      <c r="S55" s="104"/>
      <c r="T55" s="104"/>
      <c r="U55" s="100"/>
      <c r="V55" s="100"/>
      <c r="W55" s="104"/>
      <c r="X55" s="100"/>
      <c r="Y55" s="109">
        <f ca="1">Table29[[#This Row],[5/9/2025]]+2-TODAY()</f>
        <v>367</v>
      </c>
      <c r="Z55" s="100">
        <f>IF(ISBLANK(Table29[[#This Row],[Roster Received By]]),1,0)</f>
        <v>1</v>
      </c>
      <c r="AA55" s="100">
        <f ca="1">IF(Table29[[#This Row],[5/5/2025]]&gt;TODAY(),1,)</f>
        <v>1</v>
      </c>
    </row>
    <row r="56" spans="1:27" s="106" customFormat="1" x14ac:dyDescent="0.25">
      <c r="A56" s="100"/>
      <c r="B56" s="99" t="s">
        <v>28</v>
      </c>
      <c r="C56" s="100" t="s">
        <v>140</v>
      </c>
      <c r="D56" s="100">
        <v>3683</v>
      </c>
      <c r="E56" s="99" t="s">
        <v>306</v>
      </c>
      <c r="F56" s="102">
        <v>45917</v>
      </c>
      <c r="G56" s="102">
        <v>45919</v>
      </c>
      <c r="H56" s="105">
        <v>0.33333333333333331</v>
      </c>
      <c r="I56" s="105"/>
      <c r="J56" s="102"/>
      <c r="K56" s="102"/>
      <c r="L56" s="102"/>
      <c r="M56" s="102"/>
      <c r="N56" s="102"/>
      <c r="O56" s="99" t="s">
        <v>94</v>
      </c>
      <c r="P56" s="99"/>
      <c r="Q56" s="104">
        <v>40</v>
      </c>
      <c r="R56" s="104">
        <v>3</v>
      </c>
      <c r="S56" s="104"/>
      <c r="T56" s="104"/>
      <c r="U56" s="100"/>
      <c r="V56" s="100"/>
      <c r="W56" s="104"/>
      <c r="X56" s="100"/>
      <c r="Y56" s="109">
        <f ca="1">Table29[[#This Row],[5/9/2025]]+2-TODAY()</f>
        <v>389</v>
      </c>
      <c r="Z56" s="100">
        <f>IF(ISBLANK(Table29[[#This Row],[Roster Received By]]),1,0)</f>
        <v>1</v>
      </c>
      <c r="AA56" s="100">
        <f ca="1">IF(Table29[[#This Row],[5/5/2025]]&gt;TODAY(),1,)</f>
        <v>1</v>
      </c>
    </row>
    <row r="57" spans="1:27" s="106" customFormat="1" x14ac:dyDescent="0.25">
      <c r="A57" s="100" t="s">
        <v>428</v>
      </c>
      <c r="B57" s="99" t="s">
        <v>28</v>
      </c>
      <c r="C57" s="100" t="s">
        <v>140</v>
      </c>
      <c r="D57" s="100">
        <v>3683</v>
      </c>
      <c r="E57" s="99" t="s">
        <v>279</v>
      </c>
      <c r="F57" s="102">
        <v>45924</v>
      </c>
      <c r="G57" s="102">
        <v>45926</v>
      </c>
      <c r="H57" s="105">
        <v>0.33333333333333331</v>
      </c>
      <c r="I57" s="105"/>
      <c r="J57" s="102"/>
      <c r="K57" s="102"/>
      <c r="L57" s="102"/>
      <c r="M57" s="102"/>
      <c r="N57" s="102"/>
      <c r="O57" s="99" t="s">
        <v>94</v>
      </c>
      <c r="P57" s="99"/>
      <c r="Q57" s="104">
        <v>40</v>
      </c>
      <c r="R57" s="104">
        <v>3</v>
      </c>
      <c r="S57" s="104"/>
      <c r="T57" s="104"/>
      <c r="U57" s="100"/>
      <c r="V57" s="100"/>
      <c r="W57" s="104"/>
      <c r="X57" s="100"/>
      <c r="Y57" s="109">
        <f ca="1">Table29[[#This Row],[5/9/2025]]+2-TODAY()</f>
        <v>396</v>
      </c>
      <c r="Z57" s="100">
        <f>IF(ISBLANK(Table29[[#This Row],[Roster Received By]]),1,0)</f>
        <v>1</v>
      </c>
      <c r="AA57" s="100">
        <f ca="1">IF(Table29[[#This Row],[5/5/2025]]&gt;TODAY(),1,)</f>
        <v>1</v>
      </c>
    </row>
    <row r="58" spans="1:27" s="106" customFormat="1" x14ac:dyDescent="0.25">
      <c r="A58" s="358" t="s">
        <v>653</v>
      </c>
      <c r="B58" s="355" t="s">
        <v>28</v>
      </c>
      <c r="C58" s="100" t="s">
        <v>140</v>
      </c>
      <c r="D58" s="100">
        <v>3683</v>
      </c>
      <c r="E58" s="99" t="s">
        <v>282</v>
      </c>
      <c r="F58" s="102">
        <v>45699</v>
      </c>
      <c r="G58" s="102">
        <v>45701</v>
      </c>
      <c r="H58" s="105">
        <v>0.33333333333333331</v>
      </c>
      <c r="I58" s="105"/>
      <c r="J58" s="102"/>
      <c r="K58" s="102"/>
      <c r="L58" s="102"/>
      <c r="M58" s="102"/>
      <c r="N58" s="102"/>
      <c r="O58" s="99" t="s">
        <v>94</v>
      </c>
      <c r="P58" s="99"/>
      <c r="Q58" s="104">
        <v>40</v>
      </c>
      <c r="R58" s="104">
        <v>3</v>
      </c>
      <c r="S58" s="104"/>
      <c r="T58" s="104"/>
      <c r="U58" s="100"/>
      <c r="V58" s="100"/>
      <c r="W58" s="104"/>
      <c r="X58" s="100"/>
      <c r="Y58" s="109">
        <f ca="1">Table29[[#This Row],[5/9/2025]]+2-TODAY()</f>
        <v>171</v>
      </c>
      <c r="Z58" s="100">
        <f>IF(ISBLANK(Table29[[#This Row],[Roster Received By]]),1,0)</f>
        <v>1</v>
      </c>
      <c r="AA58" s="100">
        <f ca="1">IF(Table29[[#This Row],[5/5/2025]]&gt;TODAY(),1,)</f>
        <v>1</v>
      </c>
    </row>
    <row r="59" spans="1:27" s="106" customFormat="1" x14ac:dyDescent="0.25">
      <c r="A59" s="359" t="s">
        <v>654</v>
      </c>
      <c r="B59" s="355" t="s">
        <v>28</v>
      </c>
      <c r="C59" s="100" t="s">
        <v>140</v>
      </c>
      <c r="D59" s="100">
        <v>3683</v>
      </c>
      <c r="E59" s="99" t="s">
        <v>291</v>
      </c>
      <c r="F59" s="102">
        <v>45916</v>
      </c>
      <c r="G59" s="102">
        <v>45918</v>
      </c>
      <c r="H59" s="105">
        <v>0.33333333333333331</v>
      </c>
      <c r="I59" s="105"/>
      <c r="J59" s="102"/>
      <c r="K59" s="102"/>
      <c r="L59" s="102"/>
      <c r="M59" s="102"/>
      <c r="N59" s="102"/>
      <c r="O59" s="99" t="s">
        <v>94</v>
      </c>
      <c r="P59" s="99"/>
      <c r="Q59" s="103">
        <v>40</v>
      </c>
      <c r="R59" s="104">
        <v>3</v>
      </c>
      <c r="S59" s="103"/>
      <c r="T59" s="103"/>
      <c r="U59" s="15"/>
      <c r="V59" s="15"/>
      <c r="W59" s="15"/>
      <c r="X59" s="62"/>
      <c r="Y59" s="71">
        <f ca="1">Table29[[#This Row],[5/9/2025]]+2-TODAY()</f>
        <v>388</v>
      </c>
      <c r="Z59" s="15">
        <f>IF(ISBLANK(Table29[[#This Row],[Roster Received By]]),1,0)</f>
        <v>1</v>
      </c>
      <c r="AA59" s="15">
        <f ca="1">IF(Table29[[#This Row],[5/5/2025]]&gt;TODAY(),1,)</f>
        <v>1</v>
      </c>
    </row>
    <row r="60" spans="1:27" s="106" customFormat="1" x14ac:dyDescent="0.25">
      <c r="A60" s="358" t="s">
        <v>423</v>
      </c>
      <c r="B60" s="355" t="s">
        <v>28</v>
      </c>
      <c r="C60" s="100" t="s">
        <v>140</v>
      </c>
      <c r="D60" s="100">
        <v>3683</v>
      </c>
      <c r="E60" s="99" t="s">
        <v>248</v>
      </c>
      <c r="F60" s="102">
        <v>45853</v>
      </c>
      <c r="G60" s="102">
        <v>45855</v>
      </c>
      <c r="H60" s="105">
        <v>0.33333333333333331</v>
      </c>
      <c r="I60" s="105"/>
      <c r="J60" s="102"/>
      <c r="K60" s="102"/>
      <c r="L60" s="102"/>
      <c r="M60" s="102"/>
      <c r="N60" s="102"/>
      <c r="O60" s="99" t="s">
        <v>94</v>
      </c>
      <c r="P60" s="99"/>
      <c r="Q60" s="104">
        <v>40</v>
      </c>
      <c r="R60" s="104">
        <v>3</v>
      </c>
      <c r="S60" s="104"/>
      <c r="T60" s="104"/>
      <c r="U60" s="100"/>
      <c r="V60" s="100"/>
      <c r="W60" s="104"/>
      <c r="X60" s="100"/>
      <c r="Y60" s="109">
        <f ca="1">Table29[[#This Row],[5/9/2025]]+2-TODAY()</f>
        <v>325</v>
      </c>
      <c r="Z60" s="100">
        <f>IF(ISBLANK(Table29[[#This Row],[Roster Received By]]),1,0)</f>
        <v>1</v>
      </c>
      <c r="AA60" s="100">
        <f ca="1">IF(Table29[[#This Row],[5/5/2025]]&gt;TODAY(),1,)</f>
        <v>1</v>
      </c>
    </row>
    <row r="61" spans="1:27" s="106" customFormat="1" x14ac:dyDescent="0.25">
      <c r="A61" s="358" t="s">
        <v>655</v>
      </c>
      <c r="B61" s="355" t="s">
        <v>28</v>
      </c>
      <c r="C61" s="100" t="s">
        <v>140</v>
      </c>
      <c r="D61" s="100">
        <v>3683</v>
      </c>
      <c r="E61" s="99" t="s">
        <v>136</v>
      </c>
      <c r="F61" s="102">
        <v>45776</v>
      </c>
      <c r="G61" s="102">
        <v>45778</v>
      </c>
      <c r="H61" s="105">
        <v>0.33333333333333331</v>
      </c>
      <c r="I61" s="105"/>
      <c r="J61" s="102"/>
      <c r="K61" s="102"/>
      <c r="L61" s="102"/>
      <c r="M61" s="102"/>
      <c r="N61" s="102"/>
      <c r="O61" s="99" t="s">
        <v>94</v>
      </c>
      <c r="P61" s="99"/>
      <c r="Q61" s="104">
        <v>40</v>
      </c>
      <c r="R61" s="104">
        <v>3</v>
      </c>
      <c r="S61" s="104"/>
      <c r="T61" s="104"/>
      <c r="U61" s="100"/>
      <c r="V61" s="100"/>
      <c r="W61" s="104"/>
      <c r="X61" s="100"/>
      <c r="Y61" s="109">
        <f ca="1">Table29[[#This Row],[5/9/2025]]+2-TODAY()</f>
        <v>248</v>
      </c>
      <c r="Z61" s="100">
        <f>IF(ISBLANK(Table29[[#This Row],[Roster Received By]]),1,0)</f>
        <v>1</v>
      </c>
      <c r="AA61" s="100">
        <f ca="1">IF(Table29[[#This Row],[5/5/2025]]&gt;TODAY(),1,)</f>
        <v>1</v>
      </c>
    </row>
    <row r="62" spans="1:27" s="106" customFormat="1" x14ac:dyDescent="0.25">
      <c r="A62" s="100" t="s">
        <v>397</v>
      </c>
      <c r="B62" s="99" t="s">
        <v>28</v>
      </c>
      <c r="C62" s="100" t="s">
        <v>140</v>
      </c>
      <c r="D62" s="100">
        <v>3683</v>
      </c>
      <c r="E62" s="99" t="s">
        <v>128</v>
      </c>
      <c r="F62" s="102">
        <v>45741</v>
      </c>
      <c r="G62" s="102">
        <v>45743</v>
      </c>
      <c r="H62" s="105">
        <v>0.33333333333333331</v>
      </c>
      <c r="I62" s="105"/>
      <c r="J62" s="102"/>
      <c r="K62" s="102"/>
      <c r="L62" s="102"/>
      <c r="M62" s="102"/>
      <c r="N62" s="102"/>
      <c r="O62" s="99" t="s">
        <v>94</v>
      </c>
      <c r="P62" s="99"/>
      <c r="Q62" s="104">
        <v>40</v>
      </c>
      <c r="R62" s="104">
        <v>3</v>
      </c>
      <c r="S62" s="104"/>
      <c r="T62" s="104"/>
      <c r="U62" s="100"/>
      <c r="V62" s="100"/>
      <c r="W62" s="104"/>
      <c r="X62" s="100"/>
      <c r="Y62" s="109">
        <f ca="1">Table29[[#This Row],[5/9/2025]]+2-TODAY()</f>
        <v>213</v>
      </c>
      <c r="Z62" s="100">
        <f>IF(ISBLANK(Table29[[#This Row],[Roster Received By]]),1,0)</f>
        <v>1</v>
      </c>
      <c r="AA62" s="100">
        <f ca="1">IF(Table29[[#This Row],[5/5/2025]]&gt;TODAY(),1,)</f>
        <v>1</v>
      </c>
    </row>
    <row r="63" spans="1:27" s="106" customFormat="1" x14ac:dyDescent="0.25">
      <c r="A63" s="100" t="s">
        <v>397</v>
      </c>
      <c r="B63" s="99" t="s">
        <v>28</v>
      </c>
      <c r="C63" s="100" t="s">
        <v>140</v>
      </c>
      <c r="D63" s="100">
        <v>3683</v>
      </c>
      <c r="E63" s="99" t="s">
        <v>125</v>
      </c>
      <c r="F63" s="102">
        <v>45902</v>
      </c>
      <c r="G63" s="102">
        <v>45903</v>
      </c>
      <c r="H63" s="105">
        <v>0.33333333333333331</v>
      </c>
      <c r="I63" s="105"/>
      <c r="J63" s="102"/>
      <c r="K63" s="102"/>
      <c r="L63" s="102"/>
      <c r="M63" s="102"/>
      <c r="N63" s="102"/>
      <c r="O63" s="99" t="s">
        <v>94</v>
      </c>
      <c r="P63" s="99"/>
      <c r="Q63" s="104">
        <v>40</v>
      </c>
      <c r="R63" s="104">
        <v>3</v>
      </c>
      <c r="S63" s="104"/>
      <c r="T63" s="104"/>
      <c r="U63" s="100"/>
      <c r="V63" s="100"/>
      <c r="W63" s="104"/>
      <c r="X63" s="100"/>
      <c r="Y63" s="109">
        <f ca="1">Table29[[#This Row],[5/9/2025]]+2-TODAY()</f>
        <v>373</v>
      </c>
      <c r="Z63" s="100">
        <f>IF(ISBLANK(Table29[[#This Row],[Roster Received By]]),1,0)</f>
        <v>1</v>
      </c>
      <c r="AA63" s="100">
        <f ca="1">IF(Table29[[#This Row],[5/5/2025]]&gt;TODAY(),1,)</f>
        <v>1</v>
      </c>
    </row>
    <row r="64" spans="1:27" s="106" customFormat="1" x14ac:dyDescent="0.25">
      <c r="A64" s="62"/>
      <c r="B64" s="99" t="s">
        <v>29</v>
      </c>
      <c r="C64" s="100" t="s">
        <v>169</v>
      </c>
      <c r="D64" s="100" t="s">
        <v>170</v>
      </c>
      <c r="E64" s="99" t="s">
        <v>95</v>
      </c>
      <c r="F64" s="67">
        <v>45670</v>
      </c>
      <c r="G64" s="67">
        <v>45672</v>
      </c>
      <c r="H64" s="101">
        <v>0.33333333333333331</v>
      </c>
      <c r="I64" s="101"/>
      <c r="J64" s="105"/>
      <c r="K64" s="105"/>
      <c r="L64" s="105"/>
      <c r="M64" s="105"/>
      <c r="N64" s="105"/>
      <c r="O64" s="99" t="s">
        <v>94</v>
      </c>
      <c r="P64" s="99"/>
      <c r="Q64" s="15">
        <v>25</v>
      </c>
      <c r="R64" s="15">
        <v>3</v>
      </c>
      <c r="S64" s="15"/>
      <c r="T64" s="103"/>
      <c r="U64" s="15"/>
      <c r="V64" s="15"/>
      <c r="W64" s="15"/>
      <c r="X64" s="99"/>
      <c r="Y64" s="71">
        <f ca="1">Table29[[#This Row],[5/9/2025]]+2-TODAY()</f>
        <v>142</v>
      </c>
      <c r="Z64" s="15">
        <f>IF(ISBLANK(Table29[[#This Row],[Roster Received By]]),1,0)</f>
        <v>1</v>
      </c>
      <c r="AA64" s="15">
        <f ca="1">IF(Table29[[#This Row],[5/5/2025]]&gt;TODAY(),1,)</f>
        <v>1</v>
      </c>
    </row>
    <row r="65" spans="1:27" s="106" customFormat="1" x14ac:dyDescent="0.25">
      <c r="A65" s="62"/>
      <c r="B65" s="99" t="s">
        <v>29</v>
      </c>
      <c r="C65" s="100" t="s">
        <v>169</v>
      </c>
      <c r="D65" s="100" t="s">
        <v>170</v>
      </c>
      <c r="E65" s="99" t="s">
        <v>267</v>
      </c>
      <c r="F65" s="102">
        <v>45691</v>
      </c>
      <c r="G65" s="102">
        <v>45693</v>
      </c>
      <c r="H65" s="101">
        <v>0.33333333333333331</v>
      </c>
      <c r="I65" s="105"/>
      <c r="J65" s="102"/>
      <c r="K65" s="102"/>
      <c r="L65" s="102"/>
      <c r="M65" s="102"/>
      <c r="N65" s="102"/>
      <c r="O65" s="99" t="s">
        <v>94</v>
      </c>
      <c r="P65" s="99"/>
      <c r="Q65" s="15">
        <v>25</v>
      </c>
      <c r="R65" s="15">
        <v>3</v>
      </c>
      <c r="S65" s="15"/>
      <c r="T65" s="103"/>
      <c r="U65" s="15"/>
      <c r="V65" s="15"/>
      <c r="W65" s="100"/>
      <c r="X65" s="99"/>
      <c r="Y65" s="71">
        <f ca="1">Table29[[#This Row],[5/9/2025]]+2-TODAY()</f>
        <v>163</v>
      </c>
      <c r="Z65" s="15">
        <f>IF(ISBLANK(Table29[[#This Row],[Roster Received By]]),1,0)</f>
        <v>1</v>
      </c>
      <c r="AA65" s="15">
        <f ca="1">IF(Table29[[#This Row],[5/5/2025]]&gt;TODAY(),1,)</f>
        <v>1</v>
      </c>
    </row>
    <row r="66" spans="1:27" s="106" customFormat="1" x14ac:dyDescent="0.25">
      <c r="A66" s="62"/>
      <c r="B66" s="99" t="s">
        <v>29</v>
      </c>
      <c r="C66" s="100" t="s">
        <v>169</v>
      </c>
      <c r="D66" s="100" t="s">
        <v>170</v>
      </c>
      <c r="E66" s="99" t="s">
        <v>121</v>
      </c>
      <c r="F66" s="102">
        <v>45698</v>
      </c>
      <c r="G66" s="102">
        <v>45700</v>
      </c>
      <c r="H66" s="101">
        <v>0.33333333333333331</v>
      </c>
      <c r="I66" s="108"/>
      <c r="J66" s="139"/>
      <c r="K66" s="102"/>
      <c r="L66" s="102"/>
      <c r="M66" s="102"/>
      <c r="N66" s="102"/>
      <c r="O66" s="99" t="s">
        <v>94</v>
      </c>
      <c r="P66" s="99"/>
      <c r="Q66" s="15">
        <v>25</v>
      </c>
      <c r="R66" s="15">
        <v>3</v>
      </c>
      <c r="S66" s="15"/>
      <c r="T66" s="103"/>
      <c r="U66" s="15"/>
      <c r="V66" s="15"/>
      <c r="W66" s="15"/>
      <c r="X66" s="99"/>
      <c r="Y66" s="71">
        <f ca="1">Table29[[#This Row],[5/9/2025]]+2-TODAY()</f>
        <v>170</v>
      </c>
      <c r="Z66" s="15">
        <f>IF(ISBLANK(Table29[[#This Row],[Roster Received By]]),1,0)</f>
        <v>1</v>
      </c>
      <c r="AA66" s="15">
        <f ca="1">IF(Table29[[#This Row],[5/5/2025]]&gt;TODAY(),1,)</f>
        <v>1</v>
      </c>
    </row>
    <row r="67" spans="1:27" s="106" customFormat="1" x14ac:dyDescent="0.25">
      <c r="A67" s="62" t="s">
        <v>391</v>
      </c>
      <c r="B67" s="99" t="s">
        <v>29</v>
      </c>
      <c r="C67" s="100" t="s">
        <v>169</v>
      </c>
      <c r="D67" s="100" t="s">
        <v>170</v>
      </c>
      <c r="E67" s="99" t="s">
        <v>157</v>
      </c>
      <c r="F67" s="102">
        <v>45698</v>
      </c>
      <c r="G67" s="102">
        <v>45700</v>
      </c>
      <c r="H67" s="101">
        <v>0.33333333333333331</v>
      </c>
      <c r="I67" s="101"/>
      <c r="J67" s="101"/>
      <c r="K67" s="101"/>
      <c r="L67" s="101"/>
      <c r="M67" s="101"/>
      <c r="N67" s="101"/>
      <c r="O67" s="99" t="s">
        <v>94</v>
      </c>
      <c r="P67" s="99"/>
      <c r="Q67" s="15">
        <v>25</v>
      </c>
      <c r="R67" s="15">
        <v>3</v>
      </c>
      <c r="S67" s="103"/>
      <c r="T67" s="103"/>
      <c r="U67" s="15"/>
      <c r="V67" s="15"/>
      <c r="W67" s="100"/>
      <c r="X67" s="99"/>
      <c r="Y67" s="71">
        <f ca="1">Table29[[#This Row],[5/9/2025]]+2-TODAY()</f>
        <v>170</v>
      </c>
      <c r="Z67" s="15">
        <f>IF(ISBLANK(Table29[[#This Row],[Roster Received By]]),1,0)</f>
        <v>1</v>
      </c>
      <c r="AA67" s="15">
        <f ca="1">IF(Table29[[#This Row],[5/5/2025]]&gt;TODAY(),1,)</f>
        <v>1</v>
      </c>
    </row>
    <row r="68" spans="1:27" s="106" customFormat="1" x14ac:dyDescent="0.25">
      <c r="A68" s="62"/>
      <c r="B68" s="99" t="s">
        <v>29</v>
      </c>
      <c r="C68" s="100" t="s">
        <v>169</v>
      </c>
      <c r="D68" s="100" t="s">
        <v>170</v>
      </c>
      <c r="E68" s="65" t="s">
        <v>153</v>
      </c>
      <c r="F68" s="102">
        <v>45719</v>
      </c>
      <c r="G68" s="102">
        <v>45721</v>
      </c>
      <c r="H68" s="101">
        <v>0.33333333333333331</v>
      </c>
      <c r="I68" s="101"/>
      <c r="J68" s="101"/>
      <c r="K68" s="105"/>
      <c r="L68" s="105"/>
      <c r="M68" s="105"/>
      <c r="N68" s="105"/>
      <c r="O68" s="99" t="s">
        <v>94</v>
      </c>
      <c r="P68" s="99"/>
      <c r="Q68" s="15">
        <v>25</v>
      </c>
      <c r="R68" s="15">
        <v>3</v>
      </c>
      <c r="S68" s="15"/>
      <c r="T68" s="103"/>
      <c r="U68" s="15"/>
      <c r="V68" s="15"/>
      <c r="W68" s="15"/>
      <c r="X68" s="99"/>
      <c r="Y68" s="71">
        <f ca="1">Table29[[#This Row],[5/9/2025]]+2-TODAY()</f>
        <v>191</v>
      </c>
      <c r="Z68" s="15">
        <f>IF(ISBLANK(Table29[[#This Row],[Roster Received By]]),1,0)</f>
        <v>1</v>
      </c>
      <c r="AA68" s="15">
        <f ca="1">IF(Table29[[#This Row],[5/5/2025]]&gt;TODAY(),1,)</f>
        <v>1</v>
      </c>
    </row>
    <row r="69" spans="1:27" s="106" customFormat="1" x14ac:dyDescent="0.25">
      <c r="A69" s="62"/>
      <c r="B69" s="99" t="s">
        <v>29</v>
      </c>
      <c r="C69" s="100" t="s">
        <v>169</v>
      </c>
      <c r="D69" s="100" t="s">
        <v>170</v>
      </c>
      <c r="E69" s="99" t="s">
        <v>172</v>
      </c>
      <c r="F69" s="102">
        <v>45740</v>
      </c>
      <c r="G69" s="102">
        <v>45742</v>
      </c>
      <c r="H69" s="101">
        <v>0.33333333333333331</v>
      </c>
      <c r="I69" s="101"/>
      <c r="J69" s="105"/>
      <c r="K69" s="105"/>
      <c r="L69" s="105"/>
      <c r="M69" s="105"/>
      <c r="N69" s="105"/>
      <c r="O69" s="99" t="s">
        <v>94</v>
      </c>
      <c r="P69" s="99"/>
      <c r="Q69" s="15">
        <v>25</v>
      </c>
      <c r="R69" s="15">
        <v>3</v>
      </c>
      <c r="S69" s="15"/>
      <c r="T69" s="103"/>
      <c r="U69" s="15"/>
      <c r="V69" s="15"/>
      <c r="W69" s="15"/>
      <c r="X69" s="99"/>
      <c r="Y69" s="71">
        <f ca="1">Table29[[#This Row],[5/9/2025]]+2-TODAY()</f>
        <v>212</v>
      </c>
      <c r="Z69" s="15">
        <f>IF(ISBLANK(Table29[[#This Row],[Roster Received By]]),1,0)</f>
        <v>1</v>
      </c>
      <c r="AA69" s="15">
        <f ca="1">IF(Table29[[#This Row],[5/5/2025]]&gt;TODAY(),1,)</f>
        <v>1</v>
      </c>
    </row>
    <row r="70" spans="1:27" s="106" customFormat="1" x14ac:dyDescent="0.25">
      <c r="A70" s="62"/>
      <c r="B70" s="99" t="s">
        <v>29</v>
      </c>
      <c r="C70" s="100" t="s">
        <v>169</v>
      </c>
      <c r="D70" s="100" t="s">
        <v>170</v>
      </c>
      <c r="E70" s="99" t="s">
        <v>272</v>
      </c>
      <c r="F70" s="67">
        <v>45754</v>
      </c>
      <c r="G70" s="67">
        <v>45756</v>
      </c>
      <c r="H70" s="101">
        <v>0.33333333333333331</v>
      </c>
      <c r="I70" s="108"/>
      <c r="J70" s="102"/>
      <c r="K70" s="102"/>
      <c r="L70" s="102"/>
      <c r="M70" s="102"/>
      <c r="N70" s="102"/>
      <c r="O70" s="99" t="s">
        <v>94</v>
      </c>
      <c r="P70" s="99"/>
      <c r="Q70" s="15">
        <v>25</v>
      </c>
      <c r="R70" s="15">
        <v>3</v>
      </c>
      <c r="S70" s="15"/>
      <c r="T70" s="103"/>
      <c r="U70" s="15"/>
      <c r="V70" s="15"/>
      <c r="W70" s="103"/>
      <c r="X70" s="99"/>
      <c r="Y70" s="71">
        <f ca="1">Table29[[#This Row],[5/9/2025]]+2-TODAY()</f>
        <v>226</v>
      </c>
      <c r="Z70" s="15">
        <f>IF(ISBLANK(Table29[[#This Row],[Roster Received By]]),1,0)</f>
        <v>1</v>
      </c>
      <c r="AA70" s="15">
        <f ca="1">IF(Table29[[#This Row],[5/5/2025]]&gt;TODAY(),1,)</f>
        <v>1</v>
      </c>
    </row>
    <row r="71" spans="1:27" s="106" customFormat="1" x14ac:dyDescent="0.25">
      <c r="A71" s="62"/>
      <c r="B71" s="99" t="s">
        <v>29</v>
      </c>
      <c r="C71" s="100" t="s">
        <v>169</v>
      </c>
      <c r="D71" s="100" t="s">
        <v>170</v>
      </c>
      <c r="E71" s="173" t="s">
        <v>161</v>
      </c>
      <c r="F71" s="174">
        <v>45782</v>
      </c>
      <c r="G71" s="174">
        <v>45784</v>
      </c>
      <c r="H71" s="175">
        <v>0.33333333333333331</v>
      </c>
      <c r="I71" s="101"/>
      <c r="J71" s="105"/>
      <c r="K71" s="105"/>
      <c r="L71" s="105"/>
      <c r="M71" s="105"/>
      <c r="N71" s="105"/>
      <c r="O71" s="99" t="s">
        <v>94</v>
      </c>
      <c r="P71" s="99"/>
      <c r="Q71" s="15">
        <v>25</v>
      </c>
      <c r="R71" s="15">
        <v>3</v>
      </c>
      <c r="S71" s="15"/>
      <c r="T71" s="103"/>
      <c r="U71" s="15"/>
      <c r="V71" s="15"/>
      <c r="W71" s="15"/>
      <c r="X71" s="99"/>
      <c r="Y71" s="71">
        <f ca="1">Table29[[#This Row],[5/9/2025]]+2-TODAY()</f>
        <v>254</v>
      </c>
      <c r="Z71" s="15">
        <f>IF(ISBLANK(Table29[[#This Row],[Roster Received By]]),1,0)</f>
        <v>1</v>
      </c>
      <c r="AA71" s="15">
        <f ca="1">IF(Table29[[#This Row],[5/5/2025]]&gt;TODAY(),1,)</f>
        <v>1</v>
      </c>
    </row>
    <row r="72" spans="1:27" s="106" customFormat="1" x14ac:dyDescent="0.25">
      <c r="A72" s="62"/>
      <c r="B72" s="99" t="s">
        <v>29</v>
      </c>
      <c r="C72" s="100" t="s">
        <v>169</v>
      </c>
      <c r="D72" s="100" t="s">
        <v>170</v>
      </c>
      <c r="E72" s="99" t="s">
        <v>267</v>
      </c>
      <c r="F72" s="102">
        <v>45789</v>
      </c>
      <c r="G72" s="102">
        <v>45791</v>
      </c>
      <c r="H72" s="101">
        <v>0.33333333333333331</v>
      </c>
      <c r="I72" s="101"/>
      <c r="J72" s="105"/>
      <c r="K72" s="105"/>
      <c r="L72" s="105"/>
      <c r="M72" s="105"/>
      <c r="N72" s="105"/>
      <c r="O72" s="99" t="s">
        <v>94</v>
      </c>
      <c r="P72" s="99"/>
      <c r="Q72" s="15">
        <v>25</v>
      </c>
      <c r="R72" s="15">
        <v>3</v>
      </c>
      <c r="S72" s="15"/>
      <c r="T72" s="103"/>
      <c r="U72" s="15"/>
      <c r="V72" s="15"/>
      <c r="W72" s="15"/>
      <c r="X72" s="99"/>
      <c r="Y72" s="71">
        <f ca="1">Table29[[#This Row],[5/9/2025]]+2-TODAY()</f>
        <v>261</v>
      </c>
      <c r="Z72" s="15">
        <f>IF(ISBLANK(Table29[[#This Row],[Roster Received By]]),1,0)</f>
        <v>1</v>
      </c>
      <c r="AA72" s="15">
        <f ca="1">IF(Table29[[#This Row],[5/5/2025]]&gt;TODAY(),1,)</f>
        <v>1</v>
      </c>
    </row>
    <row r="73" spans="1:27" s="106" customFormat="1" x14ac:dyDescent="0.25">
      <c r="A73" s="62"/>
      <c r="B73" s="99" t="s">
        <v>29</v>
      </c>
      <c r="C73" s="100" t="s">
        <v>169</v>
      </c>
      <c r="D73" s="100" t="s">
        <v>170</v>
      </c>
      <c r="E73" s="99" t="s">
        <v>299</v>
      </c>
      <c r="F73" s="102">
        <v>45817</v>
      </c>
      <c r="G73" s="102">
        <v>45819</v>
      </c>
      <c r="H73" s="101">
        <v>0.33333333333333331</v>
      </c>
      <c r="I73" s="101"/>
      <c r="J73" s="105"/>
      <c r="K73" s="105"/>
      <c r="L73" s="105"/>
      <c r="M73" s="105"/>
      <c r="N73" s="105"/>
      <c r="O73" s="99" t="s">
        <v>94</v>
      </c>
      <c r="P73" s="99"/>
      <c r="Q73" s="15">
        <v>25</v>
      </c>
      <c r="R73" s="15">
        <v>3</v>
      </c>
      <c r="S73" s="15"/>
      <c r="T73" s="103"/>
      <c r="U73" s="15"/>
      <c r="V73" s="15"/>
      <c r="W73" s="15"/>
      <c r="X73" s="99"/>
      <c r="Y73" s="71">
        <f ca="1">Table29[[#This Row],[5/9/2025]]+2-TODAY()</f>
        <v>289</v>
      </c>
      <c r="Z73" s="15">
        <f>IF(ISBLANK(Table29[[#This Row],[Roster Received By]]),1,0)</f>
        <v>1</v>
      </c>
      <c r="AA73" s="15">
        <f ca="1">IF(Table29[[#This Row],[5/5/2025]]&gt;TODAY(),1,)</f>
        <v>1</v>
      </c>
    </row>
    <row r="74" spans="1:27" s="135" customFormat="1" x14ac:dyDescent="0.25">
      <c r="A74" s="99"/>
      <c r="B74" s="99" t="s">
        <v>29</v>
      </c>
      <c r="C74" s="100" t="s">
        <v>169</v>
      </c>
      <c r="D74" s="100" t="s">
        <v>170</v>
      </c>
      <c r="E74" s="99" t="s">
        <v>276</v>
      </c>
      <c r="F74" s="102">
        <v>45852</v>
      </c>
      <c r="G74" s="102">
        <v>45854</v>
      </c>
      <c r="H74" s="101">
        <v>0.33333333333333331</v>
      </c>
      <c r="I74" s="105"/>
      <c r="J74" s="105"/>
      <c r="K74" s="105"/>
      <c r="L74" s="105"/>
      <c r="M74" s="105"/>
      <c r="N74" s="105"/>
      <c r="O74" s="99" t="s">
        <v>94</v>
      </c>
      <c r="P74" s="99"/>
      <c r="Q74" s="15">
        <v>25</v>
      </c>
      <c r="R74" s="15">
        <v>3</v>
      </c>
      <c r="S74" s="103"/>
      <c r="T74" s="103"/>
      <c r="U74" s="15"/>
      <c r="V74" s="15"/>
      <c r="W74" s="103"/>
      <c r="X74" s="99"/>
      <c r="Y74" s="71">
        <f ca="1">Table29[[#This Row],[5/9/2025]]+2-TODAY()</f>
        <v>324</v>
      </c>
      <c r="Z74" s="15">
        <f>IF(ISBLANK(Table29[[#This Row],[Roster Received By]]),1,0)</f>
        <v>1</v>
      </c>
      <c r="AA74" s="15">
        <f ca="1">IF(Table29[[#This Row],[5/5/2025]]&gt;TODAY(),1,)</f>
        <v>1</v>
      </c>
    </row>
    <row r="75" spans="1:27" s="106" customFormat="1" x14ac:dyDescent="0.25">
      <c r="A75" s="100"/>
      <c r="B75" s="99" t="s">
        <v>29</v>
      </c>
      <c r="C75" s="100" t="s">
        <v>169</v>
      </c>
      <c r="D75" s="100" t="s">
        <v>170</v>
      </c>
      <c r="E75" s="99" t="s">
        <v>102</v>
      </c>
      <c r="F75" s="102">
        <v>45859</v>
      </c>
      <c r="G75" s="102">
        <v>45861</v>
      </c>
      <c r="H75" s="101">
        <v>0.33333333333333331</v>
      </c>
      <c r="I75" s="105"/>
      <c r="J75" s="102"/>
      <c r="K75" s="102"/>
      <c r="L75" s="102"/>
      <c r="M75" s="102"/>
      <c r="N75" s="102"/>
      <c r="O75" s="99" t="s">
        <v>94</v>
      </c>
      <c r="P75" s="99"/>
      <c r="Q75" s="15">
        <v>25</v>
      </c>
      <c r="R75" s="15">
        <v>3</v>
      </c>
      <c r="S75" s="107"/>
      <c r="T75" s="103"/>
      <c r="U75" s="15"/>
      <c r="V75" s="15"/>
      <c r="W75" s="15"/>
      <c r="X75" s="99"/>
      <c r="Y75" s="71">
        <f ca="1">Table29[[#This Row],[5/9/2025]]+2-TODAY()</f>
        <v>331</v>
      </c>
      <c r="Z75" s="15">
        <f>IF(ISBLANK(Table29[[#This Row],[Roster Received By]]),1,0)</f>
        <v>1</v>
      </c>
      <c r="AA75" s="15">
        <f ca="1">IF(Table29[[#This Row],[5/5/2025]]&gt;TODAY(),1,)</f>
        <v>1</v>
      </c>
    </row>
    <row r="76" spans="1:27" s="106" customFormat="1" x14ac:dyDescent="0.25">
      <c r="A76" s="62"/>
      <c r="B76" s="99" t="s">
        <v>29</v>
      </c>
      <c r="C76" s="100" t="s">
        <v>169</v>
      </c>
      <c r="D76" s="100" t="s">
        <v>170</v>
      </c>
      <c r="E76" s="99" t="s">
        <v>267</v>
      </c>
      <c r="F76" s="102">
        <v>45873</v>
      </c>
      <c r="G76" s="102">
        <v>45875</v>
      </c>
      <c r="H76" s="101">
        <v>0.33333333333333331</v>
      </c>
      <c r="I76" s="101"/>
      <c r="J76" s="105"/>
      <c r="K76" s="105"/>
      <c r="L76" s="105"/>
      <c r="M76" s="105"/>
      <c r="N76" s="105"/>
      <c r="O76" s="99" t="s">
        <v>94</v>
      </c>
      <c r="P76" s="99"/>
      <c r="Q76" s="15">
        <v>25</v>
      </c>
      <c r="R76" s="15">
        <v>3</v>
      </c>
      <c r="S76" s="15"/>
      <c r="T76" s="103"/>
      <c r="U76" s="15"/>
      <c r="V76" s="15"/>
      <c r="W76" s="15"/>
      <c r="X76" s="99"/>
      <c r="Y76" s="71">
        <f ca="1">Table29[[#This Row],[5/9/2025]]+2-TODAY()</f>
        <v>345</v>
      </c>
      <c r="Z76" s="15">
        <f>IF(ISBLANK(Table29[[#This Row],[Roster Received By]]),1,0)</f>
        <v>1</v>
      </c>
      <c r="AA76" s="15">
        <f ca="1">IF(Table29[[#This Row],[5/5/2025]]&gt;TODAY(),1,)</f>
        <v>1</v>
      </c>
    </row>
    <row r="77" spans="1:27" s="106" customFormat="1" x14ac:dyDescent="0.25">
      <c r="A77" s="62"/>
      <c r="B77" s="99" t="s">
        <v>29</v>
      </c>
      <c r="C77" s="100" t="s">
        <v>169</v>
      </c>
      <c r="D77" s="100" t="s">
        <v>170</v>
      </c>
      <c r="E77" s="99" t="s">
        <v>221</v>
      </c>
      <c r="F77" s="102">
        <v>45873</v>
      </c>
      <c r="G77" s="102">
        <v>45875</v>
      </c>
      <c r="H77" s="101">
        <v>0.33333333333333331</v>
      </c>
      <c r="I77" s="101"/>
      <c r="J77" s="101"/>
      <c r="K77" s="101"/>
      <c r="L77" s="101"/>
      <c r="M77" s="101"/>
      <c r="N77" s="101"/>
      <c r="O77" s="99" t="s">
        <v>94</v>
      </c>
      <c r="P77" s="99"/>
      <c r="Q77" s="15">
        <v>25</v>
      </c>
      <c r="R77" s="15">
        <v>3</v>
      </c>
      <c r="S77" s="15"/>
      <c r="T77" s="103"/>
      <c r="U77" s="15"/>
      <c r="V77" s="15"/>
      <c r="W77" s="15"/>
      <c r="X77" s="99"/>
      <c r="Y77" s="71">
        <f ca="1">Table29[[#This Row],[5/9/2025]]+2-TODAY()</f>
        <v>345</v>
      </c>
      <c r="Z77" s="15">
        <f>IF(ISBLANK(Table29[[#This Row],[Roster Received By]]),1,0)</f>
        <v>1</v>
      </c>
      <c r="AA77" s="15">
        <f ca="1">IF(Table29[[#This Row],[5/5/2025]]&gt;TODAY(),1,)</f>
        <v>1</v>
      </c>
    </row>
    <row r="78" spans="1:27" s="106" customFormat="1" x14ac:dyDescent="0.25">
      <c r="A78" s="127"/>
      <c r="B78" s="99" t="s">
        <v>29</v>
      </c>
      <c r="C78" s="100" t="s">
        <v>169</v>
      </c>
      <c r="D78" s="100" t="s">
        <v>170</v>
      </c>
      <c r="E78" s="65" t="s">
        <v>309</v>
      </c>
      <c r="F78" s="102">
        <v>45887</v>
      </c>
      <c r="G78" s="102">
        <v>45889</v>
      </c>
      <c r="H78" s="101">
        <v>0.33333333333333331</v>
      </c>
      <c r="I78" s="101"/>
      <c r="J78" s="105"/>
      <c r="K78" s="105"/>
      <c r="L78" s="105"/>
      <c r="M78" s="105"/>
      <c r="N78" s="105"/>
      <c r="O78" s="99" t="s">
        <v>94</v>
      </c>
      <c r="P78" s="99"/>
      <c r="Q78" s="15">
        <v>25</v>
      </c>
      <c r="R78" s="15">
        <v>3</v>
      </c>
      <c r="S78" s="15"/>
      <c r="T78" s="103"/>
      <c r="U78" s="15"/>
      <c r="V78" s="15"/>
      <c r="W78" s="103"/>
      <c r="X78" s="99"/>
      <c r="Y78" s="71">
        <f ca="1">Table29[[#This Row],[5/9/2025]]+2-TODAY()</f>
        <v>359</v>
      </c>
      <c r="Z78" s="15">
        <f>IF(ISBLANK(Table29[[#This Row],[Roster Received By]]),1,0)</f>
        <v>1</v>
      </c>
      <c r="AA78" s="15">
        <f ca="1">IF(Table29[[#This Row],[5/5/2025]]&gt;TODAY(),1,)</f>
        <v>1</v>
      </c>
    </row>
    <row r="79" spans="1:27" s="106" customFormat="1" x14ac:dyDescent="0.25">
      <c r="A79" s="62"/>
      <c r="B79" s="99" t="s">
        <v>29</v>
      </c>
      <c r="C79" s="100" t="s">
        <v>169</v>
      </c>
      <c r="D79" s="100" t="s">
        <v>170</v>
      </c>
      <c r="E79" s="99" t="s">
        <v>168</v>
      </c>
      <c r="F79" s="102">
        <v>45902</v>
      </c>
      <c r="G79" s="102">
        <v>45904</v>
      </c>
      <c r="H79" s="101">
        <v>0.33333333333333331</v>
      </c>
      <c r="I79" s="105"/>
      <c r="J79" s="102"/>
      <c r="K79" s="102"/>
      <c r="L79" s="102"/>
      <c r="M79" s="102"/>
      <c r="N79" s="102"/>
      <c r="O79" s="99" t="s">
        <v>94</v>
      </c>
      <c r="P79" s="99"/>
      <c r="Q79" s="103">
        <v>25</v>
      </c>
      <c r="R79" s="104">
        <v>3</v>
      </c>
      <c r="S79" s="103"/>
      <c r="T79" s="103"/>
      <c r="U79" s="15"/>
      <c r="V79" s="15"/>
      <c r="W79" s="15"/>
      <c r="X79" s="99"/>
      <c r="Y79" s="71">
        <f ca="1">Table29[[#This Row],[5/9/2025]]+2-TODAY()</f>
        <v>374</v>
      </c>
      <c r="Z79" s="15">
        <f>IF(ISBLANK(Table29[[#This Row],[Roster Received By]]),1,0)</f>
        <v>1</v>
      </c>
      <c r="AA79" s="15">
        <f ca="1">IF(Table29[[#This Row],[5/5/2025]]&gt;TODAY(),1,)</f>
        <v>1</v>
      </c>
    </row>
    <row r="80" spans="1:27" s="106" customFormat="1" x14ac:dyDescent="0.25">
      <c r="A80" s="62"/>
      <c r="B80" s="99" t="s">
        <v>29</v>
      </c>
      <c r="C80" s="100" t="s">
        <v>169</v>
      </c>
      <c r="D80" s="100" t="s">
        <v>170</v>
      </c>
      <c r="E80" s="99" t="s">
        <v>197</v>
      </c>
      <c r="F80" s="102">
        <v>45908</v>
      </c>
      <c r="G80" s="102">
        <v>45910</v>
      </c>
      <c r="H80" s="101">
        <v>0.33333333333333331</v>
      </c>
      <c r="I80" s="101"/>
      <c r="J80" s="101"/>
      <c r="K80" s="101"/>
      <c r="L80" s="101"/>
      <c r="M80" s="101"/>
      <c r="N80" s="101"/>
      <c r="O80" s="99" t="s">
        <v>94</v>
      </c>
      <c r="P80" s="99"/>
      <c r="Q80" s="15">
        <v>25</v>
      </c>
      <c r="R80" s="15">
        <v>3</v>
      </c>
      <c r="S80" s="15"/>
      <c r="T80" s="103"/>
      <c r="U80" s="15"/>
      <c r="V80" s="15"/>
      <c r="W80" s="15"/>
      <c r="X80" s="99"/>
      <c r="Y80" s="71">
        <f ca="1">Table29[[#This Row],[5/9/2025]]+2-TODAY()</f>
        <v>380</v>
      </c>
      <c r="Z80" s="15">
        <f>IF(ISBLANK(Table29[[#This Row],[Roster Received By]]),1,0)</f>
        <v>1</v>
      </c>
      <c r="AA80" s="15">
        <f ca="1">IF(Table29[[#This Row],[5/5/2025]]&gt;TODAY(),1,)</f>
        <v>1</v>
      </c>
    </row>
    <row r="81" spans="1:27" s="106" customFormat="1" x14ac:dyDescent="0.25">
      <c r="A81" s="62"/>
      <c r="B81" s="99" t="s">
        <v>29</v>
      </c>
      <c r="C81" s="100" t="s">
        <v>169</v>
      </c>
      <c r="D81" s="100" t="s">
        <v>170</v>
      </c>
      <c r="E81" s="99" t="s">
        <v>275</v>
      </c>
      <c r="F81" s="102">
        <v>45908</v>
      </c>
      <c r="G81" s="102">
        <v>45910</v>
      </c>
      <c r="H81" s="101">
        <v>0.33333333333333331</v>
      </c>
      <c r="I81" s="101"/>
      <c r="J81" s="105"/>
      <c r="K81" s="105"/>
      <c r="L81" s="105"/>
      <c r="M81" s="105"/>
      <c r="N81" s="105"/>
      <c r="O81" s="99" t="s">
        <v>94</v>
      </c>
      <c r="P81" s="99"/>
      <c r="Q81" s="15">
        <v>25</v>
      </c>
      <c r="R81" s="15">
        <v>3</v>
      </c>
      <c r="S81" s="15"/>
      <c r="T81" s="103"/>
      <c r="U81" s="15"/>
      <c r="V81" s="15"/>
      <c r="W81" s="15"/>
      <c r="X81" s="99"/>
      <c r="Y81" s="71">
        <f ca="1">Table29[[#This Row],[5/9/2025]]+2-TODAY()</f>
        <v>380</v>
      </c>
      <c r="Z81" s="15">
        <f>IF(ISBLANK(Table29[[#This Row],[Roster Received By]]),1,0)</f>
        <v>1</v>
      </c>
      <c r="AA81" s="15">
        <f ca="1">IF(Table29[[#This Row],[5/5/2025]]&gt;TODAY(),1,)</f>
        <v>1</v>
      </c>
    </row>
    <row r="82" spans="1:27" s="106" customFormat="1" x14ac:dyDescent="0.25">
      <c r="A82" s="62" t="s">
        <v>385</v>
      </c>
      <c r="B82" s="99" t="s">
        <v>31</v>
      </c>
      <c r="C82" s="100" t="s">
        <v>173</v>
      </c>
      <c r="D82" s="100" t="s">
        <v>174</v>
      </c>
      <c r="E82" s="99" t="s">
        <v>80</v>
      </c>
      <c r="F82" s="102">
        <v>45670</v>
      </c>
      <c r="G82" s="102">
        <v>45670</v>
      </c>
      <c r="H82" s="101"/>
      <c r="I82" s="101">
        <v>0.33333333333333331</v>
      </c>
      <c r="J82" s="101"/>
      <c r="K82" s="101"/>
      <c r="L82" s="101"/>
      <c r="M82" s="101"/>
      <c r="N82" s="101"/>
      <c r="O82" s="99" t="s">
        <v>94</v>
      </c>
      <c r="P82" s="99"/>
      <c r="Q82" s="15">
        <v>30</v>
      </c>
      <c r="R82" s="15">
        <v>1</v>
      </c>
      <c r="S82" s="15"/>
      <c r="T82" s="103"/>
      <c r="U82" s="15"/>
      <c r="V82" s="15"/>
      <c r="W82" s="15"/>
      <c r="X82" s="99"/>
      <c r="Y82" s="71">
        <f ca="1">Table29[[#This Row],[5/9/2025]]+2-TODAY()</f>
        <v>140</v>
      </c>
      <c r="Z82" s="15">
        <f>IF(ISBLANK(Table29[[#This Row],[Roster Received By]]),1,0)</f>
        <v>1</v>
      </c>
      <c r="AA82" s="15">
        <f ca="1">IF(Table29[[#This Row],[5/5/2025]]&gt;TODAY(),1,)</f>
        <v>1</v>
      </c>
    </row>
    <row r="83" spans="1:27" s="106" customFormat="1" x14ac:dyDescent="0.25">
      <c r="A83" s="62"/>
      <c r="B83" s="99" t="s">
        <v>31</v>
      </c>
      <c r="C83" s="100" t="s">
        <v>173</v>
      </c>
      <c r="D83" s="100" t="s">
        <v>174</v>
      </c>
      <c r="E83" s="99" t="s">
        <v>95</v>
      </c>
      <c r="F83" s="67">
        <v>45673</v>
      </c>
      <c r="G83" s="67">
        <v>45673</v>
      </c>
      <c r="H83" s="101">
        <v>0.33333333333333331</v>
      </c>
      <c r="I83" s="105"/>
      <c r="J83" s="102"/>
      <c r="K83" s="102"/>
      <c r="L83" s="102"/>
      <c r="M83" s="102"/>
      <c r="N83" s="102"/>
      <c r="O83" s="99" t="s">
        <v>94</v>
      </c>
      <c r="P83" s="99"/>
      <c r="Q83" s="103">
        <v>30</v>
      </c>
      <c r="R83" s="104">
        <v>1</v>
      </c>
      <c r="S83" s="103"/>
      <c r="T83" s="103"/>
      <c r="U83" s="15"/>
      <c r="V83" s="15"/>
      <c r="W83" s="15"/>
      <c r="X83" s="99"/>
      <c r="Y83" s="71">
        <f ca="1">Table29[[#This Row],[5/9/2025]]+2-TODAY()</f>
        <v>143</v>
      </c>
      <c r="Z83" s="15">
        <f>IF(ISBLANK(Table29[[#This Row],[Roster Received By]]),1,0)</f>
        <v>1</v>
      </c>
      <c r="AA83" s="15">
        <f ca="1">IF(Table29[[#This Row],[5/5/2025]]&gt;TODAY(),1,)</f>
        <v>1</v>
      </c>
    </row>
    <row r="84" spans="1:27" s="106" customFormat="1" x14ac:dyDescent="0.25">
      <c r="A84" s="62"/>
      <c r="B84" s="99" t="s">
        <v>31</v>
      </c>
      <c r="C84" s="100" t="s">
        <v>173</v>
      </c>
      <c r="D84" s="100" t="s">
        <v>174</v>
      </c>
      <c r="E84" s="99" t="s">
        <v>267</v>
      </c>
      <c r="F84" s="102">
        <v>45694</v>
      </c>
      <c r="G84" s="102">
        <v>45694</v>
      </c>
      <c r="H84" s="101">
        <v>0.33333333333333331</v>
      </c>
      <c r="I84" s="101"/>
      <c r="J84" s="101"/>
      <c r="K84" s="101"/>
      <c r="L84" s="101"/>
      <c r="M84" s="101"/>
      <c r="N84" s="101"/>
      <c r="O84" s="99" t="s">
        <v>94</v>
      </c>
      <c r="P84" s="99"/>
      <c r="Q84" s="15">
        <v>30</v>
      </c>
      <c r="R84" s="15">
        <v>1</v>
      </c>
      <c r="S84" s="15"/>
      <c r="T84" s="103"/>
      <c r="U84" s="15"/>
      <c r="V84" s="15"/>
      <c r="W84" s="15"/>
      <c r="X84" s="99"/>
      <c r="Y84" s="71">
        <f ca="1">Table29[[#This Row],[5/9/2025]]+2-TODAY()</f>
        <v>164</v>
      </c>
      <c r="Z84" s="15">
        <f>IF(ISBLANK(Table29[[#This Row],[Roster Received By]]),1,0)</f>
        <v>1</v>
      </c>
      <c r="AA84" s="15">
        <f ca="1">IF(Table29[[#This Row],[5/5/2025]]&gt;TODAY(),1,)</f>
        <v>1</v>
      </c>
    </row>
    <row r="85" spans="1:27" s="106" customFormat="1" x14ac:dyDescent="0.25">
      <c r="A85" s="62"/>
      <c r="B85" s="99" t="s">
        <v>31</v>
      </c>
      <c r="C85" s="100" t="s">
        <v>173</v>
      </c>
      <c r="D85" s="100" t="s">
        <v>174</v>
      </c>
      <c r="E85" s="99" t="s">
        <v>121</v>
      </c>
      <c r="F85" s="102">
        <v>45701</v>
      </c>
      <c r="G85" s="102">
        <v>45701</v>
      </c>
      <c r="H85" s="101">
        <v>0.33333333333333331</v>
      </c>
      <c r="I85" s="101"/>
      <c r="J85" s="101"/>
      <c r="K85" s="101"/>
      <c r="L85" s="101"/>
      <c r="M85" s="101"/>
      <c r="N85" s="101"/>
      <c r="O85" s="99" t="s">
        <v>94</v>
      </c>
      <c r="P85" s="99"/>
      <c r="Q85" s="15">
        <v>30</v>
      </c>
      <c r="R85" s="15">
        <v>1</v>
      </c>
      <c r="S85" s="103"/>
      <c r="T85" s="103"/>
      <c r="U85" s="15"/>
      <c r="V85" s="15"/>
      <c r="W85" s="15"/>
      <c r="X85" s="99"/>
      <c r="Y85" s="71">
        <f ca="1">Table29[[#This Row],[5/9/2025]]+2-TODAY()</f>
        <v>171</v>
      </c>
      <c r="Z85" s="15">
        <f>IF(ISBLANK(Table29[[#This Row],[Roster Received By]]),1,0)</f>
        <v>1</v>
      </c>
      <c r="AA85" s="15">
        <f ca="1">IF(Table29[[#This Row],[5/5/2025]]&gt;TODAY(),1,)</f>
        <v>1</v>
      </c>
    </row>
    <row r="86" spans="1:27" s="106" customFormat="1" x14ac:dyDescent="0.25">
      <c r="A86" s="62" t="s">
        <v>391</v>
      </c>
      <c r="B86" s="99" t="s">
        <v>31</v>
      </c>
      <c r="C86" s="100" t="s">
        <v>173</v>
      </c>
      <c r="D86" s="100" t="s">
        <v>174</v>
      </c>
      <c r="E86" s="99" t="s">
        <v>157</v>
      </c>
      <c r="F86" s="102">
        <v>45701</v>
      </c>
      <c r="G86" s="102">
        <v>45701</v>
      </c>
      <c r="H86" s="101">
        <v>0.33333333333333331</v>
      </c>
      <c r="I86" s="101"/>
      <c r="J86" s="101"/>
      <c r="K86" s="101"/>
      <c r="L86" s="101"/>
      <c r="M86" s="101"/>
      <c r="N86" s="101"/>
      <c r="O86" s="99" t="s">
        <v>94</v>
      </c>
      <c r="P86" s="99"/>
      <c r="Q86" s="15">
        <v>30</v>
      </c>
      <c r="R86" s="15">
        <v>1</v>
      </c>
      <c r="S86" s="15"/>
      <c r="T86" s="103"/>
      <c r="U86" s="15"/>
      <c r="V86" s="15"/>
      <c r="W86" s="15"/>
      <c r="X86" s="99"/>
      <c r="Y86" s="71">
        <f ca="1">Table29[[#This Row],[5/9/2025]]+2-TODAY()</f>
        <v>171</v>
      </c>
      <c r="Z86" s="15">
        <f>IF(ISBLANK(Table29[[#This Row],[Roster Received By]]),1,0)</f>
        <v>1</v>
      </c>
      <c r="AA86" s="15">
        <f ca="1">IF(Table29[[#This Row],[5/5/2025]]&gt;TODAY(),1,)</f>
        <v>1</v>
      </c>
    </row>
    <row r="87" spans="1:27" s="62" customFormat="1" x14ac:dyDescent="0.25">
      <c r="B87" s="99" t="s">
        <v>31</v>
      </c>
      <c r="C87" s="100" t="s">
        <v>173</v>
      </c>
      <c r="D87" s="100" t="s">
        <v>174</v>
      </c>
      <c r="E87" s="99" t="s">
        <v>121</v>
      </c>
      <c r="F87" s="102">
        <v>45702</v>
      </c>
      <c r="G87" s="102">
        <v>45702</v>
      </c>
      <c r="H87" s="101">
        <v>0.33333333333333331</v>
      </c>
      <c r="I87" s="101"/>
      <c r="J87" s="101"/>
      <c r="K87" s="101"/>
      <c r="L87" s="101"/>
      <c r="M87" s="101"/>
      <c r="N87" s="101"/>
      <c r="O87" s="99" t="s">
        <v>94</v>
      </c>
      <c r="P87" s="99"/>
      <c r="Q87" s="15">
        <v>30</v>
      </c>
      <c r="R87" s="15">
        <v>1</v>
      </c>
      <c r="S87" s="15"/>
      <c r="T87" s="103"/>
      <c r="U87" s="15"/>
      <c r="V87" s="15"/>
      <c r="W87" s="15"/>
      <c r="X87" s="99"/>
      <c r="Y87" s="71">
        <f ca="1">Table29[[#This Row],[5/9/2025]]+2-TODAY()</f>
        <v>172</v>
      </c>
      <c r="Z87" s="15">
        <f>IF(ISBLANK(Table29[[#This Row],[Roster Received By]]),1,0)</f>
        <v>1</v>
      </c>
      <c r="AA87" s="15">
        <f ca="1">IF(Table29[[#This Row],[5/5/2025]]&gt;TODAY(),1,)</f>
        <v>1</v>
      </c>
    </row>
    <row r="88" spans="1:27" s="135" customFormat="1" x14ac:dyDescent="0.25">
      <c r="A88" s="62" t="s">
        <v>391</v>
      </c>
      <c r="B88" s="99" t="s">
        <v>31</v>
      </c>
      <c r="C88" s="100" t="s">
        <v>173</v>
      </c>
      <c r="D88" s="100" t="s">
        <v>174</v>
      </c>
      <c r="E88" s="99" t="s">
        <v>157</v>
      </c>
      <c r="F88" s="102">
        <v>45702</v>
      </c>
      <c r="G88" s="102">
        <v>45702</v>
      </c>
      <c r="H88" s="101">
        <v>0.33333333333333331</v>
      </c>
      <c r="I88" s="101"/>
      <c r="J88" s="101"/>
      <c r="K88" s="101"/>
      <c r="L88" s="101"/>
      <c r="M88" s="101"/>
      <c r="N88" s="101"/>
      <c r="O88" s="99" t="s">
        <v>94</v>
      </c>
      <c r="P88" s="99"/>
      <c r="Q88" s="15">
        <v>30</v>
      </c>
      <c r="R88" s="15">
        <v>1</v>
      </c>
      <c r="S88" s="15"/>
      <c r="T88" s="103"/>
      <c r="U88" s="15"/>
      <c r="V88" s="15"/>
      <c r="W88" s="15"/>
      <c r="X88" s="99"/>
      <c r="Y88" s="71">
        <f ca="1">Table29[[#This Row],[5/9/2025]]+2-TODAY()</f>
        <v>172</v>
      </c>
      <c r="Z88" s="15">
        <f>IF(ISBLANK(Table29[[#This Row],[Roster Received By]]),1,0)</f>
        <v>1</v>
      </c>
      <c r="AA88" s="15">
        <f ca="1">IF(Table29[[#This Row],[5/5/2025]]&gt;TODAY(),1,)</f>
        <v>1</v>
      </c>
    </row>
    <row r="89" spans="1:27" s="135" customFormat="1" x14ac:dyDescent="0.25">
      <c r="A89" s="62" t="s">
        <v>392</v>
      </c>
      <c r="B89" s="99" t="s">
        <v>31</v>
      </c>
      <c r="C89" s="100" t="s">
        <v>173</v>
      </c>
      <c r="D89" s="100" t="s">
        <v>174</v>
      </c>
      <c r="E89" s="99" t="s">
        <v>80</v>
      </c>
      <c r="F89" s="102">
        <v>45713</v>
      </c>
      <c r="G89" s="102">
        <v>45713</v>
      </c>
      <c r="H89" s="101"/>
      <c r="I89" s="176">
        <v>8.3333333333333329E-2</v>
      </c>
      <c r="J89" s="101"/>
      <c r="K89" s="101"/>
      <c r="L89" s="101">
        <v>0.33333333333333331</v>
      </c>
      <c r="M89" s="101"/>
      <c r="N89" s="101"/>
      <c r="O89" s="99" t="s">
        <v>94</v>
      </c>
      <c r="P89" s="99"/>
      <c r="Q89" s="15">
        <v>30</v>
      </c>
      <c r="R89" s="15">
        <v>1</v>
      </c>
      <c r="S89" s="15"/>
      <c r="T89" s="103"/>
      <c r="U89" s="15"/>
      <c r="V89" s="15"/>
      <c r="W89" s="100"/>
      <c r="X89" s="99"/>
      <c r="Y89" s="71">
        <f ca="1">Table29[[#This Row],[5/9/2025]]+2-TODAY()</f>
        <v>183</v>
      </c>
      <c r="Z89" s="15">
        <f>IF(ISBLANK(Table29[[#This Row],[Roster Received By]]),1,0)</f>
        <v>1</v>
      </c>
      <c r="AA89" s="15">
        <f ca="1">IF(Table29[[#This Row],[5/5/2025]]&gt;TODAY(),1,)</f>
        <v>1</v>
      </c>
    </row>
    <row r="90" spans="1:27" s="135" customFormat="1" x14ac:dyDescent="0.25">
      <c r="A90" s="62"/>
      <c r="B90" s="99" t="s">
        <v>31</v>
      </c>
      <c r="C90" s="100" t="s">
        <v>173</v>
      </c>
      <c r="D90" s="100" t="s">
        <v>174</v>
      </c>
      <c r="E90" s="65" t="s">
        <v>153</v>
      </c>
      <c r="F90" s="102">
        <v>45722</v>
      </c>
      <c r="G90" s="102">
        <v>45722</v>
      </c>
      <c r="H90" s="101">
        <v>0.33333333333333331</v>
      </c>
      <c r="I90" s="101"/>
      <c r="J90" s="105"/>
      <c r="K90" s="105"/>
      <c r="L90" s="105"/>
      <c r="M90" s="105"/>
      <c r="N90" s="105"/>
      <c r="O90" s="99" t="s">
        <v>94</v>
      </c>
      <c r="P90" s="99"/>
      <c r="Q90" s="15">
        <v>30</v>
      </c>
      <c r="R90" s="15">
        <v>1</v>
      </c>
      <c r="S90" s="15"/>
      <c r="T90" s="103"/>
      <c r="U90" s="15"/>
      <c r="V90" s="15"/>
      <c r="W90" s="15"/>
      <c r="X90" s="99"/>
      <c r="Y90" s="71">
        <f ca="1">Table29[[#This Row],[5/9/2025]]+2-TODAY()</f>
        <v>192</v>
      </c>
      <c r="Z90" s="15">
        <f>IF(ISBLANK(Table29[[#This Row],[Roster Received By]]),1,0)</f>
        <v>1</v>
      </c>
      <c r="AA90" s="15">
        <f ca="1">IF(Table29[[#This Row],[5/5/2025]]&gt;TODAY(),1,)</f>
        <v>1</v>
      </c>
    </row>
    <row r="91" spans="1:27" s="106" customFormat="1" x14ac:dyDescent="0.25">
      <c r="A91" s="62" t="s">
        <v>395</v>
      </c>
      <c r="B91" s="99" t="s">
        <v>31</v>
      </c>
      <c r="C91" s="100" t="s">
        <v>173</v>
      </c>
      <c r="D91" s="100" t="s">
        <v>174</v>
      </c>
      <c r="E91" s="99" t="s">
        <v>80</v>
      </c>
      <c r="F91" s="174">
        <v>45733</v>
      </c>
      <c r="G91" s="174">
        <v>45733</v>
      </c>
      <c r="H91" s="101"/>
      <c r="I91" s="105">
        <v>0.45833333333333331</v>
      </c>
      <c r="J91" s="101">
        <v>0.33333333333333331</v>
      </c>
      <c r="K91" s="102"/>
      <c r="L91" s="102"/>
      <c r="M91" s="102"/>
      <c r="N91" s="102"/>
      <c r="O91" s="99" t="s">
        <v>94</v>
      </c>
      <c r="P91" s="99"/>
      <c r="Q91" s="103">
        <v>30</v>
      </c>
      <c r="R91" s="104">
        <v>1</v>
      </c>
      <c r="S91" s="103"/>
      <c r="T91" s="103"/>
      <c r="U91" s="15"/>
      <c r="V91" s="15"/>
      <c r="W91" s="15"/>
      <c r="X91" s="99"/>
      <c r="Y91" s="71">
        <f ca="1">Table29[[#This Row],[5/9/2025]]+2-TODAY()</f>
        <v>203</v>
      </c>
      <c r="Z91" s="15">
        <f>IF(ISBLANK(Table29[[#This Row],[Roster Received By]]),1,0)</f>
        <v>1</v>
      </c>
      <c r="AA91" s="15">
        <f ca="1">IF(Table29[[#This Row],[5/5/2025]]&gt;TODAY(),1,)</f>
        <v>1</v>
      </c>
    </row>
    <row r="92" spans="1:27" s="106" customFormat="1" x14ac:dyDescent="0.25">
      <c r="A92" s="62"/>
      <c r="B92" s="99" t="s">
        <v>31</v>
      </c>
      <c r="C92" s="100" t="s">
        <v>173</v>
      </c>
      <c r="D92" s="100" t="s">
        <v>174</v>
      </c>
      <c r="E92" s="99" t="s">
        <v>172</v>
      </c>
      <c r="F92" s="102">
        <v>45743</v>
      </c>
      <c r="G92" s="102">
        <v>45743</v>
      </c>
      <c r="H92" s="101">
        <v>0.33333333333333331</v>
      </c>
      <c r="I92" s="105"/>
      <c r="J92" s="102"/>
      <c r="K92" s="102"/>
      <c r="L92" s="102"/>
      <c r="M92" s="102"/>
      <c r="N92" s="102"/>
      <c r="O92" s="99" t="s">
        <v>94</v>
      </c>
      <c r="P92" s="99"/>
      <c r="Q92" s="15">
        <v>30</v>
      </c>
      <c r="R92" s="15">
        <v>1</v>
      </c>
      <c r="S92" s="15"/>
      <c r="T92" s="103"/>
      <c r="U92" s="15"/>
      <c r="V92" s="15"/>
      <c r="W92" s="15"/>
      <c r="X92" s="99"/>
      <c r="Y92" s="71">
        <f ca="1">Table29[[#This Row],[5/9/2025]]+2-TODAY()</f>
        <v>213</v>
      </c>
      <c r="Z92" s="15">
        <f>IF(ISBLANK(Table29[[#This Row],[Roster Received By]]),1,0)</f>
        <v>1</v>
      </c>
      <c r="AA92" s="15">
        <f ca="1">IF(Table29[[#This Row],[5/5/2025]]&gt;TODAY(),1,)</f>
        <v>1</v>
      </c>
    </row>
    <row r="93" spans="1:27" s="106" customFormat="1" x14ac:dyDescent="0.25">
      <c r="A93" s="62" t="s">
        <v>385</v>
      </c>
      <c r="B93" s="99" t="s">
        <v>31</v>
      </c>
      <c r="C93" s="100" t="s">
        <v>173</v>
      </c>
      <c r="D93" s="100" t="s">
        <v>174</v>
      </c>
      <c r="E93" s="99" t="s">
        <v>80</v>
      </c>
      <c r="F93" s="102">
        <v>45754</v>
      </c>
      <c r="G93" s="102">
        <v>45754</v>
      </c>
      <c r="H93" s="101"/>
      <c r="I93" s="101">
        <v>0.33333333333333331</v>
      </c>
      <c r="J93" s="101"/>
      <c r="K93" s="101"/>
      <c r="L93" s="101"/>
      <c r="M93" s="101"/>
      <c r="N93" s="101"/>
      <c r="O93" s="99" t="s">
        <v>94</v>
      </c>
      <c r="P93" s="99"/>
      <c r="Q93" s="15">
        <v>30</v>
      </c>
      <c r="R93" s="15">
        <v>1</v>
      </c>
      <c r="S93" s="15"/>
      <c r="T93" s="103"/>
      <c r="U93" s="15"/>
      <c r="V93" s="15"/>
      <c r="W93" s="15"/>
      <c r="X93" s="99"/>
      <c r="Y93" s="71">
        <f ca="1">Table29[[#This Row],[5/9/2025]]+2-TODAY()</f>
        <v>224</v>
      </c>
      <c r="Z93" s="15">
        <f>IF(ISBLANK(Table29[[#This Row],[Roster Received By]]),1,0)</f>
        <v>1</v>
      </c>
      <c r="AA93" s="15">
        <f ca="1">IF(Table29[[#This Row],[5/5/2025]]&gt;TODAY(),1,)</f>
        <v>1</v>
      </c>
    </row>
    <row r="94" spans="1:27" s="106" customFormat="1" x14ac:dyDescent="0.25">
      <c r="A94" s="62"/>
      <c r="B94" s="99" t="s">
        <v>31</v>
      </c>
      <c r="C94" s="100" t="s">
        <v>173</v>
      </c>
      <c r="D94" s="100" t="s">
        <v>174</v>
      </c>
      <c r="E94" s="99" t="s">
        <v>272</v>
      </c>
      <c r="F94" s="102">
        <v>45757</v>
      </c>
      <c r="G94" s="102">
        <v>45757</v>
      </c>
      <c r="H94" s="101">
        <v>0.33333333333333331</v>
      </c>
      <c r="I94" s="108"/>
      <c r="J94" s="102"/>
      <c r="K94" s="102"/>
      <c r="L94" s="102"/>
      <c r="M94" s="102"/>
      <c r="N94" s="102"/>
      <c r="O94" s="99" t="s">
        <v>94</v>
      </c>
      <c r="P94" s="99"/>
      <c r="Q94" s="15">
        <v>30</v>
      </c>
      <c r="R94" s="15">
        <v>1</v>
      </c>
      <c r="S94" s="15"/>
      <c r="T94" s="103"/>
      <c r="U94" s="15"/>
      <c r="V94" s="15"/>
      <c r="W94" s="15"/>
      <c r="X94" s="99"/>
      <c r="Y94" s="71">
        <f ca="1">Table29[[#This Row],[5/9/2025]]+2-TODAY()</f>
        <v>227</v>
      </c>
      <c r="Z94" s="15">
        <f>IF(ISBLANK(Table29[[#This Row],[Roster Received By]]),1,0)</f>
        <v>1</v>
      </c>
      <c r="AA94" s="15">
        <f ca="1">IF(Table29[[#This Row],[5/5/2025]]&gt;TODAY(),1,)</f>
        <v>1</v>
      </c>
    </row>
    <row r="95" spans="1:27" s="106" customFormat="1" x14ac:dyDescent="0.25">
      <c r="A95" s="62"/>
      <c r="B95" s="99" t="s">
        <v>31</v>
      </c>
      <c r="C95" s="100" t="s">
        <v>173</v>
      </c>
      <c r="D95" s="100" t="s">
        <v>174</v>
      </c>
      <c r="E95" s="99" t="s">
        <v>161</v>
      </c>
      <c r="F95" s="102">
        <v>45785</v>
      </c>
      <c r="G95" s="102">
        <v>45785</v>
      </c>
      <c r="H95" s="101">
        <v>0.33333333333333331</v>
      </c>
      <c r="I95" s="101"/>
      <c r="J95" s="101"/>
      <c r="K95" s="101"/>
      <c r="L95" s="101"/>
      <c r="M95" s="101"/>
      <c r="N95" s="101"/>
      <c r="O95" s="99" t="s">
        <v>94</v>
      </c>
      <c r="P95" s="99"/>
      <c r="Q95" s="15">
        <v>30</v>
      </c>
      <c r="R95" s="15">
        <v>1</v>
      </c>
      <c r="S95" s="15"/>
      <c r="T95" s="103"/>
      <c r="U95" s="15"/>
      <c r="V95" s="15"/>
      <c r="W95" s="15"/>
      <c r="X95" s="99"/>
      <c r="Y95" s="71">
        <f ca="1">Table29[[#This Row],[5/9/2025]]+2-TODAY()</f>
        <v>255</v>
      </c>
      <c r="Z95" s="15">
        <f>IF(ISBLANK(Table29[[#This Row],[Roster Received By]]),1,0)</f>
        <v>1</v>
      </c>
      <c r="AA95" s="15">
        <f ca="1">IF(Table29[[#This Row],[5/5/2025]]&gt;TODAY(),1,)</f>
        <v>1</v>
      </c>
    </row>
    <row r="96" spans="1:27" s="106" customFormat="1" x14ac:dyDescent="0.25">
      <c r="A96" s="99"/>
      <c r="B96" s="99" t="s">
        <v>31</v>
      </c>
      <c r="C96" s="100" t="s">
        <v>173</v>
      </c>
      <c r="D96" s="100" t="s">
        <v>174</v>
      </c>
      <c r="E96" s="99" t="s">
        <v>267</v>
      </c>
      <c r="F96" s="102">
        <v>45792</v>
      </c>
      <c r="G96" s="102">
        <v>45792</v>
      </c>
      <c r="H96" s="101">
        <v>0.33333333333333331</v>
      </c>
      <c r="I96" s="101"/>
      <c r="J96" s="102"/>
      <c r="K96" s="102"/>
      <c r="L96" s="102"/>
      <c r="M96" s="102"/>
      <c r="N96" s="102"/>
      <c r="O96" s="99" t="s">
        <v>94</v>
      </c>
      <c r="P96" s="99"/>
      <c r="Q96" s="15">
        <v>30</v>
      </c>
      <c r="R96" s="15">
        <v>1</v>
      </c>
      <c r="S96" s="15"/>
      <c r="T96" s="103"/>
      <c r="U96" s="15"/>
      <c r="V96" s="15"/>
      <c r="W96" s="15"/>
      <c r="X96" s="99"/>
      <c r="Y96" s="71">
        <f ca="1">Table29[[#This Row],[5/9/2025]]+2-TODAY()</f>
        <v>262</v>
      </c>
      <c r="Z96" s="15">
        <f>IF(ISBLANK(Table29[[#This Row],[Roster Received By]]),1,0)</f>
        <v>1</v>
      </c>
      <c r="AA96" s="15">
        <f ca="1">IF(Table29[[#This Row],[5/5/2025]]&gt;TODAY(),1,)</f>
        <v>1</v>
      </c>
    </row>
    <row r="97" spans="1:27" s="106" customFormat="1" x14ac:dyDescent="0.25">
      <c r="A97" s="62" t="s">
        <v>656</v>
      </c>
      <c r="B97" s="99" t="s">
        <v>31</v>
      </c>
      <c r="C97" s="100" t="s">
        <v>173</v>
      </c>
      <c r="D97" s="100" t="s">
        <v>174</v>
      </c>
      <c r="E97" s="99" t="s">
        <v>80</v>
      </c>
      <c r="F97" s="102">
        <v>45818</v>
      </c>
      <c r="G97" s="102">
        <v>45818</v>
      </c>
      <c r="H97" s="101"/>
      <c r="I97" s="177">
        <v>0.79166666666666663</v>
      </c>
      <c r="J97" s="105"/>
      <c r="K97" s="105"/>
      <c r="L97" s="105"/>
      <c r="M97" s="139"/>
      <c r="N97" s="101">
        <v>0.33333333333333331</v>
      </c>
      <c r="O97" s="99" t="s">
        <v>94</v>
      </c>
      <c r="P97" s="99"/>
      <c r="Q97" s="15">
        <v>30</v>
      </c>
      <c r="R97" s="15">
        <v>1</v>
      </c>
      <c r="S97" s="15"/>
      <c r="T97" s="103"/>
      <c r="U97" s="15"/>
      <c r="V97" s="15"/>
      <c r="W97" s="15"/>
      <c r="X97" s="99"/>
      <c r="Y97" s="71">
        <f ca="1">Table29[[#This Row],[5/9/2025]]+2-TODAY()</f>
        <v>288</v>
      </c>
      <c r="Z97" s="15">
        <f>IF(ISBLANK(Table29[[#This Row],[Roster Received By]]),1,0)</f>
        <v>1</v>
      </c>
      <c r="AA97" s="15">
        <f ca="1">IF(Table29[[#This Row],[5/5/2025]]&gt;TODAY(),1,)</f>
        <v>1</v>
      </c>
    </row>
    <row r="98" spans="1:27" s="106" customFormat="1" x14ac:dyDescent="0.25">
      <c r="A98" s="62"/>
      <c r="B98" s="99" t="s">
        <v>31</v>
      </c>
      <c r="C98" s="100" t="s">
        <v>173</v>
      </c>
      <c r="D98" s="100" t="s">
        <v>174</v>
      </c>
      <c r="E98" s="99" t="s">
        <v>299</v>
      </c>
      <c r="F98" s="102">
        <v>45820</v>
      </c>
      <c r="G98" s="102">
        <v>45820</v>
      </c>
      <c r="H98" s="101">
        <v>0.33333333333333331</v>
      </c>
      <c r="I98" s="101"/>
      <c r="J98" s="101"/>
      <c r="K98" s="101"/>
      <c r="L98" s="101"/>
      <c r="M98" s="101"/>
      <c r="N98" s="101"/>
      <c r="O98" s="99" t="s">
        <v>94</v>
      </c>
      <c r="P98" s="99"/>
      <c r="Q98" s="15">
        <v>30</v>
      </c>
      <c r="R98" s="15">
        <v>1</v>
      </c>
      <c r="S98" s="15"/>
      <c r="T98" s="103"/>
      <c r="U98" s="15"/>
      <c r="V98" s="15"/>
      <c r="W98" s="15"/>
      <c r="X98" s="99"/>
      <c r="Y98" s="71">
        <f ca="1">Table29[[#This Row],[5/9/2025]]+2-TODAY()</f>
        <v>290</v>
      </c>
      <c r="Z98" s="15">
        <f>IF(ISBLANK(Table29[[#This Row],[Roster Received By]]),1,0)</f>
        <v>1</v>
      </c>
      <c r="AA98" s="15">
        <f ca="1">IF(Table29[[#This Row],[5/5/2025]]&gt;TODAY(),1,)</f>
        <v>1</v>
      </c>
    </row>
    <row r="99" spans="1:27" s="106" customFormat="1" x14ac:dyDescent="0.25">
      <c r="A99" s="62"/>
      <c r="B99" s="99" t="s">
        <v>31</v>
      </c>
      <c r="C99" s="100" t="s">
        <v>173</v>
      </c>
      <c r="D99" s="100" t="s">
        <v>174</v>
      </c>
      <c r="E99" s="99" t="s">
        <v>276</v>
      </c>
      <c r="F99" s="102">
        <v>45855</v>
      </c>
      <c r="G99" s="102">
        <v>45855</v>
      </c>
      <c r="H99" s="101">
        <v>0.33333333333333331</v>
      </c>
      <c r="I99" s="101"/>
      <c r="J99" s="102"/>
      <c r="K99" s="102"/>
      <c r="L99" s="102"/>
      <c r="M99" s="102"/>
      <c r="N99" s="102"/>
      <c r="O99" s="99" t="s">
        <v>94</v>
      </c>
      <c r="P99" s="99"/>
      <c r="Q99" s="15">
        <v>30</v>
      </c>
      <c r="R99" s="15">
        <v>1</v>
      </c>
      <c r="S99" s="103"/>
      <c r="T99" s="103"/>
      <c r="U99" s="15"/>
      <c r="V99" s="15"/>
      <c r="W99" s="15"/>
      <c r="X99" s="99"/>
      <c r="Y99" s="71">
        <f ca="1">Table29[[#This Row],[5/9/2025]]+2-TODAY()</f>
        <v>325</v>
      </c>
      <c r="Z99" s="15">
        <f>IF(ISBLANK(Table29[[#This Row],[Roster Received By]]),1,0)</f>
        <v>1</v>
      </c>
      <c r="AA99" s="15">
        <f ca="1">IF(Table29[[#This Row],[5/5/2025]]&gt;TODAY(),1,)</f>
        <v>1</v>
      </c>
    </row>
    <row r="100" spans="1:27" s="106" customFormat="1" x14ac:dyDescent="0.25">
      <c r="A100" s="62"/>
      <c r="B100" s="99" t="s">
        <v>31</v>
      </c>
      <c r="C100" s="100" t="s">
        <v>173</v>
      </c>
      <c r="D100" s="100" t="s">
        <v>174</v>
      </c>
      <c r="E100" s="65" t="s">
        <v>102</v>
      </c>
      <c r="F100" s="102">
        <v>45862</v>
      </c>
      <c r="G100" s="102">
        <v>45862</v>
      </c>
      <c r="H100" s="101">
        <v>0.33333333333333331</v>
      </c>
      <c r="I100" s="105"/>
      <c r="J100" s="101"/>
      <c r="K100" s="105"/>
      <c r="L100" s="105"/>
      <c r="M100" s="105"/>
      <c r="N100" s="105"/>
      <c r="O100" s="99" t="s">
        <v>94</v>
      </c>
      <c r="P100" s="99"/>
      <c r="Q100" s="15">
        <v>30</v>
      </c>
      <c r="R100" s="15">
        <v>1</v>
      </c>
      <c r="S100" s="15"/>
      <c r="T100" s="103"/>
      <c r="U100" s="15"/>
      <c r="V100" s="15"/>
      <c r="W100" s="15"/>
      <c r="X100" s="99"/>
      <c r="Y100" s="71">
        <f ca="1">Table29[[#This Row],[5/9/2025]]+2-TODAY()</f>
        <v>332</v>
      </c>
      <c r="Z100" s="15">
        <f>IF(ISBLANK(Table29[[#This Row],[Roster Received By]]),1,0)</f>
        <v>1</v>
      </c>
      <c r="AA100" s="15">
        <f ca="1">IF(Table29[[#This Row],[5/5/2025]]&gt;TODAY(),1,)</f>
        <v>1</v>
      </c>
    </row>
    <row r="101" spans="1:27" s="106" customFormat="1" x14ac:dyDescent="0.25">
      <c r="A101" s="99" t="s">
        <v>395</v>
      </c>
      <c r="B101" s="99" t="s">
        <v>31</v>
      </c>
      <c r="C101" s="100" t="s">
        <v>173</v>
      </c>
      <c r="D101" s="100" t="s">
        <v>174</v>
      </c>
      <c r="E101" s="99" t="s">
        <v>80</v>
      </c>
      <c r="F101" s="102">
        <v>45873</v>
      </c>
      <c r="G101" s="102">
        <v>45873</v>
      </c>
      <c r="H101" s="101"/>
      <c r="I101" s="108">
        <v>0.45833333333333331</v>
      </c>
      <c r="J101" s="101">
        <v>0.33333333333333331</v>
      </c>
      <c r="K101" s="102"/>
      <c r="L101" s="102"/>
      <c r="M101" s="102"/>
      <c r="N101" s="102"/>
      <c r="O101" s="99" t="s">
        <v>94</v>
      </c>
      <c r="P101" s="99"/>
      <c r="Q101" s="15">
        <v>30</v>
      </c>
      <c r="R101" s="15">
        <v>1</v>
      </c>
      <c r="S101" s="15"/>
      <c r="T101" s="103"/>
      <c r="U101" s="15"/>
      <c r="V101" s="15"/>
      <c r="W101" s="15"/>
      <c r="X101" s="99"/>
      <c r="Y101" s="71">
        <f ca="1">Table29[[#This Row],[5/9/2025]]+2-TODAY()</f>
        <v>343</v>
      </c>
      <c r="Z101" s="15">
        <f>IF(ISBLANK(Table29[[#This Row],[Roster Received By]]),1,0)</f>
        <v>1</v>
      </c>
      <c r="AA101" s="15">
        <f ca="1">IF(Table29[[#This Row],[5/5/2025]]&gt;TODAY(),1,)</f>
        <v>1</v>
      </c>
    </row>
    <row r="102" spans="1:27" s="106" customFormat="1" x14ac:dyDescent="0.25">
      <c r="A102" s="100"/>
      <c r="B102" s="99" t="s">
        <v>31</v>
      </c>
      <c r="C102" s="100" t="s">
        <v>173</v>
      </c>
      <c r="D102" s="100" t="s">
        <v>174</v>
      </c>
      <c r="E102" s="99" t="s">
        <v>267</v>
      </c>
      <c r="F102" s="67">
        <v>45876</v>
      </c>
      <c r="G102" s="67">
        <v>45876</v>
      </c>
      <c r="H102" s="101">
        <v>0.33333333333333331</v>
      </c>
      <c r="I102" s="105"/>
      <c r="J102" s="105"/>
      <c r="K102" s="105"/>
      <c r="L102" s="105"/>
      <c r="M102" s="101"/>
      <c r="N102" s="105"/>
      <c r="O102" s="99" t="s">
        <v>94</v>
      </c>
      <c r="P102" s="99"/>
      <c r="Q102" s="15">
        <v>30</v>
      </c>
      <c r="R102" s="15">
        <v>1</v>
      </c>
      <c r="S102" s="15"/>
      <c r="T102" s="103"/>
      <c r="U102" s="15"/>
      <c r="V102" s="15"/>
      <c r="W102" s="103"/>
      <c r="X102" s="99"/>
      <c r="Y102" s="71">
        <f ca="1">Table29[[#This Row],[5/9/2025]]+2-TODAY()</f>
        <v>346</v>
      </c>
      <c r="Z102" s="15">
        <f>IF(ISBLANK(Table29[[#This Row],[Roster Received By]]),1,0)</f>
        <v>1</v>
      </c>
      <c r="AA102" s="15">
        <f ca="1">IF(Table29[[#This Row],[5/5/2025]]&gt;TODAY(),1,)</f>
        <v>1</v>
      </c>
    </row>
    <row r="103" spans="1:27" s="106" customFormat="1" x14ac:dyDescent="0.25">
      <c r="A103" s="62"/>
      <c r="B103" s="99" t="s">
        <v>31</v>
      </c>
      <c r="C103" s="100" t="s">
        <v>173</v>
      </c>
      <c r="D103" s="100" t="s">
        <v>174</v>
      </c>
      <c r="E103" s="99" t="s">
        <v>309</v>
      </c>
      <c r="F103" s="67">
        <v>45890</v>
      </c>
      <c r="G103" s="67">
        <v>45890</v>
      </c>
      <c r="H103" s="101">
        <v>0.33333333333333331</v>
      </c>
      <c r="I103" s="105"/>
      <c r="J103" s="101"/>
      <c r="K103" s="105"/>
      <c r="L103" s="105"/>
      <c r="M103" s="105"/>
      <c r="N103" s="105"/>
      <c r="O103" s="99" t="s">
        <v>94</v>
      </c>
      <c r="P103" s="99"/>
      <c r="Q103" s="15">
        <v>30</v>
      </c>
      <c r="R103" s="15">
        <v>1</v>
      </c>
      <c r="S103" s="15"/>
      <c r="T103" s="103"/>
      <c r="U103" s="15"/>
      <c r="V103" s="15"/>
      <c r="W103" s="15"/>
      <c r="X103" s="99"/>
      <c r="Y103" s="71">
        <f ca="1">Table29[[#This Row],[5/9/2025]]+2-TODAY()</f>
        <v>360</v>
      </c>
      <c r="Z103" s="15">
        <f>IF(ISBLANK(Table29[[#This Row],[Roster Received By]]),1,0)</f>
        <v>1</v>
      </c>
      <c r="AA103" s="15">
        <f ca="1">IF(Table29[[#This Row],[5/5/2025]]&gt;TODAY(),1,)</f>
        <v>1</v>
      </c>
    </row>
    <row r="104" spans="1:27" s="135" customFormat="1" x14ac:dyDescent="0.25">
      <c r="A104" s="62"/>
      <c r="B104" s="99" t="s">
        <v>31</v>
      </c>
      <c r="C104" s="100" t="s">
        <v>173</v>
      </c>
      <c r="D104" s="100" t="s">
        <v>174</v>
      </c>
      <c r="E104" s="99" t="s">
        <v>168</v>
      </c>
      <c r="F104" s="102">
        <v>45905</v>
      </c>
      <c r="G104" s="102">
        <v>45905</v>
      </c>
      <c r="H104" s="101">
        <v>0.33333333333333331</v>
      </c>
      <c r="I104" s="105"/>
      <c r="J104" s="102"/>
      <c r="K104" s="102"/>
      <c r="L104" s="102"/>
      <c r="M104" s="102"/>
      <c r="N104" s="102"/>
      <c r="O104" s="99" t="s">
        <v>94</v>
      </c>
      <c r="P104" s="99"/>
      <c r="Q104" s="103">
        <v>30</v>
      </c>
      <c r="R104" s="104">
        <v>1</v>
      </c>
      <c r="S104" s="103"/>
      <c r="T104" s="103"/>
      <c r="U104" s="15"/>
      <c r="V104" s="15"/>
      <c r="W104" s="15"/>
      <c r="X104" s="99"/>
      <c r="Y104" s="71">
        <f ca="1">Table29[[#This Row],[5/9/2025]]+2-TODAY()</f>
        <v>375</v>
      </c>
      <c r="Z104" s="15">
        <f>IF(ISBLANK(Table29[[#This Row],[Roster Received By]]),1,0)</f>
        <v>1</v>
      </c>
      <c r="AA104" s="15">
        <f ca="1">IF(Table29[[#This Row],[5/5/2025]]&gt;TODAY(),1,)</f>
        <v>1</v>
      </c>
    </row>
    <row r="105" spans="1:27" s="106" customFormat="1" x14ac:dyDescent="0.25">
      <c r="A105" s="62"/>
      <c r="B105" s="99" t="s">
        <v>31</v>
      </c>
      <c r="C105" s="100" t="s">
        <v>173</v>
      </c>
      <c r="D105" s="100" t="s">
        <v>174</v>
      </c>
      <c r="E105" s="99" t="s">
        <v>275</v>
      </c>
      <c r="F105" s="102">
        <v>45911</v>
      </c>
      <c r="G105" s="102">
        <v>45911</v>
      </c>
      <c r="H105" s="101">
        <v>0.33333333333333331</v>
      </c>
      <c r="I105" s="105"/>
      <c r="J105" s="105"/>
      <c r="K105" s="105"/>
      <c r="L105" s="105"/>
      <c r="M105" s="105"/>
      <c r="N105" s="105"/>
      <c r="O105" s="99" t="s">
        <v>94</v>
      </c>
      <c r="P105" s="99"/>
      <c r="Q105" s="15">
        <v>30</v>
      </c>
      <c r="R105" s="15">
        <v>1</v>
      </c>
      <c r="S105" s="15"/>
      <c r="T105" s="103"/>
      <c r="U105" s="15"/>
      <c r="V105" s="15"/>
      <c r="W105" s="15"/>
      <c r="X105" s="99"/>
      <c r="Y105" s="71">
        <f ca="1">Table29[[#This Row],[5/9/2025]]+2-TODAY()</f>
        <v>381</v>
      </c>
      <c r="Z105" s="15">
        <f>IF(ISBLANK(Table29[[#This Row],[Roster Received By]]),1,0)</f>
        <v>1</v>
      </c>
      <c r="AA105" s="15">
        <f ca="1">IF(Table29[[#This Row],[5/5/2025]]&gt;TODAY(),1,)</f>
        <v>1</v>
      </c>
    </row>
    <row r="106" spans="1:27" s="62" customFormat="1" x14ac:dyDescent="0.25">
      <c r="A106" s="99" t="s">
        <v>392</v>
      </c>
      <c r="B106" s="99" t="s">
        <v>31</v>
      </c>
      <c r="C106" s="100" t="s">
        <v>173</v>
      </c>
      <c r="D106" s="100" t="s">
        <v>174</v>
      </c>
      <c r="E106" s="99" t="s">
        <v>80</v>
      </c>
      <c r="F106" s="102">
        <v>45923</v>
      </c>
      <c r="G106" s="102">
        <v>45923</v>
      </c>
      <c r="H106" s="101"/>
      <c r="I106" s="105">
        <v>8.3333333333333329E-2</v>
      </c>
      <c r="J106" s="101"/>
      <c r="K106" s="101"/>
      <c r="L106" s="101">
        <v>0.33333333333333331</v>
      </c>
      <c r="M106" s="101"/>
      <c r="N106" s="101"/>
      <c r="O106" s="99" t="s">
        <v>94</v>
      </c>
      <c r="P106" s="99"/>
      <c r="Q106" s="15">
        <v>30</v>
      </c>
      <c r="R106" s="15">
        <v>1</v>
      </c>
      <c r="S106" s="15"/>
      <c r="T106" s="103"/>
      <c r="U106" s="15"/>
      <c r="V106" s="15"/>
      <c r="W106" s="15"/>
      <c r="X106" s="99"/>
      <c r="Y106" s="71">
        <f ca="1">Table29[[#This Row],[5/9/2025]]+2-TODAY()</f>
        <v>393</v>
      </c>
      <c r="Z106" s="15">
        <f>IF(ISBLANK(Table29[[#This Row],[Roster Received By]]),1,0)</f>
        <v>1</v>
      </c>
      <c r="AA106" s="15">
        <f ca="1">IF(Table29[[#This Row],[5/5/2025]]&gt;TODAY(),1,)</f>
        <v>1</v>
      </c>
    </row>
    <row r="107" spans="1:27" s="62" customFormat="1" x14ac:dyDescent="0.25">
      <c r="B107" s="99" t="s">
        <v>32</v>
      </c>
      <c r="C107" s="100" t="s">
        <v>177</v>
      </c>
      <c r="D107" s="100" t="s">
        <v>178</v>
      </c>
      <c r="E107" s="99" t="s">
        <v>276</v>
      </c>
      <c r="F107" s="102">
        <v>45678</v>
      </c>
      <c r="G107" s="102">
        <v>45679</v>
      </c>
      <c r="H107" s="101">
        <v>0.33333333333333331</v>
      </c>
      <c r="I107" s="101"/>
      <c r="J107" s="101"/>
      <c r="K107" s="101"/>
      <c r="L107" s="101"/>
      <c r="M107" s="101"/>
      <c r="N107" s="101"/>
      <c r="O107" s="99" t="s">
        <v>94</v>
      </c>
      <c r="P107" s="99"/>
      <c r="Q107" s="15">
        <v>30</v>
      </c>
      <c r="R107" s="15">
        <v>2</v>
      </c>
      <c r="S107" s="15"/>
      <c r="T107" s="103"/>
      <c r="U107" s="15"/>
      <c r="V107" s="15"/>
      <c r="W107" s="15"/>
      <c r="X107" s="99"/>
      <c r="Y107" s="71">
        <f ca="1">Table29[[#This Row],[5/9/2025]]+2-TODAY()</f>
        <v>149</v>
      </c>
      <c r="Z107" s="15">
        <f>IF(ISBLANK(Table29[[#This Row],[Roster Received By]]),1,0)</f>
        <v>1</v>
      </c>
      <c r="AA107" s="15">
        <f ca="1">IF(Table29[[#This Row],[5/5/2025]]&gt;TODAY(),1,)</f>
        <v>1</v>
      </c>
    </row>
    <row r="108" spans="1:27" s="62" customFormat="1" x14ac:dyDescent="0.25">
      <c r="A108" s="62" t="s">
        <v>391</v>
      </c>
      <c r="B108" s="99" t="s">
        <v>32</v>
      </c>
      <c r="C108" s="100" t="s">
        <v>177</v>
      </c>
      <c r="D108" s="100" t="s">
        <v>178</v>
      </c>
      <c r="E108" s="99" t="s">
        <v>157</v>
      </c>
      <c r="F108" s="102">
        <v>45691</v>
      </c>
      <c r="G108" s="102">
        <v>45692</v>
      </c>
      <c r="H108" s="101">
        <v>0.33333333333333331</v>
      </c>
      <c r="I108" s="101"/>
      <c r="J108" s="101"/>
      <c r="K108" s="101"/>
      <c r="L108" s="101"/>
      <c r="M108" s="101"/>
      <c r="N108" s="101"/>
      <c r="O108" s="99" t="s">
        <v>94</v>
      </c>
      <c r="P108" s="99"/>
      <c r="Q108" s="15">
        <v>30</v>
      </c>
      <c r="R108" s="15">
        <v>2</v>
      </c>
      <c r="S108" s="15"/>
      <c r="T108" s="103"/>
      <c r="U108" s="15"/>
      <c r="V108" s="15"/>
      <c r="W108" s="15"/>
      <c r="X108" s="99"/>
      <c r="Y108" s="71">
        <f ca="1">Table29[[#This Row],[5/9/2025]]+2-TODAY()</f>
        <v>162</v>
      </c>
      <c r="Z108" s="15">
        <f>IF(ISBLANK(Table29[[#This Row],[Roster Received By]]),1,0)</f>
        <v>1</v>
      </c>
      <c r="AA108" s="15">
        <f ca="1">IF(Table29[[#This Row],[5/5/2025]]&gt;TODAY(),1,)</f>
        <v>1</v>
      </c>
    </row>
    <row r="109" spans="1:27" s="62" customFormat="1" x14ac:dyDescent="0.25">
      <c r="B109" s="99" t="s">
        <v>32</v>
      </c>
      <c r="C109" s="100" t="s">
        <v>177</v>
      </c>
      <c r="D109" s="100" t="s">
        <v>178</v>
      </c>
      <c r="E109" s="99" t="s">
        <v>91</v>
      </c>
      <c r="F109" s="102">
        <v>45726</v>
      </c>
      <c r="G109" s="102">
        <v>45727</v>
      </c>
      <c r="H109" s="101">
        <v>0.33333333333333331</v>
      </c>
      <c r="I109" s="101"/>
      <c r="J109" s="101"/>
      <c r="K109" s="101"/>
      <c r="L109" s="101"/>
      <c r="M109" s="101"/>
      <c r="N109" s="101"/>
      <c r="O109" s="99" t="s">
        <v>94</v>
      </c>
      <c r="P109" s="99"/>
      <c r="Q109" s="15">
        <v>30</v>
      </c>
      <c r="R109" s="15">
        <v>2</v>
      </c>
      <c r="S109" s="15"/>
      <c r="T109" s="103"/>
      <c r="U109" s="15"/>
      <c r="V109" s="15"/>
      <c r="W109" s="15"/>
      <c r="X109" s="99"/>
      <c r="Y109" s="71">
        <f ca="1">Table29[[#This Row],[5/9/2025]]+2-TODAY()</f>
        <v>197</v>
      </c>
      <c r="Z109" s="15">
        <f>IF(ISBLANK(Table29[[#This Row],[Roster Received By]]),1,0)</f>
        <v>1</v>
      </c>
      <c r="AA109" s="15">
        <f ca="1">IF(Table29[[#This Row],[5/5/2025]]&gt;TODAY(),1,)</f>
        <v>1</v>
      </c>
    </row>
    <row r="110" spans="1:27" s="62" customFormat="1" x14ac:dyDescent="0.25">
      <c r="A110" s="99"/>
      <c r="B110" s="99" t="s">
        <v>32</v>
      </c>
      <c r="C110" s="100" t="s">
        <v>177</v>
      </c>
      <c r="D110" s="100" t="s">
        <v>178</v>
      </c>
      <c r="E110" s="99" t="s">
        <v>309</v>
      </c>
      <c r="F110" s="102">
        <v>45733</v>
      </c>
      <c r="G110" s="102">
        <v>45734</v>
      </c>
      <c r="H110" s="101">
        <v>0.33333333333333331</v>
      </c>
      <c r="I110" s="101"/>
      <c r="J110" s="101"/>
      <c r="K110" s="101"/>
      <c r="L110" s="101"/>
      <c r="M110" s="101"/>
      <c r="N110" s="101"/>
      <c r="O110" s="99" t="s">
        <v>94</v>
      </c>
      <c r="P110" s="99"/>
      <c r="Q110" s="15">
        <v>30</v>
      </c>
      <c r="R110" s="15">
        <v>2</v>
      </c>
      <c r="S110" s="15"/>
      <c r="T110" s="103"/>
      <c r="U110" s="15"/>
      <c r="V110" s="15"/>
      <c r="W110" s="15"/>
      <c r="X110" s="99"/>
      <c r="Y110" s="71">
        <f ca="1">Table29[[#This Row],[5/9/2025]]+2-TODAY()</f>
        <v>204</v>
      </c>
      <c r="Z110" s="15">
        <f>IF(ISBLANK(Table29[[#This Row],[Roster Received By]]),1,0)</f>
        <v>1</v>
      </c>
      <c r="AA110" s="15">
        <f ca="1">IF(Table29[[#This Row],[5/5/2025]]&gt;TODAY(),1,)</f>
        <v>1</v>
      </c>
    </row>
    <row r="111" spans="1:27" s="62" customFormat="1" x14ac:dyDescent="0.25">
      <c r="B111" s="99" t="s">
        <v>32</v>
      </c>
      <c r="C111" s="100" t="s">
        <v>177</v>
      </c>
      <c r="D111" s="100" t="s">
        <v>178</v>
      </c>
      <c r="E111" s="99" t="s">
        <v>295</v>
      </c>
      <c r="F111" s="102">
        <v>45754</v>
      </c>
      <c r="G111" s="102">
        <v>45755</v>
      </c>
      <c r="H111" s="101">
        <v>0.33333333333333331</v>
      </c>
      <c r="I111" s="105"/>
      <c r="J111" s="102"/>
      <c r="K111" s="102"/>
      <c r="L111" s="102"/>
      <c r="M111" s="102"/>
      <c r="N111" s="102"/>
      <c r="O111" s="99" t="s">
        <v>94</v>
      </c>
      <c r="P111" s="99"/>
      <c r="Q111" s="15">
        <v>30</v>
      </c>
      <c r="R111" s="15">
        <v>2</v>
      </c>
      <c r="S111" s="15"/>
      <c r="T111" s="103"/>
      <c r="U111" s="15"/>
      <c r="V111" s="15"/>
      <c r="W111" s="15"/>
      <c r="X111" s="99"/>
      <c r="Y111" s="71">
        <f ca="1">Table29[[#This Row],[5/9/2025]]+2-TODAY()</f>
        <v>225</v>
      </c>
      <c r="Z111" s="15">
        <f>IF(ISBLANK(Table29[[#This Row],[Roster Received By]]),1,0)</f>
        <v>1</v>
      </c>
      <c r="AA111" s="15">
        <f ca="1">IF(Table29[[#This Row],[5/5/2025]]&gt;TODAY(),1,)</f>
        <v>1</v>
      </c>
    </row>
    <row r="112" spans="1:27" s="62" customFormat="1" x14ac:dyDescent="0.25">
      <c r="B112" s="99" t="s">
        <v>32</v>
      </c>
      <c r="C112" s="100" t="s">
        <v>177</v>
      </c>
      <c r="D112" s="100" t="s">
        <v>178</v>
      </c>
      <c r="E112" s="65" t="s">
        <v>102</v>
      </c>
      <c r="F112" s="67">
        <v>45761</v>
      </c>
      <c r="G112" s="67">
        <v>45762</v>
      </c>
      <c r="H112" s="101">
        <v>0.33333333333333331</v>
      </c>
      <c r="I112" s="101"/>
      <c r="J112" s="102"/>
      <c r="K112" s="102"/>
      <c r="L112" s="102"/>
      <c r="M112" s="102"/>
      <c r="N112" s="102"/>
      <c r="O112" s="99" t="s">
        <v>94</v>
      </c>
      <c r="P112" s="99"/>
      <c r="Q112" s="15">
        <v>30</v>
      </c>
      <c r="R112" s="15">
        <v>2</v>
      </c>
      <c r="S112" s="15"/>
      <c r="T112" s="103"/>
      <c r="U112" s="15"/>
      <c r="V112" s="15"/>
      <c r="W112" s="15"/>
      <c r="X112" s="99"/>
      <c r="Y112" s="71">
        <f ca="1">Table29[[#This Row],[5/9/2025]]+2-TODAY()</f>
        <v>232</v>
      </c>
      <c r="Z112" s="15">
        <f>IF(ISBLANK(Table29[[#This Row],[Roster Received By]]),1,0)</f>
        <v>1</v>
      </c>
      <c r="AA112" s="15">
        <f ca="1">IF(Table29[[#This Row],[5/5/2025]]&gt;TODAY(),1,)</f>
        <v>1</v>
      </c>
    </row>
    <row r="113" spans="1:27" s="62" customFormat="1" ht="15.75" thickBot="1" x14ac:dyDescent="0.3">
      <c r="A113" s="178"/>
      <c r="B113" s="143" t="s">
        <v>32</v>
      </c>
      <c r="C113" s="100" t="s">
        <v>177</v>
      </c>
      <c r="D113" s="100" t="s">
        <v>178</v>
      </c>
      <c r="E113" s="111" t="s">
        <v>272</v>
      </c>
      <c r="F113" s="67">
        <v>45782</v>
      </c>
      <c r="G113" s="67">
        <v>45783</v>
      </c>
      <c r="H113" s="101">
        <v>0.33333333333333331</v>
      </c>
      <c r="I113" s="108" t="s">
        <v>657</v>
      </c>
      <c r="J113" s="145"/>
      <c r="K113" s="145"/>
      <c r="L113" s="145"/>
      <c r="M113" s="145"/>
      <c r="N113" s="145"/>
      <c r="O113" s="99" t="s">
        <v>94</v>
      </c>
      <c r="P113" s="99"/>
      <c r="Q113" s="15">
        <v>30</v>
      </c>
      <c r="R113" s="15">
        <v>2</v>
      </c>
      <c r="S113" s="179"/>
      <c r="T113" s="103"/>
      <c r="U113" s="15"/>
      <c r="V113" s="15"/>
      <c r="W113" s="15"/>
      <c r="X113" s="99"/>
      <c r="Y113" s="71">
        <f ca="1">Table29[[#This Row],[5/9/2025]]+2-TODAY()</f>
        <v>253</v>
      </c>
      <c r="Z113" s="15">
        <f>IF(ISBLANK(Table29[[#This Row],[Roster Received By]]),1,0)</f>
        <v>1</v>
      </c>
      <c r="AA113" s="15">
        <f ca="1">IF(Table29[[#This Row],[5/5/2025]]&gt;TODAY(),1,)</f>
        <v>1</v>
      </c>
    </row>
    <row r="114" spans="1:27" s="62" customFormat="1" ht="15.75" thickTop="1" x14ac:dyDescent="0.25">
      <c r="B114" s="99" t="s">
        <v>32</v>
      </c>
      <c r="C114" s="100" t="s">
        <v>177</v>
      </c>
      <c r="D114" s="100" t="s">
        <v>178</v>
      </c>
      <c r="E114" s="99" t="s">
        <v>146</v>
      </c>
      <c r="F114" s="174">
        <v>45845</v>
      </c>
      <c r="G114" s="174">
        <v>45846</v>
      </c>
      <c r="H114" s="101">
        <v>0.33333333333333331</v>
      </c>
      <c r="I114" s="101"/>
      <c r="J114" s="101"/>
      <c r="K114" s="101"/>
      <c r="L114" s="101"/>
      <c r="M114" s="101"/>
      <c r="N114" s="101"/>
      <c r="O114" s="99" t="s">
        <v>94</v>
      </c>
      <c r="P114" s="99"/>
      <c r="Q114" s="15">
        <v>30</v>
      </c>
      <c r="R114" s="15">
        <v>2</v>
      </c>
      <c r="S114" s="15"/>
      <c r="T114" s="103"/>
      <c r="U114" s="15"/>
      <c r="V114" s="15"/>
      <c r="W114" s="100"/>
      <c r="X114" s="99"/>
      <c r="Y114" s="71">
        <f ca="1">Table29[[#This Row],[5/9/2025]]+2-TODAY()</f>
        <v>316</v>
      </c>
      <c r="Z114" s="15">
        <f>IF(ISBLANK(Table29[[#This Row],[Roster Received By]]),1,0)</f>
        <v>1</v>
      </c>
      <c r="AA114" s="15">
        <f ca="1">IF(Table29[[#This Row],[5/5/2025]]&gt;TODAY(),1,)</f>
        <v>1</v>
      </c>
    </row>
    <row r="115" spans="1:27" x14ac:dyDescent="0.25">
      <c r="A115" s="62"/>
      <c r="B115" s="99" t="s">
        <v>32</v>
      </c>
      <c r="C115" s="100" t="s">
        <v>177</v>
      </c>
      <c r="D115" s="100" t="s">
        <v>178</v>
      </c>
      <c r="E115" s="99" t="s">
        <v>172</v>
      </c>
      <c r="F115" s="102">
        <v>45880</v>
      </c>
      <c r="G115" s="102">
        <v>45881</v>
      </c>
      <c r="H115" s="101">
        <v>0.33333333333333331</v>
      </c>
      <c r="I115" s="101"/>
      <c r="J115" s="101"/>
      <c r="K115" s="101"/>
      <c r="L115" s="101"/>
      <c r="M115" s="101"/>
      <c r="N115" s="101"/>
      <c r="O115" s="99" t="s">
        <v>94</v>
      </c>
      <c r="P115" s="99"/>
      <c r="Q115" s="15">
        <v>30</v>
      </c>
      <c r="R115" s="15">
        <v>2</v>
      </c>
      <c r="S115" s="15"/>
      <c r="T115" s="103"/>
      <c r="U115" s="15"/>
      <c r="V115" s="15"/>
      <c r="W115" s="104"/>
      <c r="X115" s="99"/>
      <c r="Y115" s="71">
        <f ca="1">Table29[[#This Row],[5/9/2025]]+2-TODAY()</f>
        <v>351</v>
      </c>
      <c r="Z115" s="15">
        <f>IF(ISBLANK(Table29[[#This Row],[Roster Received By]]),1,0)</f>
        <v>1</v>
      </c>
      <c r="AA115" s="15">
        <f ca="1">IF(Table29[[#This Row],[5/5/2025]]&gt;TODAY(),1,)</f>
        <v>1</v>
      </c>
    </row>
    <row r="116" spans="1:27" x14ac:dyDescent="0.25">
      <c r="A116" s="62" t="s">
        <v>391</v>
      </c>
      <c r="B116" s="99" t="s">
        <v>33</v>
      </c>
      <c r="C116" s="100" t="s">
        <v>181</v>
      </c>
      <c r="D116" s="100" t="s">
        <v>182</v>
      </c>
      <c r="E116" s="99" t="s">
        <v>157</v>
      </c>
      <c r="F116" s="102">
        <v>45693</v>
      </c>
      <c r="G116" s="102">
        <v>45693</v>
      </c>
      <c r="H116" s="101">
        <v>0.33333333333333331</v>
      </c>
      <c r="I116" s="105"/>
      <c r="J116" s="102"/>
      <c r="K116" s="102"/>
      <c r="L116" s="102"/>
      <c r="M116" s="102"/>
      <c r="N116" s="102"/>
      <c r="O116" s="99" t="s">
        <v>94</v>
      </c>
      <c r="P116" s="99"/>
      <c r="Q116" s="15">
        <v>30</v>
      </c>
      <c r="R116" s="15">
        <v>1</v>
      </c>
      <c r="S116" s="15"/>
      <c r="T116" s="103"/>
      <c r="U116" s="15"/>
      <c r="V116" s="15"/>
      <c r="W116" s="15"/>
      <c r="X116" s="99"/>
      <c r="Y116" s="71">
        <f ca="1">Table29[[#This Row],[5/9/2025]]+2-TODAY()</f>
        <v>163</v>
      </c>
      <c r="Z116" s="15">
        <f>IF(ISBLANK(Table29[[#This Row],[Roster Received By]]),1,0)</f>
        <v>1</v>
      </c>
      <c r="AA116" s="15">
        <f ca="1">IF(Table29[[#This Row],[5/5/2025]]&gt;TODAY(),1,)</f>
        <v>1</v>
      </c>
    </row>
    <row r="117" spans="1:27" x14ac:dyDescent="0.25">
      <c r="A117" s="62"/>
      <c r="B117" s="99" t="s">
        <v>33</v>
      </c>
      <c r="C117" s="100" t="s">
        <v>181</v>
      </c>
      <c r="D117" s="100" t="s">
        <v>182</v>
      </c>
      <c r="E117" s="99" t="s">
        <v>91</v>
      </c>
      <c r="F117" s="102">
        <v>45728</v>
      </c>
      <c r="G117" s="102">
        <v>45728</v>
      </c>
      <c r="H117" s="101">
        <v>0.33333333333333331</v>
      </c>
      <c r="I117" s="101"/>
      <c r="J117" s="101"/>
      <c r="K117" s="101"/>
      <c r="L117" s="101"/>
      <c r="M117" s="101"/>
      <c r="N117" s="101"/>
      <c r="O117" s="99" t="s">
        <v>94</v>
      </c>
      <c r="P117" s="99"/>
      <c r="Q117" s="15">
        <v>30</v>
      </c>
      <c r="R117" s="15">
        <v>1</v>
      </c>
      <c r="S117" s="15"/>
      <c r="T117" s="103"/>
      <c r="U117" s="15"/>
      <c r="V117" s="15"/>
      <c r="W117" s="15"/>
      <c r="X117" s="99"/>
      <c r="Y117" s="71">
        <f ca="1">Table29[[#This Row],[5/9/2025]]+2-TODAY()</f>
        <v>198</v>
      </c>
      <c r="Z117" s="15">
        <f>IF(ISBLANK(Table29[[#This Row],[Roster Received By]]),1,0)</f>
        <v>1</v>
      </c>
      <c r="AA117" s="15">
        <f ca="1">IF(Table29[[#This Row],[5/5/2025]]&gt;TODAY(),1,)</f>
        <v>1</v>
      </c>
    </row>
    <row r="118" spans="1:27" x14ac:dyDescent="0.25">
      <c r="A118" s="62"/>
      <c r="B118" s="99" t="s">
        <v>33</v>
      </c>
      <c r="C118" s="100" t="s">
        <v>181</v>
      </c>
      <c r="D118" s="100" t="s">
        <v>182</v>
      </c>
      <c r="E118" s="99" t="s">
        <v>295</v>
      </c>
      <c r="F118" s="102">
        <v>45756</v>
      </c>
      <c r="G118" s="102">
        <v>45756</v>
      </c>
      <c r="H118" s="101">
        <v>0.33333333333333331</v>
      </c>
      <c r="I118" s="101"/>
      <c r="J118" s="101"/>
      <c r="K118" s="101"/>
      <c r="L118" s="101"/>
      <c r="M118" s="101"/>
      <c r="N118" s="101"/>
      <c r="O118" s="99" t="s">
        <v>94</v>
      </c>
      <c r="P118" s="99"/>
      <c r="Q118" s="15">
        <v>30</v>
      </c>
      <c r="R118" s="15">
        <v>1</v>
      </c>
      <c r="S118" s="15"/>
      <c r="T118" s="103"/>
      <c r="U118" s="15"/>
      <c r="V118" s="15"/>
      <c r="W118" s="15"/>
      <c r="X118" s="99"/>
      <c r="Y118" s="71">
        <f ca="1">Table29[[#This Row],[5/9/2025]]+2-TODAY()</f>
        <v>226</v>
      </c>
      <c r="Z118" s="15">
        <f>IF(ISBLANK(Table29[[#This Row],[Roster Received By]]),1,0)</f>
        <v>1</v>
      </c>
      <c r="AA118" s="15">
        <f ca="1">IF(Table29[[#This Row],[5/5/2025]]&gt;TODAY(),1,)</f>
        <v>1</v>
      </c>
    </row>
    <row r="119" spans="1:27" x14ac:dyDescent="0.25">
      <c r="A119" s="62"/>
      <c r="B119" s="99" t="s">
        <v>33</v>
      </c>
      <c r="C119" s="100" t="s">
        <v>181</v>
      </c>
      <c r="D119" s="100" t="s">
        <v>182</v>
      </c>
      <c r="E119" s="99" t="s">
        <v>102</v>
      </c>
      <c r="F119" s="102">
        <v>45763</v>
      </c>
      <c r="G119" s="102">
        <v>45763</v>
      </c>
      <c r="H119" s="101">
        <v>0.33333333333333331</v>
      </c>
      <c r="I119" s="105"/>
      <c r="J119" s="102"/>
      <c r="K119" s="102"/>
      <c r="L119" s="102"/>
      <c r="M119" s="102"/>
      <c r="N119" s="102"/>
      <c r="O119" s="99" t="s">
        <v>94</v>
      </c>
      <c r="P119" s="99"/>
      <c r="Q119" s="15">
        <v>30</v>
      </c>
      <c r="R119" s="15">
        <v>1</v>
      </c>
      <c r="S119" s="15"/>
      <c r="T119" s="103"/>
      <c r="U119" s="15"/>
      <c r="V119" s="15"/>
      <c r="W119" s="15"/>
      <c r="X119" s="99"/>
      <c r="Y119" s="71">
        <f ca="1">Table29[[#This Row],[5/9/2025]]+2-TODAY()</f>
        <v>233</v>
      </c>
      <c r="Z119" s="15">
        <f>IF(ISBLANK(Table29[[#This Row],[Roster Received By]]),1,0)</f>
        <v>1</v>
      </c>
      <c r="AA119" s="15">
        <f ca="1">IF(Table29[[#This Row],[5/5/2025]]&gt;TODAY(),1,)</f>
        <v>1</v>
      </c>
    </row>
    <row r="120" spans="1:27" x14ac:dyDescent="0.25">
      <c r="A120" s="99"/>
      <c r="B120" s="99" t="s">
        <v>33</v>
      </c>
      <c r="C120" s="100" t="s">
        <v>181</v>
      </c>
      <c r="D120" s="100" t="s">
        <v>182</v>
      </c>
      <c r="E120" s="99" t="s">
        <v>272</v>
      </c>
      <c r="F120" s="102">
        <v>45784</v>
      </c>
      <c r="G120" s="102">
        <v>45784</v>
      </c>
      <c r="H120" s="101">
        <v>0.33333333333333331</v>
      </c>
      <c r="I120" s="101"/>
      <c r="J120" s="101"/>
      <c r="K120" s="101"/>
      <c r="L120" s="101"/>
      <c r="M120" s="101"/>
      <c r="N120" s="101"/>
      <c r="O120" s="99" t="s">
        <v>94</v>
      </c>
      <c r="P120" s="99"/>
      <c r="Q120" s="15">
        <v>30</v>
      </c>
      <c r="R120" s="15">
        <v>1</v>
      </c>
      <c r="S120" s="15"/>
      <c r="T120" s="103"/>
      <c r="U120" s="15"/>
      <c r="V120" s="15"/>
      <c r="W120" s="15"/>
      <c r="X120" s="99"/>
      <c r="Y120" s="71">
        <f ca="1">Table29[[#This Row],[5/9/2025]]+2-TODAY()</f>
        <v>254</v>
      </c>
      <c r="Z120" s="15">
        <f>IF(ISBLANK(Table29[[#This Row],[Roster Received By]]),1,0)</f>
        <v>1</v>
      </c>
      <c r="AA120" s="15">
        <f ca="1">IF(Table29[[#This Row],[5/5/2025]]&gt;TODAY(),1,)</f>
        <v>1</v>
      </c>
    </row>
    <row r="121" spans="1:27" x14ac:dyDescent="0.25">
      <c r="A121" s="62"/>
      <c r="B121" s="99" t="s">
        <v>33</v>
      </c>
      <c r="C121" s="100" t="s">
        <v>181</v>
      </c>
      <c r="D121" s="100" t="s">
        <v>182</v>
      </c>
      <c r="E121" s="99" t="s">
        <v>193</v>
      </c>
      <c r="F121" s="174">
        <v>45811</v>
      </c>
      <c r="G121" s="174">
        <v>45811</v>
      </c>
      <c r="H121" s="101">
        <v>0.33333333333333331</v>
      </c>
      <c r="I121" s="105"/>
      <c r="J121" s="102"/>
      <c r="K121" s="102"/>
      <c r="L121" s="102"/>
      <c r="M121" s="102"/>
      <c r="N121" s="102"/>
      <c r="O121" s="99" t="s">
        <v>94</v>
      </c>
      <c r="P121" s="99"/>
      <c r="Q121" s="15">
        <v>30</v>
      </c>
      <c r="R121" s="15">
        <v>1</v>
      </c>
      <c r="S121" s="15"/>
      <c r="T121" s="103"/>
      <c r="U121" s="15"/>
      <c r="V121" s="15"/>
      <c r="W121" s="15"/>
      <c r="X121" s="99"/>
      <c r="Y121" s="71">
        <f ca="1">Table29[[#This Row],[5/9/2025]]+2-TODAY()</f>
        <v>281</v>
      </c>
      <c r="Z121" s="15">
        <f>IF(ISBLANK(Table29[[#This Row],[Roster Received By]]),1,0)</f>
        <v>1</v>
      </c>
      <c r="AA121" s="15">
        <f ca="1">IF(Table29[[#This Row],[5/5/2025]]&gt;TODAY(),1,)</f>
        <v>1</v>
      </c>
    </row>
    <row r="122" spans="1:27" x14ac:dyDescent="0.25">
      <c r="A122" s="62"/>
      <c r="B122" s="99" t="s">
        <v>33</v>
      </c>
      <c r="C122" s="100" t="s">
        <v>181</v>
      </c>
      <c r="D122" s="100" t="s">
        <v>182</v>
      </c>
      <c r="E122" s="141" t="s">
        <v>275</v>
      </c>
      <c r="F122" s="180">
        <v>45813</v>
      </c>
      <c r="G122" s="180">
        <v>45813</v>
      </c>
      <c r="H122" s="101">
        <v>0.33333333333333331</v>
      </c>
      <c r="I122" s="105"/>
      <c r="J122" s="102"/>
      <c r="K122" s="102"/>
      <c r="L122" s="102"/>
      <c r="M122" s="102"/>
      <c r="N122" s="102"/>
      <c r="O122" s="99" t="s">
        <v>94</v>
      </c>
      <c r="P122" s="99"/>
      <c r="Q122" s="15">
        <v>30</v>
      </c>
      <c r="R122" s="15">
        <v>1</v>
      </c>
      <c r="S122" s="15"/>
      <c r="T122" s="103"/>
      <c r="U122" s="15"/>
      <c r="V122" s="15"/>
      <c r="W122" s="100"/>
      <c r="X122" s="99"/>
      <c r="Y122" s="71">
        <f ca="1">Table29[[#This Row],[5/9/2025]]+2-TODAY()</f>
        <v>283</v>
      </c>
      <c r="Z122" s="15">
        <f>IF(ISBLANK(Table29[[#This Row],[Roster Received By]]),1,0)</f>
        <v>1</v>
      </c>
      <c r="AA122" s="15">
        <f ca="1">IF(Table29[[#This Row],[5/5/2025]]&gt;TODAY(),1,)</f>
        <v>1</v>
      </c>
    </row>
    <row r="123" spans="1:27" x14ac:dyDescent="0.25">
      <c r="A123" s="62"/>
      <c r="B123" s="99" t="s">
        <v>33</v>
      </c>
      <c r="C123" s="100" t="s">
        <v>181</v>
      </c>
      <c r="D123" s="100" t="s">
        <v>182</v>
      </c>
      <c r="E123" s="99" t="s">
        <v>267</v>
      </c>
      <c r="F123" s="174">
        <v>45817</v>
      </c>
      <c r="G123" s="174">
        <v>45817</v>
      </c>
      <c r="H123" s="101">
        <v>0.33333333333333331</v>
      </c>
      <c r="I123" s="101"/>
      <c r="J123" s="101"/>
      <c r="K123" s="101"/>
      <c r="L123" s="101"/>
      <c r="M123" s="101"/>
      <c r="N123" s="101"/>
      <c r="O123" s="99" t="s">
        <v>94</v>
      </c>
      <c r="P123" s="99"/>
      <c r="Q123" s="15">
        <v>30</v>
      </c>
      <c r="R123" s="15">
        <v>1</v>
      </c>
      <c r="S123" s="15"/>
      <c r="T123" s="103"/>
      <c r="U123" s="15"/>
      <c r="V123" s="15"/>
      <c r="W123" s="15"/>
      <c r="X123" s="99"/>
      <c r="Y123" s="71">
        <f ca="1">Table29[[#This Row],[5/9/2025]]+2-TODAY()</f>
        <v>287</v>
      </c>
      <c r="Z123" s="15">
        <f>IF(ISBLANK(Table29[[#This Row],[Roster Received By]]),1,0)</f>
        <v>1</v>
      </c>
      <c r="AA123" s="15">
        <f ca="1">IF(Table29[[#This Row],[5/5/2025]]&gt;TODAY(),1,)</f>
        <v>1</v>
      </c>
    </row>
    <row r="124" spans="1:27" x14ac:dyDescent="0.25">
      <c r="A124" s="62"/>
      <c r="B124" s="99" t="s">
        <v>33</v>
      </c>
      <c r="C124" s="100" t="s">
        <v>181</v>
      </c>
      <c r="D124" s="100" t="s">
        <v>182</v>
      </c>
      <c r="E124" s="99" t="s">
        <v>121</v>
      </c>
      <c r="F124" s="102">
        <v>45838</v>
      </c>
      <c r="G124" s="102">
        <v>45838</v>
      </c>
      <c r="H124" s="101">
        <v>0.33333333333333331</v>
      </c>
      <c r="I124" s="105"/>
      <c r="J124" s="102"/>
      <c r="K124" s="102"/>
      <c r="L124" s="102"/>
      <c r="M124" s="102"/>
      <c r="N124" s="102"/>
      <c r="O124" s="99" t="s">
        <v>94</v>
      </c>
      <c r="P124" s="99"/>
      <c r="Q124" s="15">
        <v>30</v>
      </c>
      <c r="R124" s="15">
        <v>1</v>
      </c>
      <c r="S124" s="15"/>
      <c r="T124" s="103"/>
      <c r="U124" s="15"/>
      <c r="V124" s="15"/>
      <c r="W124" s="15"/>
      <c r="X124" s="99"/>
      <c r="Y124" s="71">
        <f ca="1">Table29[[#This Row],[5/9/2025]]+2-TODAY()</f>
        <v>308</v>
      </c>
      <c r="Z124" s="15">
        <f>IF(ISBLANK(Table29[[#This Row],[Roster Received By]]),1,0)</f>
        <v>1</v>
      </c>
      <c r="AA124" s="15">
        <f ca="1">IF(Table29[[#This Row],[5/5/2025]]&gt;TODAY(),1,)</f>
        <v>1</v>
      </c>
    </row>
    <row r="125" spans="1:27" x14ac:dyDescent="0.25">
      <c r="A125" s="62"/>
      <c r="B125" s="99" t="s">
        <v>33</v>
      </c>
      <c r="C125" s="100" t="s">
        <v>181</v>
      </c>
      <c r="D125" s="100" t="s">
        <v>182</v>
      </c>
      <c r="E125" s="99" t="s">
        <v>86</v>
      </c>
      <c r="F125" s="174">
        <v>45845</v>
      </c>
      <c r="G125" s="174">
        <v>45845</v>
      </c>
      <c r="H125" s="101">
        <v>0.33333333333333331</v>
      </c>
      <c r="I125" s="105"/>
      <c r="J125" s="105"/>
      <c r="K125" s="105"/>
      <c r="L125" s="105"/>
      <c r="M125" s="105"/>
      <c r="N125" s="102"/>
      <c r="O125" s="99" t="s">
        <v>94</v>
      </c>
      <c r="P125" s="99"/>
      <c r="Q125" s="15">
        <v>30</v>
      </c>
      <c r="R125" s="15">
        <v>1</v>
      </c>
      <c r="S125" s="15"/>
      <c r="T125" s="103"/>
      <c r="U125" s="15"/>
      <c r="V125" s="15"/>
      <c r="W125" s="15"/>
      <c r="X125" s="99"/>
      <c r="Y125" s="71">
        <f ca="1">Table29[[#This Row],[5/9/2025]]+2-TODAY()</f>
        <v>315</v>
      </c>
      <c r="Z125" s="15">
        <f>IF(ISBLANK(Table29[[#This Row],[Roster Received By]]),1,0)</f>
        <v>1</v>
      </c>
      <c r="AA125" s="15">
        <f ca="1">IF(Table29[[#This Row],[5/5/2025]]&gt;TODAY(),1,)</f>
        <v>1</v>
      </c>
    </row>
    <row r="126" spans="1:27" x14ac:dyDescent="0.25">
      <c r="A126" s="62"/>
      <c r="B126" s="99" t="s">
        <v>33</v>
      </c>
      <c r="C126" s="100" t="s">
        <v>181</v>
      </c>
      <c r="D126" s="100" t="s">
        <v>182</v>
      </c>
      <c r="E126" s="65" t="s">
        <v>142</v>
      </c>
      <c r="F126" s="67">
        <v>45847</v>
      </c>
      <c r="G126" s="67">
        <v>45847</v>
      </c>
      <c r="H126" s="101">
        <v>0.33333333333333331</v>
      </c>
      <c r="I126" s="101"/>
      <c r="J126" s="102"/>
      <c r="K126" s="102"/>
      <c r="L126" s="102"/>
      <c r="M126" s="102"/>
      <c r="N126" s="102"/>
      <c r="O126" s="99" t="s">
        <v>94</v>
      </c>
      <c r="P126" s="99"/>
      <c r="Q126" s="15">
        <v>30</v>
      </c>
      <c r="R126" s="15">
        <v>1</v>
      </c>
      <c r="S126" s="15"/>
      <c r="T126" s="103"/>
      <c r="U126" s="15"/>
      <c r="V126" s="15"/>
      <c r="W126" s="15"/>
      <c r="X126" s="99"/>
      <c r="Y126" s="71">
        <f ca="1">Table29[[#This Row],[5/9/2025]]+2-TODAY()</f>
        <v>317</v>
      </c>
      <c r="Z126" s="15">
        <f>IF(ISBLANK(Table29[[#This Row],[Roster Received By]]),1,0)</f>
        <v>1</v>
      </c>
      <c r="AA126" s="15">
        <f ca="1">IF(Table29[[#This Row],[5/5/2025]]&gt;TODAY(),1,)</f>
        <v>1</v>
      </c>
    </row>
    <row r="127" spans="1:27" x14ac:dyDescent="0.25">
      <c r="A127" s="62"/>
      <c r="B127" s="99" t="s">
        <v>33</v>
      </c>
      <c r="C127" s="100" t="s">
        <v>181</v>
      </c>
      <c r="D127" s="100" t="s">
        <v>182</v>
      </c>
      <c r="E127" s="99" t="s">
        <v>153</v>
      </c>
      <c r="F127" s="180">
        <v>45873</v>
      </c>
      <c r="G127" s="180">
        <v>45873</v>
      </c>
      <c r="H127" s="101">
        <v>0.33333333333333331</v>
      </c>
      <c r="I127" s="101"/>
      <c r="J127" s="101"/>
      <c r="K127" s="101"/>
      <c r="L127" s="101"/>
      <c r="M127" s="101"/>
      <c r="N127" s="101"/>
      <c r="O127" s="99" t="s">
        <v>94</v>
      </c>
      <c r="P127" s="99"/>
      <c r="Q127" s="15">
        <v>30</v>
      </c>
      <c r="R127" s="15">
        <v>1</v>
      </c>
      <c r="S127" s="15"/>
      <c r="T127" s="103"/>
      <c r="U127" s="15"/>
      <c r="V127" s="15"/>
      <c r="W127" s="15"/>
      <c r="X127" s="99"/>
      <c r="Y127" s="71">
        <f ca="1">Table29[[#This Row],[5/9/2025]]+2-TODAY()</f>
        <v>343</v>
      </c>
      <c r="Z127" s="15">
        <f>IF(ISBLANK(Table29[[#This Row],[Roster Received By]]),1,0)</f>
        <v>1</v>
      </c>
      <c r="AA127" s="15">
        <f ca="1">IF(Table29[[#This Row],[5/5/2025]]&gt;TODAY(),1,)</f>
        <v>1</v>
      </c>
    </row>
    <row r="128" spans="1:27" x14ac:dyDescent="0.25">
      <c r="A128" s="62"/>
      <c r="B128" s="99" t="s">
        <v>33</v>
      </c>
      <c r="C128" s="100" t="s">
        <v>181</v>
      </c>
      <c r="D128" s="100" t="s">
        <v>182</v>
      </c>
      <c r="E128" s="99" t="s">
        <v>168</v>
      </c>
      <c r="F128" s="102">
        <v>45875</v>
      </c>
      <c r="G128" s="102">
        <v>45875</v>
      </c>
      <c r="H128" s="101">
        <v>0.33333333333333331</v>
      </c>
      <c r="I128" s="105"/>
      <c r="J128" s="105"/>
      <c r="K128" s="105"/>
      <c r="L128" s="105"/>
      <c r="M128" s="105"/>
      <c r="N128" s="102"/>
      <c r="O128" s="99" t="s">
        <v>94</v>
      </c>
      <c r="P128" s="99"/>
      <c r="Q128" s="15">
        <v>30</v>
      </c>
      <c r="R128" s="15">
        <v>1</v>
      </c>
      <c r="S128" s="15"/>
      <c r="T128" s="103"/>
      <c r="U128" s="15"/>
      <c r="V128" s="15"/>
      <c r="W128" s="15"/>
      <c r="X128" s="99"/>
      <c r="Y128" s="71">
        <f ca="1">Table29[[#This Row],[5/9/2025]]+2-TODAY()</f>
        <v>345</v>
      </c>
      <c r="Z128" s="15">
        <f>IF(ISBLANK(Table29[[#This Row],[Roster Received By]]),1,0)</f>
        <v>1</v>
      </c>
      <c r="AA128" s="15">
        <f ca="1">IF(Table29[[#This Row],[5/5/2025]]&gt;TODAY(),1,)</f>
        <v>1</v>
      </c>
    </row>
    <row r="129" spans="1:27" x14ac:dyDescent="0.25">
      <c r="A129" s="62"/>
      <c r="B129" s="99" t="s">
        <v>33</v>
      </c>
      <c r="C129" s="100" t="s">
        <v>181</v>
      </c>
      <c r="D129" s="100" t="s">
        <v>182</v>
      </c>
      <c r="E129" s="99" t="s">
        <v>284</v>
      </c>
      <c r="F129" s="102">
        <v>45883</v>
      </c>
      <c r="G129" s="102">
        <v>45883</v>
      </c>
      <c r="H129" s="101">
        <v>0.33333333333333331</v>
      </c>
      <c r="I129" s="105"/>
      <c r="J129" s="102"/>
      <c r="K129" s="102"/>
      <c r="L129" s="102"/>
      <c r="M129" s="102"/>
      <c r="N129" s="102"/>
      <c r="O129" s="99" t="s">
        <v>94</v>
      </c>
      <c r="P129" s="99"/>
      <c r="Q129" s="15">
        <v>30</v>
      </c>
      <c r="R129" s="15">
        <v>1</v>
      </c>
      <c r="S129" s="15"/>
      <c r="T129" s="103"/>
      <c r="U129" s="15"/>
      <c r="V129" s="15"/>
      <c r="W129" s="15"/>
      <c r="X129" s="99"/>
      <c r="Y129" s="71">
        <f ca="1">Table29[[#This Row],[5/9/2025]]+2-TODAY()</f>
        <v>353</v>
      </c>
      <c r="Z129" s="15">
        <f>IF(ISBLANK(Table29[[#This Row],[Roster Received By]]),1,0)</f>
        <v>1</v>
      </c>
      <c r="AA129" s="15">
        <f ca="1">IF(Table29[[#This Row],[5/5/2025]]&gt;TODAY(),1,)</f>
        <v>1</v>
      </c>
    </row>
    <row r="130" spans="1:27" x14ac:dyDescent="0.25">
      <c r="A130" s="62"/>
      <c r="B130" s="99" t="s">
        <v>33</v>
      </c>
      <c r="C130" s="100" t="s">
        <v>181</v>
      </c>
      <c r="D130" s="100" t="s">
        <v>182</v>
      </c>
      <c r="E130" s="99" t="s">
        <v>259</v>
      </c>
      <c r="F130" s="102">
        <v>45894</v>
      </c>
      <c r="G130" s="102">
        <v>45894</v>
      </c>
      <c r="H130" s="101">
        <v>0.33333333333333331</v>
      </c>
      <c r="I130" s="101"/>
      <c r="J130" s="101"/>
      <c r="K130" s="101"/>
      <c r="L130" s="101"/>
      <c r="M130" s="101"/>
      <c r="N130" s="101"/>
      <c r="O130" s="99" t="s">
        <v>94</v>
      </c>
      <c r="P130" s="99"/>
      <c r="Q130" s="15">
        <v>30</v>
      </c>
      <c r="R130" s="15">
        <v>1</v>
      </c>
      <c r="S130" s="15"/>
      <c r="T130" s="103"/>
      <c r="U130" s="15"/>
      <c r="V130" s="15"/>
      <c r="W130" s="15"/>
      <c r="X130" s="99"/>
      <c r="Y130" s="71">
        <f ca="1">Table29[[#This Row],[5/9/2025]]+2-TODAY()</f>
        <v>364</v>
      </c>
      <c r="Z130" s="15">
        <f>IF(ISBLANK(Table29[[#This Row],[Roster Received By]]),1,0)</f>
        <v>1</v>
      </c>
      <c r="AA130" s="15">
        <f ca="1">IF(Table29[[#This Row],[5/5/2025]]&gt;TODAY(),1,)</f>
        <v>1</v>
      </c>
    </row>
    <row r="131" spans="1:27" x14ac:dyDescent="0.25">
      <c r="A131" s="62"/>
      <c r="B131" s="99" t="s">
        <v>34</v>
      </c>
      <c r="C131" s="100" t="s">
        <v>184</v>
      </c>
      <c r="D131" s="100" t="s">
        <v>185</v>
      </c>
      <c r="E131" s="99" t="s">
        <v>276</v>
      </c>
      <c r="F131" s="102">
        <v>45680</v>
      </c>
      <c r="G131" s="102">
        <v>45680</v>
      </c>
      <c r="H131" s="101">
        <v>0.33333333333333331</v>
      </c>
      <c r="I131" s="101"/>
      <c r="J131" s="101"/>
      <c r="K131" s="101"/>
      <c r="L131" s="101"/>
      <c r="M131" s="101"/>
      <c r="N131" s="101"/>
      <c r="O131" s="99" t="s">
        <v>94</v>
      </c>
      <c r="P131" s="99"/>
      <c r="Q131" s="15">
        <v>30</v>
      </c>
      <c r="R131" s="15">
        <v>1</v>
      </c>
      <c r="S131" s="15"/>
      <c r="T131" s="103"/>
      <c r="U131" s="15"/>
      <c r="V131" s="15"/>
      <c r="W131" s="15"/>
      <c r="X131" s="99"/>
      <c r="Y131" s="71">
        <f ca="1">Table29[[#This Row],[5/9/2025]]+2-TODAY()</f>
        <v>150</v>
      </c>
      <c r="Z131" s="15">
        <f>IF(ISBLANK(Table29[[#This Row],[Roster Received By]]),1,0)</f>
        <v>1</v>
      </c>
      <c r="AA131" s="15">
        <f ca="1">IF(Table29[[#This Row],[5/5/2025]]&gt;TODAY(),1,)</f>
        <v>1</v>
      </c>
    </row>
    <row r="132" spans="1:27" x14ac:dyDescent="0.25">
      <c r="A132" s="62" t="s">
        <v>391</v>
      </c>
      <c r="B132" s="99" t="s">
        <v>34</v>
      </c>
      <c r="C132" s="100" t="s">
        <v>184</v>
      </c>
      <c r="D132" s="100" t="s">
        <v>185</v>
      </c>
      <c r="E132" s="99" t="s">
        <v>157</v>
      </c>
      <c r="F132" s="102">
        <v>45694</v>
      </c>
      <c r="G132" s="102">
        <v>45694</v>
      </c>
      <c r="H132" s="101">
        <v>0.33333333333333331</v>
      </c>
      <c r="I132" s="101"/>
      <c r="J132" s="101"/>
      <c r="K132" s="101"/>
      <c r="L132" s="101"/>
      <c r="M132" s="101"/>
      <c r="N132" s="101"/>
      <c r="O132" s="99" t="s">
        <v>94</v>
      </c>
      <c r="P132" s="99"/>
      <c r="Q132" s="15">
        <v>30</v>
      </c>
      <c r="R132" s="15">
        <v>1</v>
      </c>
      <c r="S132" s="15"/>
      <c r="T132" s="103"/>
      <c r="U132" s="15"/>
      <c r="V132" s="15"/>
      <c r="W132" s="15"/>
      <c r="X132" s="99"/>
      <c r="Y132" s="71">
        <f ca="1">Table29[[#This Row],[5/9/2025]]+2-TODAY()</f>
        <v>164</v>
      </c>
      <c r="Z132" s="15">
        <f>IF(ISBLANK(Table29[[#This Row],[Roster Received By]]),1,0)</f>
        <v>1</v>
      </c>
      <c r="AA132" s="15">
        <f ca="1">IF(Table29[[#This Row],[5/5/2025]]&gt;TODAY(),1,)</f>
        <v>1</v>
      </c>
    </row>
    <row r="133" spans="1:27" x14ac:dyDescent="0.25">
      <c r="A133" t="s">
        <v>389</v>
      </c>
      <c r="B133" s="99" t="s">
        <v>34</v>
      </c>
      <c r="C133" s="100" t="s">
        <v>184</v>
      </c>
      <c r="D133" s="100" t="s">
        <v>185</v>
      </c>
      <c r="E133" s="112" t="s">
        <v>298</v>
      </c>
      <c r="F133" s="102">
        <v>45698</v>
      </c>
      <c r="G133" s="102">
        <v>45698</v>
      </c>
      <c r="H133" s="101">
        <v>0.33333333333333331</v>
      </c>
      <c r="I133" s="101"/>
      <c r="J133" s="101"/>
      <c r="K133" s="101"/>
      <c r="L133" s="101"/>
      <c r="M133" s="101"/>
      <c r="N133" s="101"/>
      <c r="O133" s="99" t="s">
        <v>94</v>
      </c>
      <c r="P133" s="99"/>
      <c r="Q133" s="15">
        <v>30</v>
      </c>
      <c r="R133" s="15">
        <v>1</v>
      </c>
      <c r="S133" s="15"/>
      <c r="T133" s="103"/>
      <c r="U133" s="15"/>
      <c r="V133" s="15"/>
      <c r="W133" s="15"/>
      <c r="X133" s="99"/>
      <c r="Y133" s="71">
        <f ca="1">Table29[[#This Row],[5/9/2025]]+2-TODAY()</f>
        <v>168</v>
      </c>
      <c r="Z133" s="15">
        <f>IF(ISBLANK(Table29[[#This Row],[Roster Received By]]),1,0)</f>
        <v>1</v>
      </c>
      <c r="AA133" s="15">
        <f ca="1">IF(Table29[[#This Row],[5/5/2025]]&gt;TODAY(),1,)</f>
        <v>1</v>
      </c>
    </row>
    <row r="134" spans="1:27" x14ac:dyDescent="0.25">
      <c r="A134" s="62"/>
      <c r="B134" s="99" t="s">
        <v>34</v>
      </c>
      <c r="C134" s="100" t="s">
        <v>184</v>
      </c>
      <c r="D134" s="100" t="s">
        <v>185</v>
      </c>
      <c r="E134" s="99" t="s">
        <v>91</v>
      </c>
      <c r="F134" s="102">
        <v>45729</v>
      </c>
      <c r="G134" s="102">
        <v>45729</v>
      </c>
      <c r="H134" s="101">
        <v>0.33333333333333331</v>
      </c>
      <c r="I134" s="105"/>
      <c r="J134" s="102"/>
      <c r="K134" s="102"/>
      <c r="L134" s="102"/>
      <c r="M134" s="102"/>
      <c r="N134" s="102"/>
      <c r="O134" s="99" t="s">
        <v>94</v>
      </c>
      <c r="P134" s="99"/>
      <c r="Q134" s="15">
        <v>30</v>
      </c>
      <c r="R134" s="15">
        <v>1</v>
      </c>
      <c r="S134" s="15"/>
      <c r="T134" s="103"/>
      <c r="U134" s="15"/>
      <c r="V134" s="15"/>
      <c r="W134" s="15"/>
      <c r="X134" s="99"/>
      <c r="Y134" s="71">
        <f ca="1">Table29[[#This Row],[5/9/2025]]+2-TODAY()</f>
        <v>199</v>
      </c>
      <c r="Z134" s="15">
        <f>IF(ISBLANK(Table29[[#This Row],[Roster Received By]]),1,0)</f>
        <v>1</v>
      </c>
      <c r="AA134" s="15">
        <f ca="1">IF(Table29[[#This Row],[5/5/2025]]&gt;TODAY(),1,)</f>
        <v>1</v>
      </c>
    </row>
    <row r="135" spans="1:27" x14ac:dyDescent="0.25">
      <c r="A135" s="62"/>
      <c r="B135" s="99" t="s">
        <v>34</v>
      </c>
      <c r="C135" s="100" t="s">
        <v>184</v>
      </c>
      <c r="D135" s="100" t="s">
        <v>185</v>
      </c>
      <c r="E135" s="99" t="s">
        <v>309</v>
      </c>
      <c r="F135" s="102">
        <v>45735</v>
      </c>
      <c r="G135" s="102">
        <v>45735</v>
      </c>
      <c r="H135" s="101">
        <v>0.33333333333333331</v>
      </c>
      <c r="I135" s="105"/>
      <c r="J135" s="102"/>
      <c r="K135" s="102"/>
      <c r="L135" s="102"/>
      <c r="M135" s="102"/>
      <c r="N135" s="102"/>
      <c r="O135" s="99" t="s">
        <v>94</v>
      </c>
      <c r="P135" s="99"/>
      <c r="Q135" s="15">
        <v>30</v>
      </c>
      <c r="R135" s="15">
        <v>1</v>
      </c>
      <c r="S135" s="15"/>
      <c r="T135" s="103"/>
      <c r="U135" s="15"/>
      <c r="V135" s="15"/>
      <c r="W135" s="107"/>
      <c r="X135" s="99"/>
      <c r="Y135" s="71">
        <f ca="1">Table29[[#This Row],[5/9/2025]]+2-TODAY()</f>
        <v>205</v>
      </c>
      <c r="Z135" s="15">
        <f>IF(ISBLANK(Table29[[#This Row],[Roster Received By]]),1,0)</f>
        <v>1</v>
      </c>
      <c r="AA135" s="15">
        <f ca="1">IF(Table29[[#This Row],[5/5/2025]]&gt;TODAY(),1,)</f>
        <v>1</v>
      </c>
    </row>
    <row r="136" spans="1:27" x14ac:dyDescent="0.25">
      <c r="A136" s="62"/>
      <c r="B136" s="99" t="s">
        <v>34</v>
      </c>
      <c r="C136" s="100" t="s">
        <v>184</v>
      </c>
      <c r="D136" s="100" t="s">
        <v>185</v>
      </c>
      <c r="E136" s="99" t="s">
        <v>295</v>
      </c>
      <c r="F136" s="102">
        <v>45757</v>
      </c>
      <c r="G136" s="102">
        <v>45757</v>
      </c>
      <c r="H136" s="101">
        <v>0.33333333333333331</v>
      </c>
      <c r="I136" s="101"/>
      <c r="J136" s="101"/>
      <c r="K136" s="101"/>
      <c r="L136" s="101"/>
      <c r="M136" s="101"/>
      <c r="N136" s="101"/>
      <c r="O136" s="99" t="s">
        <v>94</v>
      </c>
      <c r="P136" s="99"/>
      <c r="Q136" s="15">
        <v>30</v>
      </c>
      <c r="R136" s="15">
        <v>1</v>
      </c>
      <c r="S136" s="15"/>
      <c r="T136" s="103"/>
      <c r="U136" s="15"/>
      <c r="V136" s="15"/>
      <c r="W136" s="15"/>
      <c r="X136" s="99"/>
      <c r="Y136" s="71">
        <f ca="1">Table29[[#This Row],[5/9/2025]]+2-TODAY()</f>
        <v>227</v>
      </c>
      <c r="Z136" s="15">
        <f>IF(ISBLANK(Table29[[#This Row],[Roster Received By]]),1,0)</f>
        <v>1</v>
      </c>
      <c r="AA136" s="15">
        <f ca="1">IF(Table29[[#This Row],[5/5/2025]]&gt;TODAY(),1,)</f>
        <v>1</v>
      </c>
    </row>
    <row r="137" spans="1:27" x14ac:dyDescent="0.25">
      <c r="A137" s="62"/>
      <c r="B137" s="99" t="s">
        <v>34</v>
      </c>
      <c r="C137" s="100" t="s">
        <v>184</v>
      </c>
      <c r="D137" s="100" t="s">
        <v>185</v>
      </c>
      <c r="E137" s="99" t="s">
        <v>102</v>
      </c>
      <c r="F137" s="102">
        <v>45764</v>
      </c>
      <c r="G137" s="102">
        <v>45764</v>
      </c>
      <c r="H137" s="101">
        <v>0.33333333333333331</v>
      </c>
      <c r="I137" s="101"/>
      <c r="J137" s="101"/>
      <c r="K137" s="101"/>
      <c r="L137" s="101"/>
      <c r="M137" s="101"/>
      <c r="N137" s="101"/>
      <c r="O137" s="99" t="s">
        <v>94</v>
      </c>
      <c r="P137" s="99"/>
      <c r="Q137" s="15">
        <v>30</v>
      </c>
      <c r="R137" s="15">
        <v>1</v>
      </c>
      <c r="S137" s="15"/>
      <c r="T137" s="103"/>
      <c r="U137" s="15"/>
      <c r="V137" s="15"/>
      <c r="W137" s="100"/>
      <c r="X137" s="99"/>
      <c r="Y137" s="71">
        <f ca="1">Table29[[#This Row],[5/9/2025]]+2-TODAY()</f>
        <v>234</v>
      </c>
      <c r="Z137" s="15">
        <f>IF(ISBLANK(Table29[[#This Row],[Roster Received By]]),1,0)</f>
        <v>1</v>
      </c>
      <c r="AA137" s="15">
        <f ca="1">IF(Table29[[#This Row],[5/5/2025]]&gt;TODAY(),1,)</f>
        <v>1</v>
      </c>
    </row>
    <row r="138" spans="1:27" x14ac:dyDescent="0.25">
      <c r="A138" s="99"/>
      <c r="B138" s="99" t="s">
        <v>34</v>
      </c>
      <c r="C138" s="100" t="s">
        <v>184</v>
      </c>
      <c r="D138" s="100" t="s">
        <v>185</v>
      </c>
      <c r="E138" s="99" t="s">
        <v>272</v>
      </c>
      <c r="F138" s="102">
        <v>45785</v>
      </c>
      <c r="G138" s="102">
        <v>45785</v>
      </c>
      <c r="H138" s="101">
        <v>0.33333333333333331</v>
      </c>
      <c r="I138" s="105"/>
      <c r="J138" s="102"/>
      <c r="K138" s="102"/>
      <c r="L138" s="102"/>
      <c r="M138" s="102"/>
      <c r="N138" s="102"/>
      <c r="O138" s="99" t="s">
        <v>94</v>
      </c>
      <c r="P138" s="99"/>
      <c r="Q138" s="15">
        <v>30</v>
      </c>
      <c r="R138" s="15">
        <v>1</v>
      </c>
      <c r="S138" s="15"/>
      <c r="T138" s="103"/>
      <c r="U138" s="15"/>
      <c r="V138" s="15"/>
      <c r="W138" s="15"/>
      <c r="X138" s="99"/>
      <c r="Y138" s="71">
        <f ca="1">Table29[[#This Row],[5/9/2025]]+2-TODAY()</f>
        <v>255</v>
      </c>
      <c r="Z138" s="15">
        <f>IF(ISBLANK(Table29[[#This Row],[Roster Received By]]),1,0)</f>
        <v>1</v>
      </c>
      <c r="AA138" s="15">
        <f ca="1">IF(Table29[[#This Row],[5/5/2025]]&gt;TODAY(),1,)</f>
        <v>1</v>
      </c>
    </row>
    <row r="139" spans="1:27" x14ac:dyDescent="0.25">
      <c r="A139" s="62"/>
      <c r="B139" s="99" t="s">
        <v>35</v>
      </c>
      <c r="C139" s="100" t="s">
        <v>222</v>
      </c>
      <c r="D139" s="100" t="s">
        <v>223</v>
      </c>
      <c r="E139" s="99" t="s">
        <v>276</v>
      </c>
      <c r="F139" s="174">
        <v>45681</v>
      </c>
      <c r="G139" s="174">
        <v>45681</v>
      </c>
      <c r="H139" s="101">
        <v>0.33333333333333331</v>
      </c>
      <c r="I139" s="101"/>
      <c r="J139" s="101"/>
      <c r="K139" s="101"/>
      <c r="L139" s="101"/>
      <c r="M139" s="101"/>
      <c r="N139" s="101"/>
      <c r="O139" s="99" t="s">
        <v>94</v>
      </c>
      <c r="P139" s="99"/>
      <c r="Q139" s="15">
        <v>30</v>
      </c>
      <c r="R139" s="15">
        <v>1</v>
      </c>
      <c r="S139" s="15"/>
      <c r="T139" s="103"/>
      <c r="U139" s="15"/>
      <c r="V139" s="15"/>
      <c r="W139" s="15"/>
      <c r="X139" s="99"/>
      <c r="Y139" s="71">
        <f ca="1">Table29[[#This Row],[5/9/2025]]+2-TODAY()</f>
        <v>151</v>
      </c>
      <c r="Z139" s="15">
        <f>IF(ISBLANK(Table29[[#This Row],[Roster Received By]]),1,0)</f>
        <v>1</v>
      </c>
      <c r="AA139" s="15">
        <f ca="1">IF(Table29[[#This Row],[5/5/2025]]&gt;TODAY(),1,)</f>
        <v>1</v>
      </c>
    </row>
    <row r="140" spans="1:27" x14ac:dyDescent="0.25">
      <c r="A140" s="62" t="s">
        <v>391</v>
      </c>
      <c r="B140" s="99" t="s">
        <v>35</v>
      </c>
      <c r="C140" s="100" t="s">
        <v>222</v>
      </c>
      <c r="D140" s="100" t="s">
        <v>223</v>
      </c>
      <c r="E140" s="99" t="s">
        <v>157</v>
      </c>
      <c r="F140" s="102">
        <v>45695</v>
      </c>
      <c r="G140" s="102">
        <v>45695</v>
      </c>
      <c r="H140" s="101">
        <v>0.33333333333333331</v>
      </c>
      <c r="I140" s="101"/>
      <c r="J140" s="101"/>
      <c r="K140" s="101"/>
      <c r="L140" s="101"/>
      <c r="M140" s="101"/>
      <c r="N140" s="101"/>
      <c r="O140" s="99" t="s">
        <v>94</v>
      </c>
      <c r="P140" s="99"/>
      <c r="Q140" s="15">
        <v>30</v>
      </c>
      <c r="R140" s="15">
        <v>1</v>
      </c>
      <c r="S140" s="15"/>
      <c r="T140" s="103"/>
      <c r="U140" s="15"/>
      <c r="V140" s="15"/>
      <c r="W140" s="15"/>
      <c r="X140" s="99"/>
      <c r="Y140" s="71">
        <f ca="1">Table29[[#This Row],[5/9/2025]]+2-TODAY()</f>
        <v>165</v>
      </c>
      <c r="Z140" s="15">
        <f>IF(ISBLANK(Table29[[#This Row],[Roster Received By]]),1,0)</f>
        <v>1</v>
      </c>
      <c r="AA140" s="15">
        <f ca="1">IF(Table29[[#This Row],[5/5/2025]]&gt;TODAY(),1,)</f>
        <v>1</v>
      </c>
    </row>
    <row r="141" spans="1:27" x14ac:dyDescent="0.25">
      <c r="A141" s="62" t="s">
        <v>389</v>
      </c>
      <c r="B141" s="99" t="s">
        <v>35</v>
      </c>
      <c r="C141" s="100" t="s">
        <v>222</v>
      </c>
      <c r="D141" s="100" t="s">
        <v>223</v>
      </c>
      <c r="E141" s="112" t="s">
        <v>298</v>
      </c>
      <c r="F141" s="67">
        <v>45699</v>
      </c>
      <c r="G141" s="67">
        <v>45699</v>
      </c>
      <c r="H141" s="101">
        <v>0.33333333333333331</v>
      </c>
      <c r="I141" s="105"/>
      <c r="J141" s="102"/>
      <c r="K141" s="102"/>
      <c r="L141" s="102"/>
      <c r="M141" s="102"/>
      <c r="N141" s="102"/>
      <c r="O141" s="99" t="s">
        <v>94</v>
      </c>
      <c r="P141" s="99"/>
      <c r="Q141" s="15">
        <v>30</v>
      </c>
      <c r="R141" s="15">
        <v>1</v>
      </c>
      <c r="S141" s="15"/>
      <c r="T141" s="103"/>
      <c r="U141" s="15"/>
      <c r="V141" s="15"/>
      <c r="W141" s="100"/>
      <c r="X141" s="99"/>
      <c r="Y141" s="109">
        <f ca="1">Table29[[#This Row],[5/9/2025]]+2-TODAY()</f>
        <v>169</v>
      </c>
      <c r="Z141" s="15">
        <f>IF(ISBLANK(Table29[[#This Row],[Roster Received By]]),1,0)</f>
        <v>1</v>
      </c>
      <c r="AA141" s="100">
        <f ca="1">IF(Table29[[#This Row],[5/5/2025]]&gt;TODAY(),1,)</f>
        <v>1</v>
      </c>
    </row>
    <row r="142" spans="1:27" x14ac:dyDescent="0.25">
      <c r="A142" s="62"/>
      <c r="B142" s="99" t="s">
        <v>35</v>
      </c>
      <c r="C142" s="100" t="s">
        <v>222</v>
      </c>
      <c r="D142" s="100" t="s">
        <v>223</v>
      </c>
      <c r="E142" s="99" t="s">
        <v>91</v>
      </c>
      <c r="F142" s="102">
        <v>45730</v>
      </c>
      <c r="G142" s="102">
        <v>45730</v>
      </c>
      <c r="H142" s="101">
        <v>0.33333333333333331</v>
      </c>
      <c r="I142" s="105"/>
      <c r="J142" s="102"/>
      <c r="K142" s="102"/>
      <c r="L142" s="102"/>
      <c r="M142" s="102"/>
      <c r="N142" s="102"/>
      <c r="O142" s="99" t="s">
        <v>94</v>
      </c>
      <c r="P142" s="99"/>
      <c r="Q142" s="15">
        <v>30</v>
      </c>
      <c r="R142" s="15">
        <v>1</v>
      </c>
      <c r="S142" s="15"/>
      <c r="T142" s="103"/>
      <c r="U142" s="15"/>
      <c r="V142" s="15"/>
      <c r="W142" s="15"/>
      <c r="X142" s="99"/>
      <c r="Y142" s="71">
        <f ca="1">Table29[[#This Row],[5/9/2025]]+2-TODAY()</f>
        <v>200</v>
      </c>
      <c r="Z142" s="15">
        <f>IF(ISBLANK(Table29[[#This Row],[Roster Received By]]),1,0)</f>
        <v>1</v>
      </c>
      <c r="AA142" s="15">
        <f ca="1">IF(Table29[[#This Row],[5/5/2025]]&gt;TODAY(),1,)</f>
        <v>1</v>
      </c>
    </row>
    <row r="143" spans="1:27" x14ac:dyDescent="0.25">
      <c r="A143" s="62"/>
      <c r="B143" s="99" t="s">
        <v>35</v>
      </c>
      <c r="C143" s="100" t="s">
        <v>222</v>
      </c>
      <c r="D143" s="100" t="s">
        <v>223</v>
      </c>
      <c r="E143" s="99" t="s">
        <v>309</v>
      </c>
      <c r="F143" s="67">
        <v>45736</v>
      </c>
      <c r="G143" s="67">
        <v>45736</v>
      </c>
      <c r="H143" s="101">
        <v>0.33333333333333331</v>
      </c>
      <c r="I143" s="101"/>
      <c r="J143" s="101"/>
      <c r="K143" s="101"/>
      <c r="L143" s="101"/>
      <c r="M143" s="101"/>
      <c r="N143" s="101"/>
      <c r="O143" s="99" t="s">
        <v>94</v>
      </c>
      <c r="P143" s="99"/>
      <c r="Q143" s="15">
        <v>30</v>
      </c>
      <c r="R143" s="15">
        <v>1</v>
      </c>
      <c r="S143" s="15"/>
      <c r="T143" s="103"/>
      <c r="U143" s="15"/>
      <c r="V143" s="15"/>
      <c r="W143" s="15"/>
      <c r="X143" s="99"/>
      <c r="Y143" s="71">
        <f ca="1">Table29[[#This Row],[5/9/2025]]+2-TODAY()</f>
        <v>206</v>
      </c>
      <c r="Z143" s="15">
        <f>IF(ISBLANK(Table29[[#This Row],[Roster Received By]]),1,0)</f>
        <v>1</v>
      </c>
      <c r="AA143" s="15">
        <f ca="1">IF(Table29[[#This Row],[5/5/2025]]&gt;TODAY(),1,)</f>
        <v>1</v>
      </c>
    </row>
    <row r="144" spans="1:27" x14ac:dyDescent="0.25">
      <c r="A144" s="62"/>
      <c r="B144" s="99" t="s">
        <v>35</v>
      </c>
      <c r="C144" s="100" t="s">
        <v>222</v>
      </c>
      <c r="D144" s="100" t="s">
        <v>223</v>
      </c>
      <c r="E144" s="99" t="s">
        <v>295</v>
      </c>
      <c r="F144" s="174">
        <v>45758</v>
      </c>
      <c r="G144" s="102">
        <v>45758</v>
      </c>
      <c r="H144" s="101">
        <v>0.33333333333333331</v>
      </c>
      <c r="I144" s="101"/>
      <c r="J144" s="101"/>
      <c r="K144" s="101"/>
      <c r="L144" s="101"/>
      <c r="M144" s="101"/>
      <c r="N144" s="101"/>
      <c r="O144" s="99" t="s">
        <v>94</v>
      </c>
      <c r="P144" s="99"/>
      <c r="Q144" s="15">
        <v>30</v>
      </c>
      <c r="R144" s="15">
        <v>1</v>
      </c>
      <c r="S144" s="15"/>
      <c r="T144" s="103"/>
      <c r="U144" s="15"/>
      <c r="V144" s="15"/>
      <c r="W144" s="15"/>
      <c r="X144" s="99"/>
      <c r="Y144" s="71">
        <f ca="1">Table29[[#This Row],[5/9/2025]]+2-TODAY()</f>
        <v>228</v>
      </c>
      <c r="Z144" s="15">
        <f>IF(ISBLANK(Table29[[#This Row],[Roster Received By]]),1,0)</f>
        <v>1</v>
      </c>
      <c r="AA144" s="15">
        <f ca="1">IF(Table29[[#This Row],[5/5/2025]]&gt;TODAY(),1,)</f>
        <v>1</v>
      </c>
    </row>
    <row r="145" spans="1:27" x14ac:dyDescent="0.25">
      <c r="A145" s="99"/>
      <c r="B145" s="99" t="s">
        <v>35</v>
      </c>
      <c r="C145" s="100" t="s">
        <v>222</v>
      </c>
      <c r="D145" s="100" t="s">
        <v>223</v>
      </c>
      <c r="E145" s="99" t="s">
        <v>102</v>
      </c>
      <c r="F145" s="174">
        <v>45765</v>
      </c>
      <c r="G145" s="174">
        <v>45765</v>
      </c>
      <c r="H145" s="101">
        <v>0.33333333333333331</v>
      </c>
      <c r="I145" s="105"/>
      <c r="J145" s="102"/>
      <c r="K145" s="102"/>
      <c r="L145" s="102"/>
      <c r="M145" s="102"/>
      <c r="N145" s="102"/>
      <c r="O145" s="99" t="s">
        <v>94</v>
      </c>
      <c r="P145" s="99"/>
      <c r="Q145" s="103">
        <v>30</v>
      </c>
      <c r="R145" s="104">
        <v>1</v>
      </c>
      <c r="S145" s="103"/>
      <c r="T145" s="103"/>
      <c r="U145" s="15"/>
      <c r="V145" s="15"/>
      <c r="W145" s="15"/>
      <c r="X145" s="99"/>
      <c r="Y145" s="71">
        <f ca="1">Table29[[#This Row],[5/9/2025]]+2-TODAY()</f>
        <v>235</v>
      </c>
      <c r="Z145" s="15">
        <f>IF(ISBLANK(Table29[[#This Row],[Roster Received By]]),1,0)</f>
        <v>1</v>
      </c>
      <c r="AA145" s="15">
        <f ca="1">IF(Table29[[#This Row],[5/5/2025]]&gt;TODAY(),1,)</f>
        <v>1</v>
      </c>
    </row>
    <row r="146" spans="1:27" x14ac:dyDescent="0.25">
      <c r="A146" s="62"/>
      <c r="B146" s="99" t="s">
        <v>35</v>
      </c>
      <c r="C146" s="100" t="s">
        <v>222</v>
      </c>
      <c r="D146" s="100" t="s">
        <v>223</v>
      </c>
      <c r="E146" s="99" t="s">
        <v>272</v>
      </c>
      <c r="F146" s="102">
        <v>45786</v>
      </c>
      <c r="G146" s="102">
        <v>45786</v>
      </c>
      <c r="H146" s="101">
        <v>0.33333333333333331</v>
      </c>
      <c r="I146" s="105"/>
      <c r="J146" s="102"/>
      <c r="K146" s="102"/>
      <c r="L146" s="102"/>
      <c r="M146" s="102"/>
      <c r="N146" s="102"/>
      <c r="O146" s="99" t="s">
        <v>94</v>
      </c>
      <c r="P146" s="99"/>
      <c r="Q146" s="15">
        <v>30</v>
      </c>
      <c r="R146" s="15">
        <v>1</v>
      </c>
      <c r="S146" s="15"/>
      <c r="T146" s="103"/>
      <c r="U146" s="15"/>
      <c r="V146" s="15"/>
      <c r="W146" s="100"/>
      <c r="X146" s="99"/>
      <c r="Y146" s="71">
        <f ca="1">Table29[[#This Row],[5/9/2025]]+2-TODAY()</f>
        <v>256</v>
      </c>
      <c r="Z146" s="15">
        <f>IF(ISBLANK(Table29[[#This Row],[Roster Received By]]),1,0)</f>
        <v>1</v>
      </c>
      <c r="AA146" s="15">
        <f ca="1">IF(Table29[[#This Row],[5/5/2025]]&gt;TODAY(),1,)</f>
        <v>1</v>
      </c>
    </row>
    <row r="147" spans="1:27" x14ac:dyDescent="0.25">
      <c r="A147" s="99"/>
      <c r="B147" s="99" t="s">
        <v>35</v>
      </c>
      <c r="C147" s="100" t="s">
        <v>222</v>
      </c>
      <c r="D147" s="100" t="s">
        <v>223</v>
      </c>
      <c r="E147" s="99" t="s">
        <v>193</v>
      </c>
      <c r="F147" s="174">
        <v>45812</v>
      </c>
      <c r="G147" s="174">
        <v>45812</v>
      </c>
      <c r="H147" s="101">
        <v>0.33333333333333331</v>
      </c>
      <c r="I147" s="108"/>
      <c r="J147" s="102"/>
      <c r="K147" s="102"/>
      <c r="L147" s="102"/>
      <c r="M147" s="102"/>
      <c r="N147" s="102"/>
      <c r="O147" s="99" t="s">
        <v>94</v>
      </c>
      <c r="P147" s="99"/>
      <c r="Q147" s="15">
        <v>30</v>
      </c>
      <c r="R147" s="15">
        <v>1</v>
      </c>
      <c r="S147" s="15"/>
      <c r="T147" s="103"/>
      <c r="U147" s="15"/>
      <c r="V147" s="15"/>
      <c r="W147" s="100"/>
      <c r="X147" s="99"/>
      <c r="Y147" s="71">
        <f ca="1">Table29[[#This Row],[5/9/2025]]+2-TODAY()</f>
        <v>282</v>
      </c>
      <c r="Z147" s="15">
        <f>IF(ISBLANK(Table29[[#This Row],[Roster Received By]]),1,0)</f>
        <v>1</v>
      </c>
      <c r="AA147" s="15">
        <f ca="1">IF(Table29[[#This Row],[5/5/2025]]&gt;TODAY(),1,)</f>
        <v>1</v>
      </c>
    </row>
    <row r="148" spans="1:27" x14ac:dyDescent="0.25">
      <c r="A148" s="62"/>
      <c r="B148" s="99" t="s">
        <v>35</v>
      </c>
      <c r="C148" s="100" t="s">
        <v>222</v>
      </c>
      <c r="D148" s="100" t="s">
        <v>223</v>
      </c>
      <c r="E148" s="99" t="s">
        <v>275</v>
      </c>
      <c r="F148" s="174">
        <v>45814</v>
      </c>
      <c r="G148" s="174">
        <v>45814</v>
      </c>
      <c r="H148" s="101">
        <v>0.33333333333333331</v>
      </c>
      <c r="I148" s="101"/>
      <c r="J148" s="101"/>
      <c r="K148" s="101"/>
      <c r="L148" s="101"/>
      <c r="M148" s="101"/>
      <c r="N148" s="101"/>
      <c r="O148" s="99" t="s">
        <v>94</v>
      </c>
      <c r="P148" s="99"/>
      <c r="Q148" s="15">
        <v>30</v>
      </c>
      <c r="R148" s="15">
        <v>1</v>
      </c>
      <c r="S148" s="15"/>
      <c r="T148" s="103"/>
      <c r="U148" s="15"/>
      <c r="V148" s="15"/>
      <c r="W148" s="15"/>
      <c r="X148" s="99"/>
      <c r="Y148" s="71">
        <f ca="1">Table29[[#This Row],[5/9/2025]]+2-TODAY()</f>
        <v>284</v>
      </c>
      <c r="Z148" s="15">
        <f>IF(ISBLANK(Table29[[#This Row],[Roster Received By]]),1,0)</f>
        <v>1</v>
      </c>
      <c r="AA148" s="15">
        <f ca="1">IF(Table29[[#This Row],[5/5/2025]]&gt;TODAY(),1,)</f>
        <v>1</v>
      </c>
    </row>
    <row r="149" spans="1:27" x14ac:dyDescent="0.25">
      <c r="A149" s="62"/>
      <c r="B149" s="99" t="s">
        <v>35</v>
      </c>
      <c r="C149" s="100" t="s">
        <v>222</v>
      </c>
      <c r="D149" s="100" t="s">
        <v>223</v>
      </c>
      <c r="E149" s="99" t="s">
        <v>267</v>
      </c>
      <c r="F149" s="174">
        <v>45818</v>
      </c>
      <c r="G149" s="174">
        <v>45818</v>
      </c>
      <c r="H149" s="101">
        <v>0.33333333333333331</v>
      </c>
      <c r="I149" s="101"/>
      <c r="J149" s="101"/>
      <c r="K149" s="101"/>
      <c r="L149" s="101"/>
      <c r="M149" s="101"/>
      <c r="N149" s="101"/>
      <c r="O149" s="99" t="s">
        <v>94</v>
      </c>
      <c r="P149" s="99"/>
      <c r="Q149" s="15">
        <v>30</v>
      </c>
      <c r="R149" s="15">
        <v>1</v>
      </c>
      <c r="S149" s="15"/>
      <c r="T149" s="103"/>
      <c r="U149" s="15"/>
      <c r="V149" s="15"/>
      <c r="W149" s="15"/>
      <c r="X149" s="99"/>
      <c r="Y149" s="71">
        <f ca="1">Table29[[#This Row],[5/9/2025]]+2-TODAY()</f>
        <v>288</v>
      </c>
      <c r="Z149" s="15">
        <f>IF(ISBLANK(Table29[[#This Row],[Roster Received By]]),1,0)</f>
        <v>1</v>
      </c>
      <c r="AA149" s="15">
        <f ca="1">IF(Table29[[#This Row],[5/5/2025]]&gt;TODAY(),1,)</f>
        <v>1</v>
      </c>
    </row>
    <row r="150" spans="1:27" x14ac:dyDescent="0.25">
      <c r="A150" s="62"/>
      <c r="B150" s="99" t="s">
        <v>35</v>
      </c>
      <c r="C150" s="100" t="s">
        <v>222</v>
      </c>
      <c r="D150" s="100" t="s">
        <v>223</v>
      </c>
      <c r="E150" s="99" t="s">
        <v>224</v>
      </c>
      <c r="F150" s="174">
        <v>45819</v>
      </c>
      <c r="G150" s="174">
        <v>45819</v>
      </c>
      <c r="H150" s="101">
        <v>0.33333333333333331</v>
      </c>
      <c r="I150" s="101"/>
      <c r="J150" s="101"/>
      <c r="K150" s="101"/>
      <c r="L150" s="101"/>
      <c r="M150" s="101"/>
      <c r="N150" s="101"/>
      <c r="O150" s="99" t="s">
        <v>94</v>
      </c>
      <c r="P150" s="99"/>
      <c r="Q150" s="15">
        <v>30</v>
      </c>
      <c r="R150" s="15">
        <v>1</v>
      </c>
      <c r="S150" s="15"/>
      <c r="T150" s="103"/>
      <c r="U150" s="15"/>
      <c r="V150" s="15"/>
      <c r="W150" s="15"/>
      <c r="X150" s="99"/>
      <c r="Y150" s="71">
        <f ca="1">Table29[[#This Row],[5/9/2025]]+2-TODAY()</f>
        <v>289</v>
      </c>
      <c r="Z150" s="15">
        <f>IF(ISBLANK(Table29[[#This Row],[Roster Received By]]),1,0)</f>
        <v>1</v>
      </c>
      <c r="AA150" s="15">
        <f ca="1">IF(Table29[[#This Row],[5/5/2025]]&gt;TODAY(),1,)</f>
        <v>1</v>
      </c>
    </row>
    <row r="151" spans="1:27" x14ac:dyDescent="0.25">
      <c r="A151" s="99" t="s">
        <v>416</v>
      </c>
      <c r="B151" s="99" t="s">
        <v>35</v>
      </c>
      <c r="C151" s="100" t="s">
        <v>222</v>
      </c>
      <c r="D151" s="100" t="s">
        <v>223</v>
      </c>
      <c r="E151" s="65" t="s">
        <v>310</v>
      </c>
      <c r="F151" s="174">
        <v>45820</v>
      </c>
      <c r="G151" s="174">
        <v>45820</v>
      </c>
      <c r="H151" s="101">
        <v>0.33333333333333331</v>
      </c>
      <c r="I151" s="105"/>
      <c r="J151" s="102"/>
      <c r="K151" s="102"/>
      <c r="L151" s="102"/>
      <c r="M151" s="102"/>
      <c r="N151" s="102"/>
      <c r="O151" s="99" t="s">
        <v>94</v>
      </c>
      <c r="P151" s="99"/>
      <c r="Q151" s="15">
        <v>30</v>
      </c>
      <c r="R151" s="15">
        <v>1</v>
      </c>
      <c r="S151" s="15"/>
      <c r="T151" s="103"/>
      <c r="U151" s="15"/>
      <c r="V151" s="15"/>
      <c r="W151" s="15"/>
      <c r="X151" s="99"/>
      <c r="Y151" s="71">
        <f ca="1">Table29[[#This Row],[5/9/2025]]+2-TODAY()</f>
        <v>290</v>
      </c>
      <c r="Z151" s="15">
        <f>IF(ISBLANK(Table29[[#This Row],[Roster Received By]]),1,0)</f>
        <v>1</v>
      </c>
      <c r="AA151" s="15">
        <f ca="1">IF(Table29[[#This Row],[5/5/2025]]&gt;TODAY(),1,)</f>
        <v>1</v>
      </c>
    </row>
    <row r="152" spans="1:27" x14ac:dyDescent="0.25">
      <c r="A152" s="62"/>
      <c r="B152" s="99" t="s">
        <v>35</v>
      </c>
      <c r="C152" s="100" t="s">
        <v>222</v>
      </c>
      <c r="D152" s="100" t="s">
        <v>223</v>
      </c>
      <c r="E152" s="99" t="s">
        <v>121</v>
      </c>
      <c r="F152" s="174">
        <v>45839</v>
      </c>
      <c r="G152" s="174">
        <v>45839</v>
      </c>
      <c r="H152" s="101">
        <v>0.33333333333333331</v>
      </c>
      <c r="I152" s="101"/>
      <c r="J152" s="101"/>
      <c r="K152" s="101"/>
      <c r="L152" s="101"/>
      <c r="M152" s="101"/>
      <c r="N152" s="101"/>
      <c r="O152" s="99" t="s">
        <v>94</v>
      </c>
      <c r="P152" s="99"/>
      <c r="Q152" s="15">
        <v>30</v>
      </c>
      <c r="R152" s="15">
        <v>1</v>
      </c>
      <c r="S152" s="15"/>
      <c r="T152" s="103"/>
      <c r="U152" s="15"/>
      <c r="V152" s="15"/>
      <c r="W152" s="15"/>
      <c r="X152" s="99"/>
      <c r="Y152" s="71">
        <f ca="1">Table29[[#This Row],[5/9/2025]]+2-TODAY()</f>
        <v>309</v>
      </c>
      <c r="Z152" s="15">
        <f>IF(ISBLANK(Table29[[#This Row],[Roster Received By]]),1,0)</f>
        <v>1</v>
      </c>
      <c r="AA152" s="15">
        <f ca="1">IF(Table29[[#This Row],[5/5/2025]]&gt;TODAY(),1,)</f>
        <v>1</v>
      </c>
    </row>
    <row r="153" spans="1:27" x14ac:dyDescent="0.25">
      <c r="A153" s="99"/>
      <c r="B153" s="99" t="s">
        <v>35</v>
      </c>
      <c r="C153" s="100" t="s">
        <v>222</v>
      </c>
      <c r="D153" s="100" t="s">
        <v>223</v>
      </c>
      <c r="E153" s="99" t="s">
        <v>86</v>
      </c>
      <c r="F153" s="174">
        <v>45846</v>
      </c>
      <c r="G153" s="174">
        <v>45846</v>
      </c>
      <c r="H153" s="101">
        <v>0.33333333333333331</v>
      </c>
      <c r="I153" s="108"/>
      <c r="J153" s="102"/>
      <c r="K153" s="102"/>
      <c r="L153" s="102"/>
      <c r="M153" s="102"/>
      <c r="N153" s="102"/>
      <c r="O153" s="99" t="s">
        <v>94</v>
      </c>
      <c r="P153" s="99"/>
      <c r="Q153" s="103">
        <v>30</v>
      </c>
      <c r="R153" s="104">
        <v>1</v>
      </c>
      <c r="S153" s="103"/>
      <c r="T153" s="103"/>
      <c r="U153" s="15"/>
      <c r="V153" s="15"/>
      <c r="W153" s="100"/>
      <c r="X153" s="99"/>
      <c r="Y153" s="71">
        <f ca="1">Table29[[#This Row],[5/9/2025]]+2-TODAY()</f>
        <v>316</v>
      </c>
      <c r="Z153" s="15">
        <f>IF(ISBLANK(Table29[[#This Row],[Roster Received By]]),1,0)</f>
        <v>1</v>
      </c>
      <c r="AA153" s="15">
        <f ca="1">IF(Table29[[#This Row],[5/5/2025]]&gt;TODAY(),1,)</f>
        <v>1</v>
      </c>
    </row>
    <row r="154" spans="1:27" x14ac:dyDescent="0.25">
      <c r="A154" s="99"/>
      <c r="B154" s="99" t="s">
        <v>35</v>
      </c>
      <c r="C154" s="100" t="s">
        <v>222</v>
      </c>
      <c r="D154" s="100" t="s">
        <v>223</v>
      </c>
      <c r="E154" s="99" t="s">
        <v>146</v>
      </c>
      <c r="F154" s="174">
        <v>45847</v>
      </c>
      <c r="G154" s="174">
        <v>45847</v>
      </c>
      <c r="H154" s="101">
        <v>0.33333333333333331</v>
      </c>
      <c r="I154" s="101"/>
      <c r="J154" s="101"/>
      <c r="K154" s="101"/>
      <c r="L154" s="101"/>
      <c r="M154" s="101"/>
      <c r="N154" s="101"/>
      <c r="O154" s="99" t="s">
        <v>94</v>
      </c>
      <c r="P154" s="99"/>
      <c r="Q154" s="15">
        <v>30</v>
      </c>
      <c r="R154" s="15">
        <v>1</v>
      </c>
      <c r="S154" s="15"/>
      <c r="T154" s="103"/>
      <c r="U154" s="15"/>
      <c r="V154" s="15"/>
      <c r="W154" s="15"/>
      <c r="X154" s="99"/>
      <c r="Y154" s="71">
        <f ca="1">Table29[[#This Row],[5/9/2025]]+2-TODAY()</f>
        <v>317</v>
      </c>
      <c r="Z154" s="15">
        <f>IF(ISBLANK(Table29[[#This Row],[Roster Received By]]),1,0)</f>
        <v>1</v>
      </c>
      <c r="AA154" s="15">
        <f ca="1">IF(Table29[[#This Row],[5/5/2025]]&gt;TODAY(),1,)</f>
        <v>1</v>
      </c>
    </row>
    <row r="155" spans="1:27" x14ac:dyDescent="0.25">
      <c r="A155" s="99"/>
      <c r="B155" s="99" t="s">
        <v>35</v>
      </c>
      <c r="C155" s="100" t="s">
        <v>222</v>
      </c>
      <c r="D155" s="100" t="s">
        <v>223</v>
      </c>
      <c r="E155" s="99" t="s">
        <v>142</v>
      </c>
      <c r="F155" s="102">
        <v>45848</v>
      </c>
      <c r="G155" s="102">
        <v>45848</v>
      </c>
      <c r="H155" s="101">
        <v>0.33333333333333331</v>
      </c>
      <c r="I155" s="108"/>
      <c r="J155" s="102"/>
      <c r="K155" s="102"/>
      <c r="L155" s="102"/>
      <c r="M155" s="102"/>
      <c r="N155" s="102"/>
      <c r="O155" s="99" t="s">
        <v>94</v>
      </c>
      <c r="P155" s="99"/>
      <c r="Q155" s="103">
        <v>30</v>
      </c>
      <c r="R155" s="104">
        <v>1</v>
      </c>
      <c r="S155" s="103"/>
      <c r="T155" s="103"/>
      <c r="U155" s="15"/>
      <c r="V155" s="15"/>
      <c r="W155" s="100"/>
      <c r="X155" s="99"/>
      <c r="Y155" s="71">
        <f ca="1">Table29[[#This Row],[5/9/2025]]+2-TODAY()</f>
        <v>318</v>
      </c>
      <c r="Z155" s="15">
        <f>IF(ISBLANK(Table29[[#This Row],[Roster Received By]]),1,0)</f>
        <v>1</v>
      </c>
      <c r="AA155" s="15">
        <f ca="1">IF(Table29[[#This Row],[5/5/2025]]&gt;TODAY(),1,)</f>
        <v>1</v>
      </c>
    </row>
    <row r="156" spans="1:27" x14ac:dyDescent="0.25">
      <c r="A156" s="62"/>
      <c r="B156" s="99" t="s">
        <v>35</v>
      </c>
      <c r="C156" s="100" t="s">
        <v>222</v>
      </c>
      <c r="D156" s="100" t="s">
        <v>223</v>
      </c>
      <c r="E156" s="99" t="s">
        <v>153</v>
      </c>
      <c r="F156" s="102">
        <v>45874</v>
      </c>
      <c r="G156" s="102">
        <v>45874</v>
      </c>
      <c r="H156" s="101">
        <v>0.33333333333333331</v>
      </c>
      <c r="I156" s="105"/>
      <c r="J156" s="102"/>
      <c r="K156" s="102"/>
      <c r="L156" s="102"/>
      <c r="M156" s="102"/>
      <c r="N156" s="102"/>
      <c r="O156" s="99" t="s">
        <v>94</v>
      </c>
      <c r="P156" s="99"/>
      <c r="Q156" s="103">
        <v>30</v>
      </c>
      <c r="R156" s="104">
        <v>1</v>
      </c>
      <c r="S156" s="103"/>
      <c r="T156" s="103"/>
      <c r="U156" s="15"/>
      <c r="V156" s="15"/>
      <c r="W156" s="15"/>
      <c r="X156" s="99"/>
      <c r="Y156" s="71">
        <f ca="1">Table29[[#This Row],[5/9/2025]]+2-TODAY()</f>
        <v>344</v>
      </c>
      <c r="Z156" s="15">
        <f>IF(ISBLANK(Table29[[#This Row],[Roster Received By]]),1,0)</f>
        <v>1</v>
      </c>
      <c r="AA156" s="15">
        <f ca="1">IF(Table29[[#This Row],[5/5/2025]]&gt;TODAY(),1,)</f>
        <v>1</v>
      </c>
    </row>
    <row r="157" spans="1:27" x14ac:dyDescent="0.25">
      <c r="A157" s="99"/>
      <c r="B157" s="99" t="s">
        <v>35</v>
      </c>
      <c r="C157" s="100" t="s">
        <v>222</v>
      </c>
      <c r="D157" s="100" t="s">
        <v>223</v>
      </c>
      <c r="E157" s="99" t="s">
        <v>168</v>
      </c>
      <c r="F157" s="102">
        <v>45876</v>
      </c>
      <c r="G157" s="102">
        <v>45876</v>
      </c>
      <c r="H157" s="101">
        <v>0.33333333333333331</v>
      </c>
      <c r="I157" s="108"/>
      <c r="J157" s="102"/>
      <c r="K157" s="102"/>
      <c r="L157" s="102"/>
      <c r="M157" s="102"/>
      <c r="N157" s="102"/>
      <c r="O157" s="99" t="s">
        <v>94</v>
      </c>
      <c r="P157" s="99"/>
      <c r="Q157" s="103">
        <v>30</v>
      </c>
      <c r="R157" s="104">
        <v>1</v>
      </c>
      <c r="S157" s="103"/>
      <c r="T157" s="103"/>
      <c r="U157" s="15"/>
      <c r="V157" s="15"/>
      <c r="W157" s="100"/>
      <c r="X157" s="99"/>
      <c r="Y157" s="71">
        <f ca="1">Table29[[#This Row],[5/9/2025]]+2-TODAY()</f>
        <v>346</v>
      </c>
      <c r="Z157" s="15">
        <f>IF(ISBLANK(Table29[[#This Row],[Roster Received By]]),1,0)</f>
        <v>1</v>
      </c>
      <c r="AA157" s="15">
        <f ca="1">IF(Table29[[#This Row],[5/5/2025]]&gt;TODAY(),1,)</f>
        <v>1</v>
      </c>
    </row>
    <row r="158" spans="1:27" x14ac:dyDescent="0.25">
      <c r="A158" s="99"/>
      <c r="B158" s="99" t="s">
        <v>35</v>
      </c>
      <c r="C158" s="100" t="s">
        <v>222</v>
      </c>
      <c r="D158" s="100" t="s">
        <v>223</v>
      </c>
      <c r="E158" s="99" t="s">
        <v>172</v>
      </c>
      <c r="F158" s="102">
        <v>45882</v>
      </c>
      <c r="G158" s="102">
        <v>45882</v>
      </c>
      <c r="H158" s="101">
        <v>0.33333333333333331</v>
      </c>
      <c r="I158" s="108"/>
      <c r="J158" s="102"/>
      <c r="K158" s="102"/>
      <c r="L158" s="102"/>
      <c r="M158" s="102"/>
      <c r="N158" s="102"/>
      <c r="O158" s="99" t="s">
        <v>94</v>
      </c>
      <c r="P158" s="99"/>
      <c r="Q158" s="103">
        <v>30</v>
      </c>
      <c r="R158" s="104">
        <v>1</v>
      </c>
      <c r="S158" s="103"/>
      <c r="T158" s="103"/>
      <c r="U158" s="15"/>
      <c r="V158" s="15"/>
      <c r="W158" s="100"/>
      <c r="X158" s="99"/>
      <c r="Y158" s="71">
        <f ca="1">Table29[[#This Row],[5/9/2025]]+2-TODAY()</f>
        <v>352</v>
      </c>
      <c r="Z158" s="15">
        <f>IF(ISBLANK(Table29[[#This Row],[Roster Received By]]),1,0)</f>
        <v>1</v>
      </c>
      <c r="AA158" s="15">
        <f ca="1">IF(Table29[[#This Row],[5/5/2025]]&gt;TODAY(),1,)</f>
        <v>1</v>
      </c>
    </row>
    <row r="159" spans="1:27" x14ac:dyDescent="0.25">
      <c r="A159" s="62"/>
      <c r="B159" s="99" t="s">
        <v>35</v>
      </c>
      <c r="C159" s="100" t="s">
        <v>222</v>
      </c>
      <c r="D159" s="100" t="s">
        <v>223</v>
      </c>
      <c r="E159" s="99" t="s">
        <v>284</v>
      </c>
      <c r="F159" s="180">
        <v>45884</v>
      </c>
      <c r="G159" s="180">
        <v>45884</v>
      </c>
      <c r="H159" s="101">
        <v>0.33333333333333331</v>
      </c>
      <c r="I159" s="101"/>
      <c r="J159" s="101"/>
      <c r="K159" s="101"/>
      <c r="L159" s="101"/>
      <c r="M159" s="101"/>
      <c r="N159" s="101"/>
      <c r="O159" s="99" t="s">
        <v>94</v>
      </c>
      <c r="P159" s="99"/>
      <c r="Q159" s="15">
        <v>30</v>
      </c>
      <c r="R159" s="15">
        <v>1</v>
      </c>
      <c r="S159" s="15"/>
      <c r="T159" s="103"/>
      <c r="U159" s="15"/>
      <c r="V159" s="15"/>
      <c r="W159" s="15"/>
      <c r="X159" s="99"/>
      <c r="Y159" s="71">
        <f ca="1">Table29[[#This Row],[5/9/2025]]+2-TODAY()</f>
        <v>354</v>
      </c>
      <c r="Z159" s="15">
        <f>IF(ISBLANK(Table29[[#This Row],[Roster Received By]]),1,0)</f>
        <v>1</v>
      </c>
      <c r="AA159" s="15">
        <f ca="1">IF(Table29[[#This Row],[5/5/2025]]&gt;TODAY(),1,)</f>
        <v>1</v>
      </c>
    </row>
    <row r="160" spans="1:27" x14ac:dyDescent="0.25">
      <c r="A160" s="62"/>
      <c r="B160" s="99" t="s">
        <v>35</v>
      </c>
      <c r="C160" s="100" t="s">
        <v>222</v>
      </c>
      <c r="D160" s="100" t="s">
        <v>223</v>
      </c>
      <c r="E160" s="99" t="s">
        <v>259</v>
      </c>
      <c r="F160" s="174">
        <v>45895</v>
      </c>
      <c r="G160" s="174">
        <v>45895</v>
      </c>
      <c r="H160" s="101">
        <v>0.33333333333333331</v>
      </c>
      <c r="I160" s="101"/>
      <c r="J160" s="101"/>
      <c r="K160" s="101"/>
      <c r="L160" s="101"/>
      <c r="M160" s="101"/>
      <c r="N160" s="101"/>
      <c r="O160" s="99" t="s">
        <v>94</v>
      </c>
      <c r="P160" s="99"/>
      <c r="Q160" s="15">
        <v>30</v>
      </c>
      <c r="R160" s="15">
        <v>1</v>
      </c>
      <c r="S160" s="15"/>
      <c r="T160" s="103"/>
      <c r="U160" s="15"/>
      <c r="V160" s="15"/>
      <c r="W160" s="103"/>
      <c r="X160" s="99"/>
      <c r="Y160" s="71">
        <f ca="1">Table29[[#This Row],[5/9/2025]]+2-TODAY()</f>
        <v>365</v>
      </c>
      <c r="Z160" s="15">
        <f>IF(ISBLANK(Table29[[#This Row],[Roster Received By]]),1,0)</f>
        <v>1</v>
      </c>
      <c r="AA160" s="15">
        <f ca="1">IF(Table29[[#This Row],[5/5/2025]]&gt;TODAY(),1,)</f>
        <v>1</v>
      </c>
    </row>
    <row r="161" spans="1:27" x14ac:dyDescent="0.25">
      <c r="A161" s="99"/>
      <c r="B161" s="152" t="s">
        <v>36</v>
      </c>
      <c r="C161" s="154" t="s">
        <v>252</v>
      </c>
      <c r="D161" s="154" t="s">
        <v>253</v>
      </c>
      <c r="E161" s="181" t="s">
        <v>99</v>
      </c>
      <c r="F161" s="155">
        <v>45726</v>
      </c>
      <c r="G161" s="155">
        <v>45730</v>
      </c>
      <c r="H161" s="156">
        <v>0.33333333333333331</v>
      </c>
      <c r="I161" s="105"/>
      <c r="J161" s="102"/>
      <c r="K161" s="102"/>
      <c r="L161" s="102"/>
      <c r="M161" s="102"/>
      <c r="N161" s="102"/>
      <c r="O161" s="99" t="s">
        <v>94</v>
      </c>
      <c r="P161" s="99"/>
      <c r="Q161" s="15">
        <v>25</v>
      </c>
      <c r="R161" s="15">
        <v>2</v>
      </c>
      <c r="S161" s="15"/>
      <c r="T161" s="103"/>
      <c r="U161" s="15"/>
      <c r="V161" s="15"/>
      <c r="W161" s="15"/>
      <c r="X161" s="99"/>
      <c r="Y161" s="71">
        <f ca="1">Table29[[#This Row],[5/9/2025]]+2-TODAY()</f>
        <v>200</v>
      </c>
      <c r="Z161" s="15">
        <f>IF(ISBLANK(Table29[[#This Row],[Roster Received By]]),1,0)</f>
        <v>1</v>
      </c>
      <c r="AA161" s="15">
        <f ca="1">IF(Table29[[#This Row],[5/5/2025]]&gt;TODAY(),1,)</f>
        <v>1</v>
      </c>
    </row>
    <row r="162" spans="1:27" x14ac:dyDescent="0.25">
      <c r="A162" s="62"/>
      <c r="B162" s="152" t="s">
        <v>36</v>
      </c>
      <c r="C162" s="154" t="s">
        <v>252</v>
      </c>
      <c r="D162" s="154" t="s">
        <v>253</v>
      </c>
      <c r="E162" s="152" t="s">
        <v>91</v>
      </c>
      <c r="F162" s="155">
        <v>45810</v>
      </c>
      <c r="G162" s="155">
        <v>45814</v>
      </c>
      <c r="H162" s="156">
        <v>0.33333333333333331</v>
      </c>
      <c r="I162" s="101"/>
      <c r="J162" s="101"/>
      <c r="K162" s="101"/>
      <c r="L162" s="101"/>
      <c r="M162" s="101"/>
      <c r="N162" s="101"/>
      <c r="O162" s="99" t="s">
        <v>94</v>
      </c>
      <c r="P162" s="99"/>
      <c r="Q162" s="15">
        <v>25</v>
      </c>
      <c r="R162" s="15">
        <v>2</v>
      </c>
      <c r="S162" s="15"/>
      <c r="T162" s="103"/>
      <c r="U162" s="15"/>
      <c r="V162" s="15"/>
      <c r="W162" s="15"/>
      <c r="X162" s="99"/>
      <c r="Y162" s="71">
        <f ca="1">Table29[[#This Row],[5/9/2025]]+2-TODAY()</f>
        <v>284</v>
      </c>
      <c r="Z162" s="15">
        <f>IF(ISBLANK(Table29[[#This Row],[Roster Received By]]),1,0)</f>
        <v>1</v>
      </c>
      <c r="AA162" s="15">
        <f ca="1">IF(Table29[[#This Row],[5/5/2025]]&gt;TODAY(),1,)</f>
        <v>1</v>
      </c>
    </row>
    <row r="163" spans="1:27" x14ac:dyDescent="0.25">
      <c r="A163" s="169" t="s">
        <v>62</v>
      </c>
      <c r="B163" s="169">
        <f>SUBTOTAL(103,Table29[Course Title])</f>
        <v>159</v>
      </c>
      <c r="C163" s="169"/>
      <c r="D163" s="169"/>
      <c r="E163" s="169"/>
      <c r="F163" s="170"/>
      <c r="G163" s="170"/>
      <c r="H163" s="169"/>
      <c r="I163" s="169"/>
      <c r="J163" s="169"/>
      <c r="K163" s="169"/>
      <c r="L163" s="169"/>
      <c r="M163" s="169"/>
      <c r="N163" s="169"/>
      <c r="O163" s="169"/>
      <c r="P163" s="169"/>
      <c r="Q163" s="171">
        <f>SUBTOTAL(109,Q4:Q162)</f>
        <v>5315</v>
      </c>
      <c r="R163" s="171">
        <f>SUBTOTAL(109,Table29[Course Length (Days)])</f>
        <v>398</v>
      </c>
      <c r="S163" s="171">
        <f>SUBTOTAL(109,S4:S162)</f>
        <v>0</v>
      </c>
      <c r="T163" s="171">
        <f>SUBTOTAL(109,T4:T162)</f>
        <v>0</v>
      </c>
      <c r="U163" s="171">
        <f>SUBTOTAL(109,U4:U162)</f>
        <v>0</v>
      </c>
      <c r="V163" s="171">
        <f>SUBTOTAL(109,V4:V162)</f>
        <v>0</v>
      </c>
      <c r="W163" s="171">
        <f>SUBTOTAL(109,W4:W162)</f>
        <v>0</v>
      </c>
      <c r="X163" s="169">
        <f>SUBTOTAL(103,Table29[Roster Received By])</f>
        <v>0</v>
      </c>
      <c r="Y163" s="172"/>
      <c r="Z163" s="169"/>
      <c r="AA163" s="169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62" name="CIN CDP_1"/>
  </protectedRanges>
  <conditionalFormatting sqref="A11:A23">
    <cfRule type="expression" dxfId="173" priority="1">
      <formula>$T11="Benzick, Sue"</formula>
    </cfRule>
    <cfRule type="expression" dxfId="172" priority="2">
      <formula>$T11="Jenne, Richard"</formula>
    </cfRule>
    <cfRule type="expression" dxfId="171" priority="3">
      <formula>$T11="McQueen, Jennifer"</formula>
    </cfRule>
  </conditionalFormatting>
  <conditionalFormatting sqref="A51">
    <cfRule type="expression" dxfId="170" priority="4">
      <formula>$T51="Benzick, Sue"</formula>
    </cfRule>
    <cfRule type="expression" dxfId="169" priority="5">
      <formula>$T51="Jenne, Richard"</formula>
    </cfRule>
    <cfRule type="expression" dxfId="168" priority="6">
      <formula>$T51="McQueen, Jennifer"</formula>
    </cfRule>
  </conditionalFormatting>
  <conditionalFormatting sqref="E44 F80:G80 F82:G84 F101:G101 F103">
    <cfRule type="expression" dxfId="167" priority="229">
      <formula>$R44="Benzick, Sue"</formula>
    </cfRule>
    <cfRule type="expression" dxfId="166" priority="230">
      <formula>$R44="Jenne, Richard"</formula>
    </cfRule>
    <cfRule type="expression" dxfId="165" priority="231">
      <formula>$R44="McQueen, Jennifer"</formula>
    </cfRule>
  </conditionalFormatting>
  <conditionalFormatting sqref="E64">
    <cfRule type="expression" dxfId="164" priority="221">
      <formula>#REF!="Jenne, Richard"</formula>
    </cfRule>
    <cfRule type="expression" dxfId="163" priority="220">
      <formula>#REF!="Benzick, Sue"</formula>
    </cfRule>
    <cfRule type="expression" dxfId="162" priority="222">
      <formula>#REF!="McQueen, Jennifer"</formula>
    </cfRule>
  </conditionalFormatting>
  <conditionalFormatting sqref="E58:G61 F62:G62">
    <cfRule type="expression" dxfId="161" priority="225">
      <formula>#REF!="McQueen, Jennifer"</formula>
    </cfRule>
    <cfRule type="expression" dxfId="160" priority="224">
      <formula>#REF!="Jenne, Richard"</formula>
    </cfRule>
    <cfRule type="expression" dxfId="159" priority="223">
      <formula>#REF!="Benzick, Sue"</formula>
    </cfRule>
  </conditionalFormatting>
  <conditionalFormatting sqref="E65:G71">
    <cfRule type="expression" dxfId="158" priority="199">
      <formula>#REF!="Benzick, Sue"</formula>
    </cfRule>
    <cfRule type="expression" dxfId="157" priority="200">
      <formula>#REF!="Jenne, Richard"</formula>
    </cfRule>
  </conditionalFormatting>
  <conditionalFormatting sqref="E65:G72">
    <cfRule type="expression" dxfId="156" priority="201">
      <formula>#REF!="McQueen, Jennifer"</formula>
    </cfRule>
  </conditionalFormatting>
  <conditionalFormatting sqref="E75:G75 F76:G76 I76:I84 E77:G77 I88:I95 I97 I99:I100 H105 H112">
    <cfRule type="expression" dxfId="155" priority="205">
      <formula>#REF!="Benzick, Sue"</formula>
    </cfRule>
    <cfRule type="expression" dxfId="154" priority="206">
      <formula>#REF!="Jenne, Richard"</formula>
    </cfRule>
  </conditionalFormatting>
  <conditionalFormatting sqref="E75:G75 F76:G76 I76:I84 E77:G77 I88:I97 I99:I100 H105 H109:H112">
    <cfRule type="expression" dxfId="153" priority="207">
      <formula>#REF!="McQueen, Jennifer"</formula>
    </cfRule>
  </conditionalFormatting>
  <conditionalFormatting sqref="E113:G113">
    <cfRule type="expression" dxfId="152" priority="193">
      <formula>#REF!="Benzick, Sue"</formula>
    </cfRule>
    <cfRule type="expression" dxfId="151" priority="194">
      <formula>#REF!="Jenne, Richard"</formula>
    </cfRule>
    <cfRule type="expression" dxfId="150" priority="195">
      <formula>#REF!="McQueen, Jennifer"</formula>
    </cfRule>
  </conditionalFormatting>
  <conditionalFormatting sqref="F15:F18">
    <cfRule type="expression" dxfId="149" priority="180">
      <formula>$T15="McQueen, Jennifer"</formula>
    </cfRule>
    <cfRule type="expression" dxfId="148" priority="178">
      <formula>$T15="Benzick, Sue"</formula>
    </cfRule>
    <cfRule type="expression" dxfId="147" priority="179">
      <formula>$T15="Jenne, Richard"</formula>
    </cfRule>
  </conditionalFormatting>
  <conditionalFormatting sqref="F23">
    <cfRule type="expression" dxfId="146" priority="174">
      <formula>$T23="McQueen, Jennifer"</formula>
    </cfRule>
    <cfRule type="expression" dxfId="145" priority="173">
      <formula>$T23="Jenne, Richard"</formula>
    </cfRule>
    <cfRule type="expression" dxfId="144" priority="172">
      <formula>$T23="Benzick, Sue"</formula>
    </cfRule>
  </conditionalFormatting>
  <conditionalFormatting sqref="F44:F45">
    <cfRule type="expression" dxfId="143" priority="167">
      <formula>$T44="Jenne, Richard"</formula>
    </cfRule>
    <cfRule type="expression" dxfId="142" priority="166">
      <formula>$T44="Benzick, Sue"</formula>
    </cfRule>
    <cfRule type="expression" dxfId="141" priority="168">
      <formula>$T44="McQueen, Jennifer"</formula>
    </cfRule>
  </conditionalFormatting>
  <conditionalFormatting sqref="F64">
    <cfRule type="expression" dxfId="140" priority="23">
      <formula>$S64="Jenne, Richard"</formula>
    </cfRule>
    <cfRule type="expression" dxfId="139" priority="22">
      <formula>$S64="Benzick, Sue"</formula>
    </cfRule>
    <cfRule type="expression" dxfId="138" priority="24">
      <formula>$S64="McQueen, Jennifer"</formula>
    </cfRule>
  </conditionalFormatting>
  <conditionalFormatting sqref="F104 F110:F111">
    <cfRule type="expression" dxfId="137" priority="192">
      <formula>$S105="McQueen, Jennifer"</formula>
    </cfRule>
    <cfRule type="expression" dxfId="136" priority="191">
      <formula>$S105="Jenne, Richard"</formula>
    </cfRule>
    <cfRule type="expression" dxfId="135" priority="190">
      <formula>$S105="Benzick, Sue"</formula>
    </cfRule>
  </conditionalFormatting>
  <conditionalFormatting sqref="F105:F106">
    <cfRule type="expression" dxfId="134" priority="187">
      <formula>$S107="Benzick, Sue"</formula>
    </cfRule>
    <cfRule type="expression" dxfId="133" priority="188">
      <formula>$S107="Jenne, Richard"</formula>
    </cfRule>
    <cfRule type="expression" dxfId="132" priority="189">
      <formula>$S107="McQueen, Jennifer"</formula>
    </cfRule>
  </conditionalFormatting>
  <conditionalFormatting sqref="F10:G11 F13:G14 J18:N24 E25 E28 A29:A41 E30 E33:E34 F33:G35 J35:N35 E36:F36 F37:G37 F39:G40 E39:E42 F43:G43 A43:A45 A49 A59:A60 A69:A73 A75:A86 A88:A90 J92:N92 A92:A102 J94:N95 E97:E100 J99:N100 B103 E103 A104:B112 J109:N112">
    <cfRule type="expression" dxfId="131" priority="232">
      <formula>$T10="Benzick, Sue"</formula>
    </cfRule>
    <cfRule type="expression" dxfId="130" priority="233">
      <formula>$T10="Jenne, Richard"</formula>
    </cfRule>
    <cfRule type="expression" dxfId="129" priority="234">
      <formula>$T10="McQueen, Jennifer"</formula>
    </cfRule>
  </conditionalFormatting>
  <conditionalFormatting sqref="F19:G22 E48:G56 E57">
    <cfRule type="expression" dxfId="128" priority="210">
      <formula>#REF!="McQueen, Jennifer"</formula>
    </cfRule>
    <cfRule type="expression" dxfId="127" priority="208">
      <formula>#REF!="Benzick, Sue"</formula>
    </cfRule>
    <cfRule type="expression" dxfId="126" priority="209">
      <formula>#REF!="Jenne, Richard"</formula>
    </cfRule>
  </conditionalFormatting>
  <conditionalFormatting sqref="F31:G32">
    <cfRule type="expression" dxfId="125" priority="171">
      <formula>#REF!="McQueen, Jennifer"</formula>
    </cfRule>
    <cfRule type="expression" dxfId="124" priority="169">
      <formula>#REF!="Benzick, Sue"</formula>
    </cfRule>
    <cfRule type="expression" dxfId="123" priority="170">
      <formula>#REF!="Jenne, Richard"</formula>
    </cfRule>
  </conditionalFormatting>
  <conditionalFormatting sqref="F46:G47">
    <cfRule type="expression" dxfId="122" priority="154">
      <formula>$R46="Benzick, Sue"</formula>
    </cfRule>
    <cfRule type="expression" dxfId="121" priority="156">
      <formula>$R46="McQueen, Jennifer"</formula>
    </cfRule>
    <cfRule type="expression" dxfId="120" priority="155">
      <formula>$R46="Jenne, Richard"</formula>
    </cfRule>
  </conditionalFormatting>
  <conditionalFormatting sqref="F57:G57">
    <cfRule type="expression" dxfId="119" priority="16">
      <formula>#REF!="Benzick, Sue"</formula>
    </cfRule>
    <cfRule type="expression" dxfId="118" priority="17">
      <formula>#REF!="Jenne, Richard"</formula>
    </cfRule>
    <cfRule type="expression" dxfId="117" priority="18">
      <formula>#REF!="McQueen, Jennifer"</formula>
    </cfRule>
  </conditionalFormatting>
  <conditionalFormatting sqref="G7:G8 F9:G9">
    <cfRule type="expression" dxfId="116" priority="181">
      <formula>#REF!="Benzick, Sue"</formula>
    </cfRule>
    <cfRule type="expression" dxfId="115" priority="182">
      <formula>#REF!="Jenne, Richard"</formula>
    </cfRule>
    <cfRule type="expression" dxfId="114" priority="183">
      <formula>#REF!="McQueen, Jennifer"</formula>
    </cfRule>
  </conditionalFormatting>
  <conditionalFormatting sqref="G12">
    <cfRule type="expression" dxfId="113" priority="175">
      <formula>#REF!="Benzick, Sue"</formula>
    </cfRule>
    <cfRule type="expression" dxfId="112" priority="177">
      <formula>#REF!="McQueen, Jennifer"</formula>
    </cfRule>
    <cfRule type="expression" dxfId="111" priority="176">
      <formula>#REF!="Jenne, Richard"</formula>
    </cfRule>
  </conditionalFormatting>
  <conditionalFormatting sqref="G38">
    <cfRule type="expression" dxfId="110" priority="163">
      <formula>#REF!="Benzick, Sue"</formula>
    </cfRule>
    <cfRule type="expression" dxfId="109" priority="165">
      <formula>#REF!="McQueen, Jennifer"</formula>
    </cfRule>
    <cfRule type="expression" dxfId="108" priority="164">
      <formula>#REF!="Jenne, Richard"</formula>
    </cfRule>
  </conditionalFormatting>
  <conditionalFormatting sqref="G44:G45">
    <cfRule type="expression" dxfId="107" priority="158">
      <formula>$T44="Jenne, Richard"</formula>
    </cfRule>
    <cfRule type="expression" dxfId="106" priority="159">
      <formula>$T44="McQueen, Jennifer"</formula>
    </cfRule>
    <cfRule type="expression" dxfId="105" priority="157">
      <formula>$T44="Benzick, Sue"</formula>
    </cfRule>
  </conditionalFormatting>
  <conditionalFormatting sqref="G64">
    <cfRule type="expression" dxfId="104" priority="19">
      <formula>$S64="Benzick, Sue"</formula>
    </cfRule>
    <cfRule type="expression" dxfId="103" priority="20">
      <formula>$S64="Jenne, Richard"</formula>
    </cfRule>
    <cfRule type="expression" dxfId="102" priority="21">
      <formula>$S64="McQueen, Jennifer"</formula>
    </cfRule>
  </conditionalFormatting>
  <conditionalFormatting sqref="G98">
    <cfRule type="expression" dxfId="101" priority="27">
      <formula>$S98="McQueen, Jennifer"</formula>
    </cfRule>
    <cfRule type="expression" dxfId="100" priority="25">
      <formula>$S98="Benzick, Sue"</formula>
    </cfRule>
    <cfRule type="expression" dxfId="99" priority="26">
      <formula>$S98="Jenne, Richard"</formula>
    </cfRule>
  </conditionalFormatting>
  <conditionalFormatting sqref="H4:H28">
    <cfRule type="expression" dxfId="98" priority="11">
      <formula>$S4="Jenne, Richard"</formula>
    </cfRule>
    <cfRule type="expression" dxfId="97" priority="10">
      <formula>$S4="Benzick, Sue"</formula>
    </cfRule>
    <cfRule type="expression" dxfId="96" priority="12">
      <formula>$S4="McQueen, Jennifer"</formula>
    </cfRule>
  </conditionalFormatting>
  <conditionalFormatting sqref="H30:H103">
    <cfRule type="expression" dxfId="95" priority="86">
      <formula>$S30="Jenne, Richard"</formula>
    </cfRule>
    <cfRule type="expression" dxfId="94" priority="87">
      <formula>$S30="McQueen, Jennifer"</formula>
    </cfRule>
    <cfRule type="expression" dxfId="93" priority="85">
      <formula>$S30="Benzick, Sue"</formula>
    </cfRule>
  </conditionalFormatting>
  <conditionalFormatting sqref="I4:I14 I18:I25 G28:G30 I38 I42:I50 I51:N51 I55:N57 I61:N61 I62:I63 E63:G63 I64:N65 I68:N69 I71:N72 E72:G72 I75:N75 I85:N86 I96 I98:N98 I101:N103 J104:N104 J106:N108 H109:H111 H113:I113">
    <cfRule type="expression" dxfId="92" priority="226">
      <formula>#REF!="Benzick, Sue"</formula>
    </cfRule>
    <cfRule type="expression" dxfId="91" priority="227">
      <formula>#REF!="Jenne, Richard"</formula>
    </cfRule>
  </conditionalFormatting>
  <conditionalFormatting sqref="I4:I14 I18:I25 G28:G30 I38 I42:I50 I51:N51 I61:N61 I62:I63 E63:G63 I64:N65 I68:N69 I71:N72 I75:N75 I85:N86 I98:N98 I101:N103 J104:N104 J106:N108 H113:I113">
    <cfRule type="expression" dxfId="90" priority="228">
      <formula>#REF!="McQueen, Jennifer"</formula>
    </cfRule>
  </conditionalFormatting>
  <conditionalFormatting sqref="I17">
    <cfRule type="expression" dxfId="89" priority="126">
      <formula>$S17="McQueen, Jennifer"</formula>
    </cfRule>
    <cfRule type="expression" dxfId="88" priority="125">
      <formula>$S17="Jenne, Richard"</formula>
    </cfRule>
    <cfRule type="expression" dxfId="87" priority="124">
      <formula>$S17="Benzick, Sue"</formula>
    </cfRule>
  </conditionalFormatting>
  <conditionalFormatting sqref="I26:I27">
    <cfRule type="expression" dxfId="86" priority="51">
      <formula>$S26="McQueen, Jennifer"</formula>
    </cfRule>
    <cfRule type="expression" dxfId="85" priority="50">
      <formula>$S26="Jenne, Richard"</formula>
    </cfRule>
    <cfRule type="expression" dxfId="84" priority="49">
      <formula>$S26="Benzick, Sue"</formula>
    </cfRule>
  </conditionalFormatting>
  <conditionalFormatting sqref="I31">
    <cfRule type="expression" dxfId="83" priority="32">
      <formula>$S31="Jenne, Richard"</formula>
    </cfRule>
    <cfRule type="expression" dxfId="82" priority="31">
      <formula>$S31="Benzick, Sue"</formula>
    </cfRule>
    <cfRule type="expression" dxfId="81" priority="33">
      <formula>$S31="McQueen, Jennifer"</formula>
    </cfRule>
  </conditionalFormatting>
  <conditionalFormatting sqref="I33">
    <cfRule type="expression" dxfId="80" priority="40">
      <formula>$S33="Benzick, Sue"</formula>
    </cfRule>
    <cfRule type="expression" dxfId="79" priority="41">
      <formula>$S33="Jenne, Richard"</formula>
    </cfRule>
    <cfRule type="expression" dxfId="78" priority="42">
      <formula>$S33="McQueen, Jennifer"</formula>
    </cfRule>
  </conditionalFormatting>
  <conditionalFormatting sqref="I39">
    <cfRule type="expression" dxfId="77" priority="97">
      <formula>$S39="Benzick, Sue"</formula>
    </cfRule>
    <cfRule type="expression" dxfId="76" priority="98">
      <formula>$S39="Jenne, Richard"</formula>
    </cfRule>
    <cfRule type="expression" dxfId="75" priority="99">
      <formula>$S39="McQueen, Jennifer"</formula>
    </cfRule>
  </conditionalFormatting>
  <conditionalFormatting sqref="I41">
    <cfRule type="expression" dxfId="74" priority="30">
      <formula>$S41="McQueen, Jennifer"</formula>
    </cfRule>
    <cfRule type="expression" dxfId="73" priority="28">
      <formula>$S41="Benzick, Sue"</formula>
    </cfRule>
    <cfRule type="expression" dxfId="72" priority="29">
      <formula>$S41="Jenne, Richard"</formula>
    </cfRule>
  </conditionalFormatting>
  <conditionalFormatting sqref="I52:I53 I58:I60">
    <cfRule type="expression" dxfId="71" priority="213">
      <formula>#REF!="McQueen, Jennifer"</formula>
    </cfRule>
    <cfRule type="expression" dxfId="70" priority="211">
      <formula>#REF!="Benzick, Sue"</formula>
    </cfRule>
    <cfRule type="expression" dxfId="69" priority="212">
      <formula>#REF!="Jenne, Richard"</formula>
    </cfRule>
  </conditionalFormatting>
  <conditionalFormatting sqref="I66:I67 I70 I73:I74">
    <cfRule type="expression" dxfId="68" priority="196">
      <formula>#REF!="Benzick, Sue"</formula>
    </cfRule>
    <cfRule type="expression" dxfId="67" priority="198">
      <formula>#REF!="McQueen, Jennifer"</formula>
    </cfRule>
    <cfRule type="expression" dxfId="66" priority="197">
      <formula>#REF!="Jenne, Richard"</formula>
    </cfRule>
  </conditionalFormatting>
  <conditionalFormatting sqref="I28:M29 I30 K34:N34 I34:I36">
    <cfRule type="expression" dxfId="65" priority="57">
      <formula>#REF!="McQueen, Jennifer"</formula>
    </cfRule>
    <cfRule type="expression" dxfId="64" priority="56">
      <formula>#REF!="Jenne, Richard"</formula>
    </cfRule>
    <cfRule type="expression" dxfId="63" priority="55">
      <formula>#REF!="Benzick, Sue"</formula>
    </cfRule>
  </conditionalFormatting>
  <conditionalFormatting sqref="I15:N15 I16 I37:M37 J43:N43 K45:N47">
    <cfRule type="expression" dxfId="62" priority="147">
      <formula>#REF!="McQueen, Jennifer"</formula>
    </cfRule>
    <cfRule type="expression" dxfId="61" priority="146">
      <formula>#REF!="Jenne, Richard"</formula>
    </cfRule>
    <cfRule type="expression" dxfId="60" priority="145">
      <formula>#REF!="Benzick, Sue"</formula>
    </cfRule>
  </conditionalFormatting>
  <conditionalFormatting sqref="I54:N54">
    <cfRule type="expression" dxfId="59" priority="184">
      <formula>#REF!="Benzick, Sue"</formula>
    </cfRule>
    <cfRule type="expression" dxfId="58" priority="185">
      <formula>#REF!="Jenne, Richard"</formula>
    </cfRule>
  </conditionalFormatting>
  <conditionalFormatting sqref="I54:N57">
    <cfRule type="expression" dxfId="57" priority="186">
      <formula>#REF!="McQueen, Jennifer"</formula>
    </cfRule>
  </conditionalFormatting>
  <conditionalFormatting sqref="J9">
    <cfRule type="expression" dxfId="56" priority="7">
      <formula>$S9="Benzick, Sue"</formula>
    </cfRule>
    <cfRule type="expression" dxfId="55" priority="9">
      <formula>$S9="McQueen, Jennifer"</formula>
    </cfRule>
    <cfRule type="expression" dxfId="54" priority="8">
      <formula>$S9="Jenne, Richard"</formula>
    </cfRule>
  </conditionalFormatting>
  <conditionalFormatting sqref="J34">
    <cfRule type="expression" dxfId="53" priority="37">
      <formula>$S34="Benzick, Sue"</formula>
    </cfRule>
    <cfRule type="expression" dxfId="52" priority="38">
      <formula>$S34="Jenne, Richard"</formula>
    </cfRule>
    <cfRule type="expression" dxfId="51" priority="39">
      <formula>$S34="McQueen, Jennifer"</formula>
    </cfRule>
  </conditionalFormatting>
  <conditionalFormatting sqref="J41">
    <cfRule type="expression" dxfId="50" priority="143">
      <formula>#REF!="Jenne, Richard"</formula>
    </cfRule>
    <cfRule type="expression" dxfId="49" priority="142">
      <formula>#REF!="Benzick, Sue"</formula>
    </cfRule>
    <cfRule type="expression" dxfId="48" priority="144">
      <formula>#REF!="McQueen, Jennifer"</formula>
    </cfRule>
  </conditionalFormatting>
  <conditionalFormatting sqref="J45:J47">
    <cfRule type="expression" dxfId="47" priority="34">
      <formula>$S45="Benzick, Sue"</formula>
    </cfRule>
    <cfRule type="expression" dxfId="46" priority="35">
      <formula>$S45="Jenne, Richard"</formula>
    </cfRule>
    <cfRule type="expression" dxfId="45" priority="36">
      <formula>$S45="McQueen, Jennifer"</formula>
    </cfRule>
  </conditionalFormatting>
  <conditionalFormatting sqref="J4:N6 J8:N8 K9:N9">
    <cfRule type="expression" dxfId="44" priority="150">
      <formula>$S4="McQueen, Jennifer"</formula>
    </cfRule>
    <cfRule type="expression" dxfId="43" priority="149">
      <formula>$S4="Jenne, Richard"</formula>
    </cfRule>
    <cfRule type="expression" dxfId="42" priority="148">
      <formula>$S4="Benzick, Sue"</formula>
    </cfRule>
  </conditionalFormatting>
  <conditionalFormatting sqref="J16:N16">
    <cfRule type="expression" dxfId="41" priority="127">
      <formula>$S16="Benzick, Sue"</formula>
    </cfRule>
    <cfRule type="expression" dxfId="40" priority="128">
      <formula>$S16="Jenne, Richard"</formula>
    </cfRule>
    <cfRule type="expression" dxfId="39" priority="129">
      <formula>$S16="McQueen, Jennifer"</formula>
    </cfRule>
  </conditionalFormatting>
  <conditionalFormatting sqref="J17:N17">
    <cfRule type="expression" dxfId="38" priority="152">
      <formula>$X17="Jenne, Richard"</formula>
    </cfRule>
    <cfRule type="expression" dxfId="37" priority="151">
      <formula>$X17="Benzick, Sue"</formula>
    </cfRule>
    <cfRule type="expression" dxfId="36" priority="153">
      <formula>$X17="McQueen, Jennifer"</formula>
    </cfRule>
  </conditionalFormatting>
  <conditionalFormatting sqref="J25:N25">
    <cfRule type="expression" dxfId="35" priority="58">
      <formula>$S25="Benzick, Sue"</formula>
    </cfRule>
    <cfRule type="expression" dxfId="34" priority="59">
      <formula>$S25="Jenne, Richard"</formula>
    </cfRule>
    <cfRule type="expression" dxfId="33" priority="60">
      <formula>$S25="McQueen, Jennifer"</formula>
    </cfRule>
  </conditionalFormatting>
  <conditionalFormatting sqref="J26:N27">
    <cfRule type="expression" dxfId="32" priority="53">
      <formula>$X26="Jenne, Richard"</formula>
    </cfRule>
    <cfRule type="expression" dxfId="31" priority="52">
      <formula>$X26="Benzick, Sue"</formula>
    </cfRule>
    <cfRule type="expression" dxfId="30" priority="54">
      <formula>$X26="McQueen, Jennifer"</formula>
    </cfRule>
  </conditionalFormatting>
  <conditionalFormatting sqref="K41">
    <cfRule type="expression" dxfId="29" priority="141">
      <formula>#REF!="McQueen, Jennifer"</formula>
    </cfRule>
    <cfRule type="expression" dxfId="28" priority="140">
      <formula>#REF!="Jenne, Richard"</formula>
    </cfRule>
    <cfRule type="expression" dxfId="27" priority="139">
      <formula>#REF!="Benzick, Sue"</formula>
    </cfRule>
  </conditionalFormatting>
  <conditionalFormatting sqref="L30:L31">
    <cfRule type="expression" dxfId="26" priority="46">
      <formula>$S30="Benzick, Sue"</formula>
    </cfRule>
    <cfRule type="expression" dxfId="25" priority="47">
      <formula>$S30="Jenne, Richard"</formula>
    </cfRule>
    <cfRule type="expression" dxfId="24" priority="48">
      <formula>$S30="McQueen, Jennifer"</formula>
    </cfRule>
  </conditionalFormatting>
  <conditionalFormatting sqref="L41">
    <cfRule type="expression" dxfId="23" priority="138">
      <formula>#REF!="McQueen, Jennifer"</formula>
    </cfRule>
    <cfRule type="expression" dxfId="22" priority="137">
      <formula>#REF!="Jenne, Richard"</formula>
    </cfRule>
    <cfRule type="expression" dxfId="21" priority="136">
      <formula>#REF!="Benzick, Sue"</formula>
    </cfRule>
  </conditionalFormatting>
  <conditionalFormatting sqref="M32">
    <cfRule type="expression" dxfId="20" priority="44">
      <formula>$S32="Jenne, Richard"</formula>
    </cfRule>
    <cfRule type="expression" dxfId="19" priority="45">
      <formula>$S32="McQueen, Jennifer"</formula>
    </cfRule>
    <cfRule type="expression" dxfId="18" priority="43">
      <formula>$S32="Benzick, Sue"</formula>
    </cfRule>
  </conditionalFormatting>
  <conditionalFormatting sqref="M41">
    <cfRule type="expression" dxfId="17" priority="135">
      <formula>#REF!="McQueen, Jennifer"</formula>
    </cfRule>
    <cfRule type="expression" dxfId="16" priority="133">
      <formula>#REF!="Benzick, Sue"</formula>
    </cfRule>
    <cfRule type="expression" dxfId="15" priority="134">
      <formula>#REF!="Jenne, Richard"</formula>
    </cfRule>
  </conditionalFormatting>
  <conditionalFormatting sqref="N37">
    <cfRule type="expression" dxfId="14" priority="101">
      <formula>$S37="Jenne, Richard"</formula>
    </cfRule>
    <cfRule type="expression" dxfId="13" priority="102">
      <formula>$S37="McQueen, Jennifer"</formula>
    </cfRule>
    <cfRule type="expression" dxfId="12" priority="100">
      <formula>$S37="Benzick, Sue"</formula>
    </cfRule>
  </conditionalFormatting>
  <conditionalFormatting sqref="N40">
    <cfRule type="expression" dxfId="11" priority="94">
      <formula>$S40="Benzick, Sue"</formula>
    </cfRule>
    <cfRule type="expression" dxfId="10" priority="95">
      <formula>$S40="Jenne, Richard"</formula>
    </cfRule>
    <cfRule type="expression" dxfId="9" priority="96">
      <formula>$S40="McQueen, Jennifer"</formula>
    </cfRule>
  </conditionalFormatting>
  <conditionalFormatting sqref="N41">
    <cfRule type="expression" dxfId="8" priority="131">
      <formula>#REF!="Jenne, Richard"</formula>
    </cfRule>
    <cfRule type="expression" dxfId="7" priority="132">
      <formula>#REF!="McQueen, Jennifer"</formula>
    </cfRule>
    <cfRule type="expression" dxfId="6" priority="130">
      <formula>#REF!="Benzick, Sue"</formula>
    </cfRule>
  </conditionalFormatting>
  <conditionalFormatting sqref="T4:T47 K7:N7 A10 J10:N14 S10:S15 S17:S28 A28 N28 H29:I29 S31:S43 E35 L36 L38 L42 S45:S47 E46:E47 A48 S48:T67 J49:N49 J52:N52 J58:N60 J62:N62 T68 S69:T86 A74 J79:N79 E85:G86 E88:G88 S88:T88 J88:N89 E89 S89:S90 T89:T96 F90:G90 K90 M90:N90 F92:G96 S92:S96 J96:N97 F97:F98 S97:T112 E102:F102 E104:E112 I104:I112 T113">
    <cfRule type="expression" dxfId="5" priority="235">
      <formula>$S4="Benzick, Sue"</formula>
    </cfRule>
    <cfRule type="expression" dxfId="4" priority="236">
      <formula>$S4="Jenne, Richard"</formula>
    </cfRule>
    <cfRule type="expression" dxfId="3" priority="237">
      <formula>$S4="McQueen, Jennifer"</formula>
    </cfRule>
  </conditionalFormatting>
  <conditionalFormatting sqref="W4:W15 Y4:Y86 W17:W28 W31:W43 W45:W67 W69:W86 W88:W108 Y88:Y113">
    <cfRule type="expression" dxfId="2" priority="238">
      <formula>$X4="Benzick, Sue"</formula>
    </cfRule>
    <cfRule type="expression" dxfId="1" priority="239">
      <formula>$X4="Jenne, Richard"</formula>
    </cfRule>
    <cfRule type="expression" dxfId="0" priority="240">
      <formula>$X4="McQueen, Jennifer"</formula>
    </cfRule>
  </conditionalFormatting>
  <dataValidations count="3">
    <dataValidation allowBlank="1" showInputMessage="1" showErrorMessage="1" sqref="S88:S113 S4:S86" xr:uid="{F53FA255-9224-4ADF-A230-E84DC8EC89C5}"/>
    <dataValidation type="list" allowBlank="1" showInputMessage="1" showErrorMessage="1" sqref="B164:B170 B172:B442 B4:B162" xr:uid="{73CB25B1-9935-4559-84D6-2CD89F18B02A}">
      <formula1>Class</formula1>
    </dataValidation>
    <dataValidation type="list" allowBlank="1" showInputMessage="1" showErrorMessage="1" sqref="O164:O386" xr:uid="{FFCAD722-D837-4CC2-9C77-BDB70A788B8F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Sheet3</vt:lpstr>
      <vt:lpstr>TSD-Bi-Weekly</vt:lpstr>
      <vt:lpstr>TSD-Data</vt:lpstr>
      <vt:lpstr>TSD-%</vt:lpstr>
      <vt:lpstr>FY25 Status</vt:lpstr>
      <vt:lpstr>FY 2025 Schedule</vt:lpstr>
      <vt:lpstr>Planning-Need vs Planned</vt:lpstr>
      <vt:lpstr>Planning-Hours tabulation</vt:lpstr>
      <vt:lpstr>FY25 Needs Assessment</vt:lpstr>
      <vt:lpstr>Detail1</vt:lpstr>
      <vt:lpstr>Detail2</vt:lpstr>
      <vt:lpstr>2025 Resident Need Totals</vt:lpstr>
      <vt:lpstr>Detail3</vt:lpstr>
      <vt:lpstr>2025 Global Online Need Totals</vt:lpstr>
      <vt:lpstr>FLT</vt:lpstr>
      <vt:lpstr>OH</vt:lpstr>
      <vt:lpstr>SAF</vt:lpstr>
      <vt:lpstr>ENV</vt:lpstr>
      <vt:lpstr>CIN</vt:lpstr>
      <vt:lpstr>Class</vt:lpstr>
      <vt:lpstr>Courses</vt:lpstr>
      <vt:lpstr>Instructor</vt:lpstr>
      <vt:lpstr>Location</vt:lpstr>
      <vt:lpstr>ENV!Print_Area</vt:lpstr>
      <vt:lpstr>FLT!Print_Area</vt:lpstr>
      <vt:lpstr>'FY 2025 Schedule'!Print_Area</vt:lpstr>
      <vt:lpstr>'FY25 Needs Assessment'!Print_Area</vt:lpstr>
      <vt:lpstr>'FY25 Status'!Print_Area</vt:lpstr>
      <vt:lpstr>OH!Print_Area</vt:lpstr>
      <vt:lpstr>SAF!Print_Area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Mohler, Hallock N (Hal) CIV USN NAVSAFENVTRACEN NOR (U</cp:lastModifiedBy>
  <cp:revision/>
  <dcterms:created xsi:type="dcterms:W3CDTF">2020-09-15T15:26:38Z</dcterms:created>
  <dcterms:modified xsi:type="dcterms:W3CDTF">2024-08-28T09:24:54Z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